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nnections+xml" PartName="/xl/connections.xml"/>
  <Override ContentType="application/vnd.openxmlformats-officedocument.drawing+xml" PartName="/xl/drawings/drawing1.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OEB\Rate Applications\2019 Cost of Service\OEB Models\OEB Models (12-17-18 - Settlement Proposal\"/>
    </mc:Choice>
  </mc:AlternateContent>
  <bookViews>
    <workbookView xWindow="0" yWindow="0" windowWidth="20490" windowHeight="6405" tabRatio="799"/>
  </bookViews>
  <sheets>
    <sheet name="1. LDC Info" sheetId="45" r:id="rId1"/>
    <sheet name="2. Customer Classes" sheetId="44" r:id="rId2"/>
    <sheet name="3. Consumption by Rate Class" sheetId="30" r:id="rId3"/>
    <sheet name="4. Customer Growth" sheetId="6" r:id="rId4"/>
    <sheet name="5.Variables" sheetId="52" r:id="rId5"/>
    <sheet name="Variables for presentation" sheetId="58" r:id="rId6"/>
    <sheet name="6. WS Regression Analysis" sheetId="4" r:id="rId7"/>
    <sheet name="7. Weather Senstive Class" sheetId="29" r:id="rId8"/>
    <sheet name="8. KW and Non-Weather Sensitive" sheetId="46" r:id="rId9"/>
    <sheet name="9. Weather Adj LF" sheetId="32" r:id="rId10"/>
    <sheet name="Variances" sheetId="60" r:id="rId11"/>
    <sheet name="10. CDM Adjustment" sheetId="42" r:id="rId12"/>
    <sheet name="10.1 CDM Allocation" sheetId="53" r:id="rId13"/>
    <sheet name="11. Final Load Forecast" sheetId="51" r:id="rId14"/>
    <sheet name="12. Analysis_ Avg Per Cust" sheetId="38" r:id="rId15"/>
    <sheet name="13. Analysis_Weather adj LF" sheetId="47" r:id="rId16"/>
    <sheet name="Sheet4" sheetId="59" state="hidden" r:id="rId17"/>
    <sheet name="2019 Distribution Revenue" sheetId="55" state="hidden" r:id="rId18"/>
    <sheet name="Customer Count" sheetId="56" state="hidden" r:id="rId19"/>
    <sheet name="Sheet2" sheetId="57" state="hidden" r:id="rId20"/>
    <sheet name="14. RRWF LF" sheetId="54" state="hidden" r:id="rId21"/>
  </sheets>
  <externalReferences>
    <externalReference r:id="rId22"/>
  </externalReferences>
  <calcPr calcId="152511"/>
</workbook>
</file>

<file path=xl/calcChain.xml><?xml version="1.0" encoding="utf-8"?>
<calcChain xmlns="http://schemas.openxmlformats.org/spreadsheetml/2006/main">
  <c r="L86" i="60" l="1"/>
  <c r="M86" i="60"/>
  <c r="L87" i="60"/>
  <c r="M87" i="60"/>
  <c r="L88" i="60"/>
  <c r="M88" i="60"/>
  <c r="L89" i="60"/>
  <c r="M89" i="60"/>
  <c r="L90" i="60"/>
  <c r="M90" i="60"/>
  <c r="L91" i="60"/>
  <c r="M91" i="60"/>
  <c r="L92" i="60"/>
  <c r="M92" i="60"/>
  <c r="L93" i="60"/>
  <c r="M93" i="60"/>
  <c r="L94" i="60"/>
  <c r="M85" i="60"/>
  <c r="L85" i="60"/>
  <c r="M22" i="60"/>
  <c r="M23" i="60"/>
  <c r="M24" i="60"/>
  <c r="M26" i="60"/>
  <c r="M27" i="60"/>
  <c r="M28" i="60"/>
  <c r="M29" i="60"/>
  <c r="M30" i="60"/>
  <c r="M21" i="60"/>
  <c r="Z14" i="60"/>
  <c r="M94" i="60" s="1"/>
  <c r="L70" i="60"/>
  <c r="M70" i="60"/>
  <c r="L71" i="60"/>
  <c r="M71" i="60"/>
  <c r="L72" i="60"/>
  <c r="M72" i="60"/>
  <c r="L73" i="60"/>
  <c r="L74" i="60"/>
  <c r="M74" i="60"/>
  <c r="L75" i="60"/>
  <c r="M75" i="60"/>
  <c r="L76" i="60"/>
  <c r="M76" i="60"/>
  <c r="L77" i="60"/>
  <c r="M77" i="60"/>
  <c r="L78" i="60"/>
  <c r="M78" i="60"/>
  <c r="M69" i="60"/>
  <c r="L69" i="60"/>
  <c r="L54" i="60"/>
  <c r="M54" i="60"/>
  <c r="L55" i="60"/>
  <c r="M55" i="60"/>
  <c r="L56" i="60"/>
  <c r="M56" i="60"/>
  <c r="L58" i="60"/>
  <c r="M58" i="60"/>
  <c r="L59" i="60"/>
  <c r="M59" i="60"/>
  <c r="L60" i="60"/>
  <c r="M60" i="60"/>
  <c r="L61" i="60"/>
  <c r="M61" i="60"/>
  <c r="L62" i="60"/>
  <c r="M62" i="60"/>
  <c r="M53" i="60"/>
  <c r="L53" i="60"/>
  <c r="L38" i="60"/>
  <c r="M38" i="60"/>
  <c r="L39" i="60"/>
  <c r="M39" i="60"/>
  <c r="L40" i="60"/>
  <c r="M40" i="60"/>
  <c r="L42" i="60"/>
  <c r="M42" i="60"/>
  <c r="L43" i="60"/>
  <c r="M43" i="60"/>
  <c r="L44" i="60"/>
  <c r="M44" i="60"/>
  <c r="L45" i="60"/>
  <c r="M45" i="60"/>
  <c r="L46" i="60"/>
  <c r="M46" i="60"/>
  <c r="M37" i="60"/>
  <c r="L37" i="60"/>
  <c r="L21" i="60"/>
  <c r="L22" i="60"/>
  <c r="L23" i="60"/>
  <c r="L24" i="60"/>
  <c r="L26" i="60"/>
  <c r="L27" i="60"/>
  <c r="L28" i="60"/>
  <c r="L29" i="60"/>
  <c r="L30" i="60"/>
  <c r="M12" i="60"/>
  <c r="H73" i="60"/>
  <c r="H57" i="60"/>
  <c r="H41" i="60"/>
  <c r="H25" i="60"/>
  <c r="L6" i="60"/>
  <c r="M6" i="60"/>
  <c r="L7" i="60"/>
  <c r="M7" i="60"/>
  <c r="L8" i="60"/>
  <c r="M8" i="60"/>
  <c r="L10" i="60"/>
  <c r="M10" i="60"/>
  <c r="L11" i="60"/>
  <c r="M11" i="60"/>
  <c r="L12" i="60"/>
  <c r="L13" i="60"/>
  <c r="M13" i="60"/>
  <c r="L14" i="60"/>
  <c r="M14" i="60"/>
  <c r="M5" i="60"/>
  <c r="L5" i="60"/>
  <c r="U9" i="60"/>
  <c r="M9" i="60" s="1"/>
  <c r="Y9" i="60"/>
  <c r="M73" i="60" s="1"/>
  <c r="X9" i="60"/>
  <c r="M57" i="60" s="1"/>
  <c r="W9" i="60"/>
  <c r="M41" i="60" s="1"/>
  <c r="V9" i="60"/>
  <c r="M25" i="60" s="1"/>
  <c r="S9" i="60"/>
  <c r="R9" i="60"/>
  <c r="L57" i="60" s="1"/>
  <c r="Q9" i="60"/>
  <c r="L41" i="60" s="1"/>
  <c r="P9" i="60"/>
  <c r="L25" i="60" s="1"/>
  <c r="O9" i="60"/>
  <c r="L9" i="60" s="1"/>
  <c r="H9" i="60"/>
  <c r="I41" i="60" l="1"/>
  <c r="I89" i="60"/>
  <c r="I57" i="60"/>
  <c r="I9" i="60"/>
  <c r="I73" i="60"/>
  <c r="I25" i="60"/>
  <c r="R17" i="55"/>
  <c r="Q8" i="55"/>
  <c r="Q28" i="55" l="1"/>
  <c r="R28" i="55" s="1"/>
  <c r="R8" i="55"/>
  <c r="K17" i="55" l="1"/>
  <c r="L17" i="55" s="1"/>
  <c r="AH21" i="46"/>
  <c r="AJ21" i="46" s="1"/>
  <c r="AK21" i="46"/>
  <c r="AN21" i="46" s="1"/>
  <c r="AH22" i="46"/>
  <c r="AJ22" i="46" s="1"/>
  <c r="AK22" i="46"/>
  <c r="AM22" i="46" s="1"/>
  <c r="AH23" i="46"/>
  <c r="AJ23" i="46" s="1"/>
  <c r="AK23" i="46"/>
  <c r="AN23" i="46" s="1"/>
  <c r="AH24" i="46"/>
  <c r="AJ24" i="46" s="1"/>
  <c r="AK24" i="46"/>
  <c r="AN24" i="46" s="1"/>
  <c r="AH25" i="46"/>
  <c r="AJ25" i="46" s="1"/>
  <c r="AK25" i="46"/>
  <c r="AN25" i="46" s="1"/>
  <c r="AH26" i="46"/>
  <c r="AJ26" i="46" s="1"/>
  <c r="AK26" i="46"/>
  <c r="AN26" i="46" s="1"/>
  <c r="AH27" i="46"/>
  <c r="AJ27" i="46" s="1"/>
  <c r="AK27" i="46"/>
  <c r="AN27" i="46" s="1"/>
  <c r="AK29" i="46"/>
  <c r="AM31" i="46"/>
  <c r="AN31" i="46"/>
  <c r="AM26" i="46" l="1"/>
  <c r="AM23" i="46"/>
  <c r="AO23" i="46"/>
  <c r="AM27" i="46"/>
  <c r="AM25" i="46"/>
  <c r="AM21" i="46"/>
  <c r="AM24" i="46"/>
  <c r="AO26" i="46"/>
  <c r="AO24" i="46"/>
  <c r="AO21" i="46"/>
  <c r="AO27" i="46"/>
  <c r="AO25" i="46"/>
  <c r="AO22" i="46"/>
  <c r="AN22" i="46"/>
  <c r="I79" i="59"/>
  <c r="I78" i="59"/>
  <c r="I77" i="59"/>
  <c r="I76" i="59"/>
  <c r="G76" i="59"/>
  <c r="I75" i="59"/>
  <c r="I74" i="59"/>
  <c r="I73" i="59"/>
  <c r="I63" i="59"/>
  <c r="I62" i="59"/>
  <c r="I61" i="59"/>
  <c r="I60" i="59"/>
  <c r="G60" i="59"/>
  <c r="I59" i="59"/>
  <c r="I58" i="59"/>
  <c r="I57" i="59"/>
  <c r="H44" i="59"/>
  <c r="I44" i="59" s="1"/>
  <c r="I47" i="59"/>
  <c r="I46" i="59"/>
  <c r="I45" i="59"/>
  <c r="G44" i="59"/>
  <c r="I43" i="59"/>
  <c r="I42" i="59"/>
  <c r="I41" i="59"/>
  <c r="I31" i="59"/>
  <c r="I30" i="59"/>
  <c r="I29" i="59"/>
  <c r="I28" i="59"/>
  <c r="G28" i="59"/>
  <c r="I27" i="59"/>
  <c r="I26" i="59"/>
  <c r="I25" i="59"/>
  <c r="I15" i="59"/>
  <c r="I14" i="59"/>
  <c r="I13" i="59"/>
  <c r="I12" i="59"/>
  <c r="I11" i="59"/>
  <c r="I10" i="59"/>
  <c r="I9" i="59"/>
  <c r="G12" i="59"/>
  <c r="C34" i="56" l="1"/>
  <c r="E17" i="55" l="1"/>
  <c r="O123" i="47" l="1"/>
  <c r="O122" i="47"/>
  <c r="O121" i="47"/>
  <c r="M123" i="47"/>
  <c r="M122" i="47"/>
  <c r="M121" i="47"/>
  <c r="K123" i="47"/>
  <c r="K122" i="47"/>
  <c r="K121" i="47"/>
  <c r="G123" i="47"/>
  <c r="G122" i="47"/>
  <c r="H123" i="47" s="1"/>
  <c r="G121" i="47"/>
  <c r="H122" i="47" s="1"/>
  <c r="G120" i="47"/>
  <c r="H121" i="47" s="1"/>
  <c r="G119" i="47"/>
  <c r="H120" i="47" s="1"/>
  <c r="E123" i="47"/>
  <c r="E122" i="47"/>
  <c r="F123" i="47" s="1"/>
  <c r="E121" i="47"/>
  <c r="E120" i="47"/>
  <c r="F121" i="47" s="1"/>
  <c r="E119" i="47"/>
  <c r="F120" i="47" s="1"/>
  <c r="C119" i="47"/>
  <c r="D120" i="47" s="1"/>
  <c r="C120" i="47"/>
  <c r="D121" i="47" s="1"/>
  <c r="C121" i="47"/>
  <c r="D122" i="47" s="1"/>
  <c r="C122" i="47"/>
  <c r="D123" i="47" s="1"/>
  <c r="C123" i="47"/>
  <c r="O104" i="47"/>
  <c r="E88" i="59" s="1"/>
  <c r="J110" i="47"/>
  <c r="F122" i="47"/>
  <c r="J112" i="47"/>
  <c r="B112" i="47"/>
  <c r="P107" i="47"/>
  <c r="P106" i="47"/>
  <c r="N107" i="47"/>
  <c r="N106" i="47"/>
  <c r="L107" i="47"/>
  <c r="L106" i="47"/>
  <c r="H107" i="47"/>
  <c r="H106" i="47"/>
  <c r="H105" i="47"/>
  <c r="H104" i="47"/>
  <c r="F107" i="47"/>
  <c r="F106" i="47"/>
  <c r="F105" i="47"/>
  <c r="F104" i="47"/>
  <c r="D107" i="47"/>
  <c r="D106" i="47"/>
  <c r="D105" i="47"/>
  <c r="D104" i="47"/>
  <c r="L91" i="47"/>
  <c r="L90" i="47"/>
  <c r="N91" i="47"/>
  <c r="N90" i="47"/>
  <c r="P91" i="47"/>
  <c r="P90" i="47"/>
  <c r="H91" i="47"/>
  <c r="H90" i="47"/>
  <c r="H89" i="47"/>
  <c r="H88" i="47"/>
  <c r="F91" i="47"/>
  <c r="F90" i="47"/>
  <c r="F89" i="47"/>
  <c r="F88" i="47"/>
  <c r="D91" i="47"/>
  <c r="D90" i="47"/>
  <c r="D89" i="47"/>
  <c r="D88" i="47"/>
  <c r="P75" i="47"/>
  <c r="P74" i="47"/>
  <c r="P73" i="47"/>
  <c r="P72" i="47"/>
  <c r="P71" i="47"/>
  <c r="P70" i="47"/>
  <c r="P69" i="47"/>
  <c r="P68" i="47"/>
  <c r="P67" i="47"/>
  <c r="P66" i="47"/>
  <c r="P65" i="47"/>
  <c r="N75" i="47"/>
  <c r="N74" i="47"/>
  <c r="L75" i="47"/>
  <c r="L74" i="47"/>
  <c r="H75" i="47"/>
  <c r="H74" i="47"/>
  <c r="H73" i="47"/>
  <c r="H72" i="47"/>
  <c r="H71" i="47"/>
  <c r="H70" i="47"/>
  <c r="H69" i="47"/>
  <c r="H68" i="47"/>
  <c r="H67" i="47"/>
  <c r="H66" i="47"/>
  <c r="H65" i="47"/>
  <c r="F75" i="47"/>
  <c r="F74" i="47"/>
  <c r="F73" i="47"/>
  <c r="F72" i="47"/>
  <c r="D75" i="47"/>
  <c r="D74" i="47"/>
  <c r="D73" i="47"/>
  <c r="D72" i="47"/>
  <c r="P59" i="47"/>
  <c r="P58" i="47"/>
  <c r="N59" i="47"/>
  <c r="N58" i="47"/>
  <c r="L59" i="47"/>
  <c r="L58" i="47"/>
  <c r="H59" i="47"/>
  <c r="H58" i="47"/>
  <c r="H57" i="47"/>
  <c r="H56" i="47"/>
  <c r="F59" i="47"/>
  <c r="F58" i="47"/>
  <c r="F57" i="47"/>
  <c r="F56" i="47"/>
  <c r="D59" i="47"/>
  <c r="D58" i="47"/>
  <c r="D57" i="47"/>
  <c r="D56" i="47"/>
  <c r="P43" i="47"/>
  <c r="P42" i="47"/>
  <c r="P41" i="47"/>
  <c r="P40" i="47"/>
  <c r="P39" i="47"/>
  <c r="P38" i="47"/>
  <c r="P37" i="47"/>
  <c r="P36" i="47"/>
  <c r="P35" i="47"/>
  <c r="P34" i="47"/>
  <c r="P33" i="47"/>
  <c r="N43" i="47"/>
  <c r="N42" i="47"/>
  <c r="L43" i="47"/>
  <c r="L42" i="47"/>
  <c r="H43" i="47"/>
  <c r="H42" i="47"/>
  <c r="H41" i="47"/>
  <c r="H40" i="47"/>
  <c r="H39" i="47"/>
  <c r="H38" i="47"/>
  <c r="H37" i="47"/>
  <c r="H36" i="47"/>
  <c r="H35" i="47"/>
  <c r="H34" i="47"/>
  <c r="H33" i="47"/>
  <c r="F43" i="47"/>
  <c r="F42" i="47"/>
  <c r="F41" i="47"/>
  <c r="F40" i="47"/>
  <c r="D43" i="47"/>
  <c r="D42" i="47"/>
  <c r="D41" i="47"/>
  <c r="D40" i="47"/>
  <c r="H27" i="47"/>
  <c r="H26" i="47"/>
  <c r="H25" i="47"/>
  <c r="H24" i="47"/>
  <c r="H23" i="47"/>
  <c r="H22" i="47"/>
  <c r="H21" i="47"/>
  <c r="H20" i="47"/>
  <c r="H19" i="47"/>
  <c r="H18" i="47"/>
  <c r="H17" i="47"/>
  <c r="P27" i="47"/>
  <c r="P26" i="47"/>
  <c r="P25" i="47"/>
  <c r="P24" i="47"/>
  <c r="P23" i="47"/>
  <c r="P22" i="47"/>
  <c r="P21" i="47"/>
  <c r="P20" i="47"/>
  <c r="P19" i="47"/>
  <c r="P18" i="47"/>
  <c r="P17" i="47"/>
  <c r="N27" i="47"/>
  <c r="N26" i="47"/>
  <c r="L27" i="47"/>
  <c r="L26" i="47"/>
  <c r="F27" i="47"/>
  <c r="F26" i="47"/>
  <c r="F25" i="47"/>
  <c r="F24" i="47"/>
  <c r="D27" i="47"/>
  <c r="D24" i="47"/>
  <c r="D25" i="47"/>
  <c r="D26" i="47"/>
  <c r="P105" i="47" l="1"/>
  <c r="P122" i="47"/>
  <c r="P123" i="47"/>
  <c r="N123" i="47"/>
  <c r="L122" i="47"/>
  <c r="L123" i="47"/>
  <c r="N122" i="47"/>
  <c r="J16" i="47"/>
  <c r="J32" i="47"/>
  <c r="J48" i="47"/>
  <c r="J64" i="47"/>
  <c r="J80" i="47"/>
  <c r="J96" i="47"/>
  <c r="B96" i="47"/>
  <c r="B80" i="47"/>
  <c r="B64" i="47"/>
  <c r="B48" i="47"/>
  <c r="B32" i="47"/>
  <c r="B17" i="47"/>
  <c r="B18" i="47" s="1"/>
  <c r="J114" i="47" l="1"/>
  <c r="B114" i="47"/>
  <c r="B19" i="47"/>
  <c r="B50" i="47"/>
  <c r="B34" i="47"/>
  <c r="B66" i="47"/>
  <c r="B82" i="47"/>
  <c r="B98" i="47"/>
  <c r="J98" i="47"/>
  <c r="J82" i="47"/>
  <c r="J66" i="47"/>
  <c r="J50" i="47"/>
  <c r="J34" i="47"/>
  <c r="J18" i="47"/>
  <c r="J113" i="47"/>
  <c r="B113" i="47"/>
  <c r="B33" i="47"/>
  <c r="B49" i="47"/>
  <c r="B65" i="47"/>
  <c r="B81" i="47"/>
  <c r="B97" i="47"/>
  <c r="J97" i="47"/>
  <c r="J81" i="47"/>
  <c r="J65" i="47"/>
  <c r="J49" i="47"/>
  <c r="J33" i="47"/>
  <c r="J17" i="47"/>
  <c r="B20" i="47" l="1"/>
  <c r="J115" i="47"/>
  <c r="B115" i="47"/>
  <c r="J19" i="47"/>
  <c r="J35" i="47"/>
  <c r="J51" i="47"/>
  <c r="J67" i="47"/>
  <c r="J83" i="47"/>
  <c r="J99" i="47"/>
  <c r="B99" i="47"/>
  <c r="B83" i="47"/>
  <c r="B67" i="47"/>
  <c r="B51" i="47"/>
  <c r="B35" i="47"/>
  <c r="K30" i="53"/>
  <c r="K24" i="53"/>
  <c r="K21" i="53"/>
  <c r="B34" i="51"/>
  <c r="B30" i="51"/>
  <c r="B26" i="51"/>
  <c r="B22" i="51"/>
  <c r="B18" i="51"/>
  <c r="B14" i="51"/>
  <c r="B21" i="47" l="1"/>
  <c r="J116" i="47"/>
  <c r="B116" i="47"/>
  <c r="J20" i="47"/>
  <c r="J36" i="47"/>
  <c r="J52" i="47"/>
  <c r="J68" i="47"/>
  <c r="J84" i="47"/>
  <c r="J100" i="47"/>
  <c r="B100" i="47"/>
  <c r="B84" i="47"/>
  <c r="B68" i="47"/>
  <c r="B52" i="47"/>
  <c r="B36" i="47"/>
  <c r="J38" i="53"/>
  <c r="I35" i="53"/>
  <c r="I32" i="53"/>
  <c r="I29" i="53"/>
  <c r="H37" i="42"/>
  <c r="H35" i="42"/>
  <c r="B35" i="53"/>
  <c r="B32" i="53"/>
  <c r="B29" i="53"/>
  <c r="B26" i="53"/>
  <c r="B23" i="53"/>
  <c r="B20" i="53"/>
  <c r="E68" i="42"/>
  <c r="E70" i="42" s="1"/>
  <c r="C66" i="42"/>
  <c r="D66" i="42" s="1"/>
  <c r="H40" i="42"/>
  <c r="F39" i="42"/>
  <c r="F38" i="42"/>
  <c r="E38" i="42" s="1"/>
  <c r="H38" i="42" s="1"/>
  <c r="B22" i="47" l="1"/>
  <c r="J117" i="47"/>
  <c r="B117" i="47"/>
  <c r="J21" i="47"/>
  <c r="J37" i="47"/>
  <c r="J53" i="47"/>
  <c r="J69" i="47"/>
  <c r="J85" i="47"/>
  <c r="J101" i="47"/>
  <c r="B101" i="47"/>
  <c r="B85" i="47"/>
  <c r="B69" i="47"/>
  <c r="B53" i="47"/>
  <c r="B37" i="47"/>
  <c r="H36" i="42"/>
  <c r="G68" i="42"/>
  <c r="G70" i="42" s="1"/>
  <c r="H39" i="42"/>
  <c r="F68" i="42"/>
  <c r="F70" i="42" s="1"/>
  <c r="H41" i="42" l="1"/>
  <c r="B27" i="42" s="1"/>
  <c r="B33" i="42" s="1"/>
  <c r="B23" i="47"/>
  <c r="J118" i="47"/>
  <c r="B118" i="47"/>
  <c r="B38" i="47"/>
  <c r="J22" i="47"/>
  <c r="J38" i="47"/>
  <c r="J54" i="47"/>
  <c r="J70" i="47"/>
  <c r="J86" i="47"/>
  <c r="J102" i="47"/>
  <c r="B102" i="47"/>
  <c r="B86" i="47"/>
  <c r="B70" i="47"/>
  <c r="B54" i="47"/>
  <c r="E28" i="42" l="1"/>
  <c r="G27" i="42"/>
  <c r="C27" i="42"/>
  <c r="G30" i="42"/>
  <c r="F28" i="42"/>
  <c r="G29" i="42"/>
  <c r="E30" i="42"/>
  <c r="F30" i="42"/>
  <c r="F29" i="42"/>
  <c r="D28" i="42"/>
  <c r="G31" i="42"/>
  <c r="D27" i="42"/>
  <c r="F31" i="42"/>
  <c r="E29" i="42"/>
  <c r="C28" i="42"/>
  <c r="C33" i="42" s="1"/>
  <c r="E27" i="42"/>
  <c r="F27" i="42"/>
  <c r="D29" i="42"/>
  <c r="G32" i="42"/>
  <c r="G28" i="42"/>
  <c r="B24" i="47"/>
  <c r="J119" i="47"/>
  <c r="B119" i="47"/>
  <c r="J23" i="47"/>
  <c r="J39" i="47"/>
  <c r="J55" i="47"/>
  <c r="J71" i="47"/>
  <c r="J87" i="47"/>
  <c r="J103" i="47"/>
  <c r="B103" i="47"/>
  <c r="B87" i="47"/>
  <c r="B71" i="47"/>
  <c r="B55" i="47"/>
  <c r="B39" i="47"/>
  <c r="F33" i="42" l="1"/>
  <c r="E33" i="42"/>
  <c r="D33" i="42"/>
  <c r="B25" i="47"/>
  <c r="J120" i="47"/>
  <c r="B120" i="47"/>
  <c r="J24" i="47"/>
  <c r="J40" i="47"/>
  <c r="J56" i="47"/>
  <c r="J72" i="47"/>
  <c r="J88" i="47"/>
  <c r="J104" i="47"/>
  <c r="B104" i="47"/>
  <c r="B88" i="47"/>
  <c r="B72" i="47"/>
  <c r="B56" i="47"/>
  <c r="B40" i="47"/>
  <c r="AC31" i="46"/>
  <c r="G29" i="46"/>
  <c r="K56" i="47" s="1"/>
  <c r="R142" i="30"/>
  <c r="Q142" i="30"/>
  <c r="P142" i="30"/>
  <c r="R141" i="30"/>
  <c r="Q141" i="30"/>
  <c r="P141" i="30"/>
  <c r="R140" i="30"/>
  <c r="C102" i="47" s="1"/>
  <c r="D103" i="47" s="1"/>
  <c r="Q140" i="30"/>
  <c r="G102" i="47" s="1"/>
  <c r="H103" i="47" s="1"/>
  <c r="P140" i="30"/>
  <c r="E102" i="47" s="1"/>
  <c r="F103" i="47" s="1"/>
  <c r="R139" i="30"/>
  <c r="C101" i="47" s="1"/>
  <c r="D102" i="47" s="1"/>
  <c r="Q139" i="30"/>
  <c r="G101" i="47" s="1"/>
  <c r="H102" i="47" s="1"/>
  <c r="P139" i="30"/>
  <c r="E101" i="47" s="1"/>
  <c r="F102" i="47" s="1"/>
  <c r="R138" i="30"/>
  <c r="C100" i="47" s="1"/>
  <c r="D101" i="47" s="1"/>
  <c r="Q138" i="30"/>
  <c r="G100" i="47" s="1"/>
  <c r="H101" i="47" s="1"/>
  <c r="P138" i="30"/>
  <c r="E100" i="47" s="1"/>
  <c r="F101" i="47" s="1"/>
  <c r="R137" i="30"/>
  <c r="C99" i="47" s="1"/>
  <c r="D100" i="47" s="1"/>
  <c r="Q137" i="30"/>
  <c r="G99" i="47" s="1"/>
  <c r="H100" i="47" s="1"/>
  <c r="P137" i="30"/>
  <c r="E99" i="47" s="1"/>
  <c r="F100" i="47" s="1"/>
  <c r="R136" i="30"/>
  <c r="C98" i="47" s="1"/>
  <c r="D99" i="47" s="1"/>
  <c r="Q136" i="30"/>
  <c r="G98" i="47" s="1"/>
  <c r="H99" i="47" s="1"/>
  <c r="P136" i="30"/>
  <c r="E98" i="47" s="1"/>
  <c r="F99" i="47" s="1"/>
  <c r="R135" i="30"/>
  <c r="C97" i="47" s="1"/>
  <c r="D98" i="47" s="1"/>
  <c r="Q135" i="30"/>
  <c r="G97" i="47" s="1"/>
  <c r="H98" i="47" s="1"/>
  <c r="P135" i="30"/>
  <c r="E97" i="47" s="1"/>
  <c r="F98" i="47" s="1"/>
  <c r="R134" i="30"/>
  <c r="C96" i="47" s="1"/>
  <c r="D97" i="47" s="1"/>
  <c r="Q134" i="30"/>
  <c r="G96" i="47" s="1"/>
  <c r="H97" i="47" s="1"/>
  <c r="P134" i="30"/>
  <c r="E96" i="47" s="1"/>
  <c r="F97" i="47" s="1"/>
  <c r="O142" i="30"/>
  <c r="N142" i="30"/>
  <c r="M142" i="30"/>
  <c r="O141" i="30"/>
  <c r="N141" i="30"/>
  <c r="M141" i="30"/>
  <c r="K142" i="30"/>
  <c r="K141" i="30"/>
  <c r="L142" i="30"/>
  <c r="L141" i="30"/>
  <c r="J142" i="30"/>
  <c r="J141" i="30"/>
  <c r="I142" i="30"/>
  <c r="H142" i="30"/>
  <c r="I141" i="30"/>
  <c r="H141" i="30"/>
  <c r="G142" i="30"/>
  <c r="F142" i="30"/>
  <c r="G141" i="30"/>
  <c r="F141" i="30"/>
  <c r="E141" i="30"/>
  <c r="E142" i="30"/>
  <c r="D142" i="30"/>
  <c r="D141" i="30"/>
  <c r="L24" i="32" l="1"/>
  <c r="B46" i="60" s="1"/>
  <c r="B49" i="59"/>
  <c r="L57" i="47"/>
  <c r="B26" i="47"/>
  <c r="J121" i="47"/>
  <c r="B121" i="47"/>
  <c r="J25" i="47"/>
  <c r="J41" i="47"/>
  <c r="J57" i="47"/>
  <c r="J73" i="47"/>
  <c r="J89" i="47"/>
  <c r="J105" i="47"/>
  <c r="B105" i="47"/>
  <c r="B89" i="47"/>
  <c r="B73" i="47"/>
  <c r="B57" i="47"/>
  <c r="B41" i="47"/>
  <c r="U105" i="4"/>
  <c r="U106" i="4" s="1"/>
  <c r="U107" i="4" s="1"/>
  <c r="U108" i="4" s="1"/>
  <c r="U109" i="4" s="1"/>
  <c r="U110" i="4" s="1"/>
  <c r="U111" i="4" s="1"/>
  <c r="U112" i="4" s="1"/>
  <c r="U113" i="4" s="1"/>
  <c r="U114" i="4" s="1"/>
  <c r="U115" i="4" s="1"/>
  <c r="U116" i="4" s="1"/>
  <c r="U117" i="4" s="1"/>
  <c r="U118" i="4" s="1"/>
  <c r="U119" i="4" s="1"/>
  <c r="U120" i="4" s="1"/>
  <c r="U121" i="4" s="1"/>
  <c r="U122" i="4" s="1"/>
  <c r="U123" i="4" s="1"/>
  <c r="U124" i="4" s="1"/>
  <c r="U125" i="4" s="1"/>
  <c r="U126" i="4" s="1"/>
  <c r="U127" i="4" s="1"/>
  <c r="J122" i="47" l="1"/>
  <c r="B122" i="47"/>
  <c r="B42" i="47"/>
  <c r="J26" i="47"/>
  <c r="J42" i="47"/>
  <c r="J58" i="47"/>
  <c r="J74" i="47"/>
  <c r="J90" i="47"/>
  <c r="J106" i="47"/>
  <c r="B106" i="47"/>
  <c r="B90" i="47"/>
  <c r="B74" i="47"/>
  <c r="B58" i="47"/>
  <c r="B27" i="47"/>
  <c r="Q103" i="4"/>
  <c r="Q102" i="4"/>
  <c r="Q101" i="4"/>
  <c r="Q100" i="4"/>
  <c r="Q99" i="4"/>
  <c r="Q98" i="4"/>
  <c r="Q97" i="4"/>
  <c r="Q96" i="4"/>
  <c r="Q95" i="4"/>
  <c r="Q94" i="4"/>
  <c r="Q93" i="4"/>
  <c r="Q92" i="4"/>
  <c r="Q91" i="4"/>
  <c r="Q90" i="4"/>
  <c r="Q89" i="4"/>
  <c r="Q88" i="4"/>
  <c r="Q87" i="4"/>
  <c r="Q86" i="4"/>
  <c r="Q85" i="4"/>
  <c r="Q84" i="4"/>
  <c r="Q83" i="4"/>
  <c r="Q82" i="4"/>
  <c r="Q81" i="4"/>
  <c r="Q80" i="4"/>
  <c r="Q79" i="4"/>
  <c r="Q78" i="4"/>
  <c r="Q77" i="4"/>
  <c r="Q76" i="4"/>
  <c r="Q75" i="4"/>
  <c r="Q74" i="4"/>
  <c r="Q73" i="4"/>
  <c r="Q72" i="4"/>
  <c r="Q71" i="4"/>
  <c r="Q70" i="4"/>
  <c r="Q69" i="4"/>
  <c r="Q68" i="4"/>
  <c r="Q67" i="4"/>
  <c r="Q66" i="4"/>
  <c r="Q65" i="4"/>
  <c r="Q64" i="4"/>
  <c r="Q63" i="4"/>
  <c r="Q62" i="4"/>
  <c r="Q61" i="4"/>
  <c r="Q60" i="4"/>
  <c r="Q59" i="4"/>
  <c r="Q58" i="4"/>
  <c r="Q57" i="4"/>
  <c r="Q56" i="4"/>
  <c r="Q55" i="4"/>
  <c r="Q54" i="4"/>
  <c r="Q53" i="4"/>
  <c r="Q52" i="4"/>
  <c r="Q51" i="4"/>
  <c r="Q50" i="4"/>
  <c r="Q49" i="4"/>
  <c r="Q48" i="4"/>
  <c r="Q47" i="4"/>
  <c r="Q46" i="4"/>
  <c r="Q45" i="4"/>
  <c r="Q44" i="4"/>
  <c r="Q43" i="4"/>
  <c r="Q42" i="4"/>
  <c r="Q41" i="4"/>
  <c r="Q40" i="4"/>
  <c r="Q39" i="4"/>
  <c r="Q38" i="4"/>
  <c r="Q37" i="4"/>
  <c r="Q36" i="4"/>
  <c r="Q35" i="4"/>
  <c r="Q34" i="4"/>
  <c r="Q33" i="4"/>
  <c r="Q32" i="4"/>
  <c r="Q31" i="4"/>
  <c r="Q30" i="4"/>
  <c r="Q29" i="4"/>
  <c r="Q28" i="4"/>
  <c r="Q27" i="4"/>
  <c r="Q26" i="4"/>
  <c r="Q25" i="4"/>
  <c r="Q24" i="4"/>
  <c r="Q23" i="4"/>
  <c r="Q22" i="4"/>
  <c r="Q21" i="4"/>
  <c r="Q20" i="4"/>
  <c r="P91" i="4"/>
  <c r="P90" i="4"/>
  <c r="P89" i="4"/>
  <c r="P88" i="4"/>
  <c r="P87" i="4"/>
  <c r="P86" i="4"/>
  <c r="P85" i="4"/>
  <c r="P84" i="4"/>
  <c r="P83" i="4"/>
  <c r="P82" i="4"/>
  <c r="P81" i="4"/>
  <c r="P80" i="4"/>
  <c r="P102" i="4"/>
  <c r="P101" i="4"/>
  <c r="P100" i="4"/>
  <c r="P99" i="4"/>
  <c r="P98" i="4"/>
  <c r="P97" i="4"/>
  <c r="P96" i="4"/>
  <c r="P95" i="4"/>
  <c r="P94" i="4"/>
  <c r="P93" i="4"/>
  <c r="P92" i="4"/>
  <c r="P103" i="4"/>
  <c r="P79" i="4"/>
  <c r="P78" i="4"/>
  <c r="P77" i="4"/>
  <c r="P76" i="4"/>
  <c r="P75" i="4"/>
  <c r="P74" i="4"/>
  <c r="P73" i="4"/>
  <c r="P72" i="4"/>
  <c r="P71" i="4"/>
  <c r="P70" i="4"/>
  <c r="P69" i="4"/>
  <c r="P68" i="4"/>
  <c r="P67" i="4"/>
  <c r="P66" i="4"/>
  <c r="P65" i="4"/>
  <c r="P64" i="4"/>
  <c r="P63" i="4"/>
  <c r="P62" i="4"/>
  <c r="P61" i="4"/>
  <c r="P60" i="4"/>
  <c r="P59" i="4"/>
  <c r="P58" i="4"/>
  <c r="P57" i="4"/>
  <c r="P56" i="4"/>
  <c r="P55" i="4"/>
  <c r="P54" i="4"/>
  <c r="P53" i="4"/>
  <c r="P52" i="4"/>
  <c r="P51" i="4"/>
  <c r="P50" i="4"/>
  <c r="P49" i="4"/>
  <c r="P48" i="4"/>
  <c r="P47" i="4"/>
  <c r="P46" i="4"/>
  <c r="P45" i="4"/>
  <c r="P44" i="4"/>
  <c r="P43" i="4"/>
  <c r="P42" i="4"/>
  <c r="P41" i="4"/>
  <c r="P40" i="4"/>
  <c r="P39" i="4"/>
  <c r="P38" i="4"/>
  <c r="P37" i="4"/>
  <c r="P36" i="4"/>
  <c r="P35" i="4"/>
  <c r="P34" i="4"/>
  <c r="P33" i="4"/>
  <c r="P32" i="4"/>
  <c r="P31" i="4"/>
  <c r="P30" i="4"/>
  <c r="P29" i="4"/>
  <c r="P28" i="4"/>
  <c r="P27" i="4"/>
  <c r="P26" i="4"/>
  <c r="P25" i="4"/>
  <c r="P24" i="4"/>
  <c r="P23" i="4"/>
  <c r="P22" i="4"/>
  <c r="P21" i="4"/>
  <c r="P20" i="4"/>
  <c r="O103" i="4"/>
  <c r="O102" i="4"/>
  <c r="O101" i="4"/>
  <c r="O100" i="4"/>
  <c r="O99" i="4"/>
  <c r="O98" i="4"/>
  <c r="O97" i="4"/>
  <c r="O96" i="4"/>
  <c r="O95" i="4"/>
  <c r="O94" i="4"/>
  <c r="O93" i="4"/>
  <c r="O92" i="4"/>
  <c r="O91" i="4"/>
  <c r="O90" i="4"/>
  <c r="O89" i="4"/>
  <c r="O88" i="4"/>
  <c r="O87" i="4"/>
  <c r="O86" i="4"/>
  <c r="O85" i="4"/>
  <c r="O84" i="4"/>
  <c r="O83" i="4"/>
  <c r="O82" i="4"/>
  <c r="O81" i="4"/>
  <c r="O80" i="4"/>
  <c r="O79" i="4"/>
  <c r="O78" i="4"/>
  <c r="O77" i="4"/>
  <c r="O76" i="4"/>
  <c r="O75" i="4"/>
  <c r="O74" i="4"/>
  <c r="O73" i="4"/>
  <c r="O72" i="4"/>
  <c r="O71" i="4"/>
  <c r="O70" i="4"/>
  <c r="O69" i="4"/>
  <c r="O68" i="4"/>
  <c r="O67" i="4"/>
  <c r="O66" i="4"/>
  <c r="O65" i="4"/>
  <c r="O64" i="4"/>
  <c r="O63" i="4"/>
  <c r="O62" i="4"/>
  <c r="O61" i="4"/>
  <c r="O60" i="4"/>
  <c r="O59" i="4"/>
  <c r="O58" i="4"/>
  <c r="O57" i="4"/>
  <c r="O56" i="4"/>
  <c r="O55" i="4"/>
  <c r="O54" i="4"/>
  <c r="O53" i="4"/>
  <c r="O52" i="4"/>
  <c r="O51" i="4"/>
  <c r="O50" i="4"/>
  <c r="O49" i="4"/>
  <c r="O48" i="4"/>
  <c r="O47" i="4"/>
  <c r="O46" i="4"/>
  <c r="O45" i="4"/>
  <c r="O44" i="4"/>
  <c r="O43" i="4"/>
  <c r="O42" i="4"/>
  <c r="O41" i="4"/>
  <c r="O40" i="4"/>
  <c r="O39" i="4"/>
  <c r="O38" i="4"/>
  <c r="O37" i="4"/>
  <c r="O36" i="4"/>
  <c r="O35" i="4"/>
  <c r="O34" i="4"/>
  <c r="O33" i="4"/>
  <c r="O32" i="4"/>
  <c r="O31" i="4"/>
  <c r="O30" i="4"/>
  <c r="O29" i="4"/>
  <c r="O28" i="4"/>
  <c r="O27" i="4"/>
  <c r="O26" i="4"/>
  <c r="O25" i="4"/>
  <c r="O24" i="4"/>
  <c r="O23" i="4"/>
  <c r="O22" i="4"/>
  <c r="O21" i="4"/>
  <c r="O20" i="4"/>
  <c r="M103" i="4"/>
  <c r="M102" i="4"/>
  <c r="M101" i="4"/>
  <c r="M100" i="4"/>
  <c r="M99" i="4"/>
  <c r="M98" i="4"/>
  <c r="M97" i="4"/>
  <c r="M96" i="4"/>
  <c r="M95" i="4"/>
  <c r="M94" i="4"/>
  <c r="M93" i="4"/>
  <c r="M92" i="4"/>
  <c r="M91" i="4"/>
  <c r="M90" i="4"/>
  <c r="M89" i="4"/>
  <c r="M88" i="4"/>
  <c r="M87" i="4"/>
  <c r="M86" i="4"/>
  <c r="M85" i="4"/>
  <c r="M84" i="4"/>
  <c r="M83" i="4"/>
  <c r="M82" i="4"/>
  <c r="M81" i="4"/>
  <c r="M80" i="4"/>
  <c r="M79" i="4"/>
  <c r="M78" i="4"/>
  <c r="M77" i="4"/>
  <c r="M76" i="4"/>
  <c r="M75" i="4"/>
  <c r="M74" i="4"/>
  <c r="M73" i="4"/>
  <c r="M72" i="4"/>
  <c r="M71" i="4"/>
  <c r="M70" i="4"/>
  <c r="M69" i="4"/>
  <c r="M68" i="4"/>
  <c r="M67" i="4"/>
  <c r="M66" i="4"/>
  <c r="M65" i="4"/>
  <c r="M64" i="4"/>
  <c r="M63" i="4"/>
  <c r="M62" i="4"/>
  <c r="M61" i="4"/>
  <c r="M60" i="4"/>
  <c r="M59" i="4"/>
  <c r="M58" i="4"/>
  <c r="M57" i="4"/>
  <c r="M56" i="4"/>
  <c r="M55" i="4"/>
  <c r="M54" i="4"/>
  <c r="M53" i="4"/>
  <c r="M52" i="4"/>
  <c r="M51" i="4"/>
  <c r="M50" i="4"/>
  <c r="M49" i="4"/>
  <c r="M48" i="4"/>
  <c r="M47" i="4"/>
  <c r="M46" i="4"/>
  <c r="M45" i="4"/>
  <c r="M44" i="4"/>
  <c r="M43" i="4"/>
  <c r="M42" i="4"/>
  <c r="M41" i="4"/>
  <c r="M40" i="4"/>
  <c r="M39" i="4"/>
  <c r="M38" i="4"/>
  <c r="M37" i="4"/>
  <c r="M36" i="4"/>
  <c r="M35" i="4"/>
  <c r="M34" i="4"/>
  <c r="M33" i="4"/>
  <c r="M32" i="4"/>
  <c r="M31" i="4"/>
  <c r="M30" i="4"/>
  <c r="M29" i="4"/>
  <c r="M28" i="4"/>
  <c r="M27" i="4"/>
  <c r="M26" i="4"/>
  <c r="M25" i="4"/>
  <c r="M24" i="4"/>
  <c r="M23" i="4"/>
  <c r="M22" i="4"/>
  <c r="M21" i="4"/>
  <c r="M20" i="4"/>
  <c r="Q18" i="4"/>
  <c r="P18" i="4"/>
  <c r="O18" i="4"/>
  <c r="N18" i="4"/>
  <c r="M18" i="4"/>
  <c r="L18" i="4"/>
  <c r="K18" i="4"/>
  <c r="B10" i="57"/>
  <c r="B12" i="57" l="1"/>
  <c r="J123" i="47"/>
  <c r="B123" i="47"/>
  <c r="J27" i="47"/>
  <c r="J43" i="47"/>
  <c r="J59" i="47"/>
  <c r="J75" i="47"/>
  <c r="J91" i="47"/>
  <c r="J107" i="47"/>
  <c r="B107" i="47"/>
  <c r="B91" i="47"/>
  <c r="B75" i="47"/>
  <c r="B59" i="47"/>
  <c r="B43" i="47"/>
  <c r="G9" i="57"/>
  <c r="F9" i="57"/>
  <c r="D9" i="57"/>
  <c r="C9" i="57"/>
  <c r="B9" i="57"/>
  <c r="H10" i="57"/>
  <c r="G10" i="57"/>
  <c r="F10" i="57"/>
  <c r="E10" i="57"/>
  <c r="D10" i="57"/>
  <c r="C10" i="57"/>
  <c r="H9" i="57"/>
  <c r="E9" i="57"/>
  <c r="H11" i="57"/>
  <c r="G11" i="57"/>
  <c r="F11" i="57"/>
  <c r="E11" i="57"/>
  <c r="D11" i="57"/>
  <c r="C11" i="57"/>
  <c r="B11" i="57"/>
  <c r="H12" i="57"/>
  <c r="G12" i="57"/>
  <c r="F12" i="57"/>
  <c r="E12" i="57"/>
  <c r="D12" i="57"/>
  <c r="C12" i="57"/>
  <c r="M110" i="4"/>
  <c r="M122" i="4" s="1"/>
  <c r="O105" i="4"/>
  <c r="O117" i="4" s="1"/>
  <c r="O109" i="4"/>
  <c r="O121" i="4" s="1"/>
  <c r="P105" i="4"/>
  <c r="P117" i="4" s="1"/>
  <c r="P113" i="4"/>
  <c r="P125" i="4" s="1"/>
  <c r="M107" i="4"/>
  <c r="M119" i="4" s="1"/>
  <c r="M111" i="4"/>
  <c r="M123" i="4" s="1"/>
  <c r="M115" i="4"/>
  <c r="M127" i="4" s="1"/>
  <c r="O106" i="4"/>
  <c r="O118" i="4" s="1"/>
  <c r="O114" i="4"/>
  <c r="O126" i="4" s="1"/>
  <c r="M104" i="4"/>
  <c r="M116" i="4" s="1"/>
  <c r="M108" i="4"/>
  <c r="M120" i="4" s="1"/>
  <c r="M112" i="4"/>
  <c r="M124" i="4" s="1"/>
  <c r="O107" i="4"/>
  <c r="O119" i="4" s="1"/>
  <c r="O111" i="4"/>
  <c r="O123" i="4" s="1"/>
  <c r="O115" i="4"/>
  <c r="O127" i="4" s="1"/>
  <c r="P107" i="4"/>
  <c r="P119" i="4" s="1"/>
  <c r="P111" i="4"/>
  <c r="P123" i="4" s="1"/>
  <c r="P115" i="4"/>
  <c r="P127" i="4" s="1"/>
  <c r="Q104" i="4"/>
  <c r="Q105" i="4" s="1"/>
  <c r="Q106" i="4" s="1"/>
  <c r="Q107" i="4" s="1"/>
  <c r="Q108" i="4" s="1"/>
  <c r="Q109" i="4" s="1"/>
  <c r="Q110" i="4" s="1"/>
  <c r="Q111" i="4" s="1"/>
  <c r="Q112" i="4" s="1"/>
  <c r="Q113" i="4" s="1"/>
  <c r="Q114" i="4" s="1"/>
  <c r="Q115" i="4" s="1"/>
  <c r="Q116" i="4" s="1"/>
  <c r="Q117" i="4" s="1"/>
  <c r="Q118" i="4" s="1"/>
  <c r="Q119" i="4" s="1"/>
  <c r="Q120" i="4" s="1"/>
  <c r="Q121" i="4" s="1"/>
  <c r="Q122" i="4" s="1"/>
  <c r="Q123" i="4" s="1"/>
  <c r="Q124" i="4" s="1"/>
  <c r="Q125" i="4" s="1"/>
  <c r="Q126" i="4" s="1"/>
  <c r="Q127" i="4" s="1"/>
  <c r="M106" i="4"/>
  <c r="M118" i="4" s="1"/>
  <c r="M114" i="4"/>
  <c r="M126" i="4" s="1"/>
  <c r="O113" i="4"/>
  <c r="O125" i="4" s="1"/>
  <c r="P109" i="4"/>
  <c r="P121" i="4" s="1"/>
  <c r="O110" i="4"/>
  <c r="O122" i="4" s="1"/>
  <c r="M105" i="4"/>
  <c r="M117" i="4" s="1"/>
  <c r="M109" i="4"/>
  <c r="M121" i="4" s="1"/>
  <c r="M113" i="4"/>
  <c r="M125" i="4" s="1"/>
  <c r="O104" i="4"/>
  <c r="O116" i="4" s="1"/>
  <c r="O108" i="4"/>
  <c r="O120" i="4" s="1"/>
  <c r="O112" i="4"/>
  <c r="O124" i="4" s="1"/>
  <c r="P104" i="4"/>
  <c r="P116" i="4" s="1"/>
  <c r="P108" i="4"/>
  <c r="P120" i="4" s="1"/>
  <c r="P112" i="4"/>
  <c r="P124" i="4" s="1"/>
  <c r="P106" i="4"/>
  <c r="P118" i="4" s="1"/>
  <c r="P110" i="4"/>
  <c r="P122" i="4" s="1"/>
  <c r="P114" i="4"/>
  <c r="P126" i="4" s="1"/>
  <c r="L103" i="4"/>
  <c r="L102" i="4"/>
  <c r="L101" i="4"/>
  <c r="L100" i="4"/>
  <c r="L99" i="4"/>
  <c r="L98" i="4"/>
  <c r="L97" i="4"/>
  <c r="L96" i="4"/>
  <c r="L95" i="4"/>
  <c r="L94" i="4"/>
  <c r="L93" i="4"/>
  <c r="L92" i="4"/>
  <c r="L91" i="4"/>
  <c r="L90" i="4"/>
  <c r="L89" i="4"/>
  <c r="L88" i="4"/>
  <c r="L87" i="4"/>
  <c r="L86" i="4"/>
  <c r="L85" i="4"/>
  <c r="L84" i="4"/>
  <c r="L83" i="4"/>
  <c r="L82" i="4"/>
  <c r="L81" i="4"/>
  <c r="L80" i="4"/>
  <c r="L79" i="4"/>
  <c r="L78" i="4"/>
  <c r="L77" i="4"/>
  <c r="L76" i="4"/>
  <c r="L75" i="4"/>
  <c r="L74" i="4"/>
  <c r="L73" i="4"/>
  <c r="L72" i="4"/>
  <c r="L71" i="4"/>
  <c r="L70" i="4"/>
  <c r="L69" i="4"/>
  <c r="L68" i="4"/>
  <c r="L67" i="4"/>
  <c r="L66" i="4"/>
  <c r="L65" i="4"/>
  <c r="L64" i="4"/>
  <c r="L63" i="4"/>
  <c r="L62" i="4"/>
  <c r="L61" i="4"/>
  <c r="L60" i="4"/>
  <c r="L59" i="4"/>
  <c r="L58" i="4"/>
  <c r="L57" i="4"/>
  <c r="L56" i="4"/>
  <c r="L55" i="4"/>
  <c r="L54" i="4"/>
  <c r="L53" i="4"/>
  <c r="L52" i="4"/>
  <c r="L51" i="4"/>
  <c r="L50" i="4"/>
  <c r="L49" i="4"/>
  <c r="L48" i="4"/>
  <c r="L47" i="4"/>
  <c r="L46" i="4"/>
  <c r="L45" i="4"/>
  <c r="L44" i="4"/>
  <c r="L43" i="4"/>
  <c r="L42" i="4"/>
  <c r="L41" i="4"/>
  <c r="L40" i="4"/>
  <c r="L39" i="4"/>
  <c r="L38" i="4"/>
  <c r="L37" i="4"/>
  <c r="L36" i="4"/>
  <c r="L35" i="4"/>
  <c r="L34" i="4"/>
  <c r="L33" i="4"/>
  <c r="L32" i="4"/>
  <c r="L31" i="4"/>
  <c r="L30" i="4"/>
  <c r="L29" i="4"/>
  <c r="L28" i="4"/>
  <c r="L27" i="4"/>
  <c r="L26" i="4"/>
  <c r="L25" i="4"/>
  <c r="L24" i="4"/>
  <c r="L23" i="4"/>
  <c r="L22" i="4"/>
  <c r="L21" i="4"/>
  <c r="L20" i="4"/>
  <c r="K103" i="4"/>
  <c r="K102" i="4"/>
  <c r="K101" i="4"/>
  <c r="K100" i="4"/>
  <c r="K99" i="4"/>
  <c r="K98" i="4"/>
  <c r="K97" i="4"/>
  <c r="K96" i="4"/>
  <c r="K95" i="4"/>
  <c r="K94" i="4"/>
  <c r="K93" i="4"/>
  <c r="K92" i="4"/>
  <c r="K91" i="4"/>
  <c r="K90" i="4"/>
  <c r="K89" i="4"/>
  <c r="K88" i="4"/>
  <c r="K87" i="4"/>
  <c r="K86" i="4"/>
  <c r="K85" i="4"/>
  <c r="K84" i="4"/>
  <c r="K83" i="4"/>
  <c r="K82" i="4"/>
  <c r="K81" i="4"/>
  <c r="K80" i="4"/>
  <c r="K79" i="4"/>
  <c r="K78" i="4"/>
  <c r="K77" i="4"/>
  <c r="K76" i="4"/>
  <c r="K75" i="4"/>
  <c r="K74" i="4"/>
  <c r="K73" i="4"/>
  <c r="K72" i="4"/>
  <c r="K71" i="4"/>
  <c r="K70" i="4"/>
  <c r="K69" i="4"/>
  <c r="K68" i="4"/>
  <c r="K67" i="4"/>
  <c r="K66" i="4"/>
  <c r="K65" i="4"/>
  <c r="K64" i="4"/>
  <c r="K63" i="4"/>
  <c r="K62" i="4"/>
  <c r="K61" i="4"/>
  <c r="K60" i="4"/>
  <c r="K59" i="4"/>
  <c r="K58" i="4"/>
  <c r="K57" i="4"/>
  <c r="K56" i="4"/>
  <c r="K55" i="4"/>
  <c r="K54" i="4"/>
  <c r="K53" i="4"/>
  <c r="K52" i="4"/>
  <c r="K51" i="4"/>
  <c r="K50" i="4"/>
  <c r="K49" i="4"/>
  <c r="K48" i="4"/>
  <c r="K47" i="4"/>
  <c r="K46" i="4"/>
  <c r="K45" i="4"/>
  <c r="K44" i="4"/>
  <c r="K43" i="4"/>
  <c r="K42" i="4"/>
  <c r="K41" i="4"/>
  <c r="K40" i="4"/>
  <c r="K39" i="4"/>
  <c r="K38" i="4"/>
  <c r="K37" i="4"/>
  <c r="K36" i="4"/>
  <c r="K35" i="4"/>
  <c r="K34" i="4"/>
  <c r="K33" i="4"/>
  <c r="K32" i="4"/>
  <c r="K31" i="4"/>
  <c r="K30" i="4"/>
  <c r="K29" i="4"/>
  <c r="K28" i="4"/>
  <c r="K27" i="4"/>
  <c r="K26" i="4"/>
  <c r="K25" i="4"/>
  <c r="K24" i="4"/>
  <c r="K23" i="4"/>
  <c r="K22" i="4"/>
  <c r="K21" i="4"/>
  <c r="K20" i="4"/>
  <c r="H14" i="57" l="1"/>
  <c r="C14" i="57"/>
  <c r="D14" i="57"/>
  <c r="F14" i="57"/>
  <c r="E14" i="57"/>
  <c r="B14" i="57"/>
  <c r="G14" i="57"/>
  <c r="K106" i="4"/>
  <c r="K108" i="4"/>
  <c r="K112" i="4"/>
  <c r="K104" i="4"/>
  <c r="K114" i="4"/>
  <c r="K110" i="4"/>
  <c r="K107" i="4"/>
  <c r="K111" i="4"/>
  <c r="K115" i="4"/>
  <c r="K105" i="4"/>
  <c r="K109" i="4"/>
  <c r="K113" i="4"/>
  <c r="K123" i="4" l="1"/>
  <c r="K116" i="4"/>
  <c r="K121" i="4"/>
  <c r="K126" i="4"/>
  <c r="K117" i="4"/>
  <c r="K122" i="4"/>
  <c r="K120" i="4"/>
  <c r="K125" i="4"/>
  <c r="K127" i="4"/>
  <c r="K119" i="4"/>
  <c r="K124" i="4"/>
  <c r="K118" i="4"/>
  <c r="N34" i="6" l="1"/>
  <c r="M23" i="6" l="1"/>
  <c r="M22" i="6"/>
  <c r="M21" i="6"/>
  <c r="M20" i="6"/>
  <c r="M19" i="6"/>
  <c r="AL23" i="46" s="1"/>
  <c r="M18" i="6"/>
  <c r="M17" i="6"/>
  <c r="S107" i="30" l="1"/>
  <c r="U107" i="30" s="1"/>
  <c r="S105" i="30"/>
  <c r="K55" i="52" s="1"/>
  <c r="N100" i="4" s="1"/>
  <c r="S100" i="4" s="1"/>
  <c r="S103" i="30"/>
  <c r="U103" i="30" s="1"/>
  <c r="S101" i="30"/>
  <c r="U101" i="30" s="1"/>
  <c r="S99" i="30"/>
  <c r="U99" i="30" s="1"/>
  <c r="S95" i="30"/>
  <c r="M54" i="52" s="1"/>
  <c r="N90" i="4" s="1"/>
  <c r="S90" i="4" s="1"/>
  <c r="S93" i="30"/>
  <c r="U93" i="30" s="1"/>
  <c r="S91" i="30"/>
  <c r="I54" i="52" s="1"/>
  <c r="N86" i="4" s="1"/>
  <c r="S86" i="4" s="1"/>
  <c r="S89" i="30"/>
  <c r="U89" i="30" s="1"/>
  <c r="S87" i="30"/>
  <c r="E54" i="52" s="1"/>
  <c r="N82" i="4" s="1"/>
  <c r="S82" i="4" s="1"/>
  <c r="S83" i="30"/>
  <c r="M53" i="52" s="1"/>
  <c r="N78" i="4" s="1"/>
  <c r="S78" i="4" s="1"/>
  <c r="S81" i="30"/>
  <c r="K53" i="52" s="1"/>
  <c r="N76" i="4" s="1"/>
  <c r="S76" i="4" s="1"/>
  <c r="S79" i="30"/>
  <c r="U79" i="30" s="1"/>
  <c r="S77" i="30"/>
  <c r="G53" i="52" s="1"/>
  <c r="N72" i="4" s="1"/>
  <c r="S72" i="4" s="1"/>
  <c r="S75" i="30"/>
  <c r="E53" i="52" s="1"/>
  <c r="N70" i="4" s="1"/>
  <c r="S70" i="4" s="1"/>
  <c r="S71" i="30"/>
  <c r="M52" i="52" s="1"/>
  <c r="N66" i="4" s="1"/>
  <c r="S66" i="4" s="1"/>
  <c r="S69" i="30"/>
  <c r="K52" i="52" s="1"/>
  <c r="N64" i="4" s="1"/>
  <c r="S64" i="4" s="1"/>
  <c r="S67" i="30"/>
  <c r="U67" i="30" s="1"/>
  <c r="S65" i="30"/>
  <c r="G52" i="52" s="1"/>
  <c r="N60" i="4" s="1"/>
  <c r="S60" i="4" s="1"/>
  <c r="S63" i="30"/>
  <c r="U63" i="30" s="1"/>
  <c r="S59" i="30"/>
  <c r="M51" i="52" s="1"/>
  <c r="N54" i="4" s="1"/>
  <c r="S54" i="4" s="1"/>
  <c r="S57" i="30"/>
  <c r="U57" i="30" s="1"/>
  <c r="S55" i="30"/>
  <c r="I51" i="52" s="1"/>
  <c r="N50" i="4" s="1"/>
  <c r="S50" i="4" s="1"/>
  <c r="S53" i="30"/>
  <c r="U53" i="30" s="1"/>
  <c r="S51" i="30"/>
  <c r="E51" i="52" s="1"/>
  <c r="N46" i="4" s="1"/>
  <c r="S46" i="4" s="1"/>
  <c r="S47" i="30"/>
  <c r="U47" i="30" s="1"/>
  <c r="S45" i="30"/>
  <c r="U45" i="30" s="1"/>
  <c r="S43" i="30"/>
  <c r="U43" i="30" s="1"/>
  <c r="S41" i="30"/>
  <c r="G50" i="52" s="1"/>
  <c r="N36" i="4" s="1"/>
  <c r="S36" i="4" s="1"/>
  <c r="S39" i="30"/>
  <c r="U39" i="30" s="1"/>
  <c r="S35" i="30"/>
  <c r="U35" i="30" s="1"/>
  <c r="S33" i="30"/>
  <c r="U33" i="30" s="1"/>
  <c r="S31" i="30"/>
  <c r="I49" i="52" s="1"/>
  <c r="N26" i="4" s="1"/>
  <c r="S26" i="4" s="1"/>
  <c r="S29" i="30"/>
  <c r="U29" i="30" s="1"/>
  <c r="S27" i="30"/>
  <c r="E49" i="52" s="1"/>
  <c r="N22" i="4" s="1"/>
  <c r="S22" i="4" s="1"/>
  <c r="N18" i="6"/>
  <c r="AL21" i="46"/>
  <c r="N22" i="6"/>
  <c r="AL25" i="46"/>
  <c r="N19" i="6"/>
  <c r="AL22" i="46"/>
  <c r="N23" i="6"/>
  <c r="AL26" i="46"/>
  <c r="N33" i="6"/>
  <c r="AL27" i="46"/>
  <c r="N21" i="6"/>
  <c r="AL24" i="46"/>
  <c r="N20" i="6"/>
  <c r="E22" i="6"/>
  <c r="K17" i="6"/>
  <c r="L18" i="6" s="1"/>
  <c r="I27" i="56" s="1"/>
  <c r="S97" i="30"/>
  <c r="C55" i="52" s="1"/>
  <c r="N92" i="4" s="1"/>
  <c r="S92" i="4" s="1"/>
  <c r="E140" i="30"/>
  <c r="S85" i="30"/>
  <c r="C54" i="52" s="1"/>
  <c r="N80" i="4" s="1"/>
  <c r="S80" i="4" s="1"/>
  <c r="E139" i="30"/>
  <c r="S73" i="30"/>
  <c r="C53" i="52" s="1"/>
  <c r="N68" i="4" s="1"/>
  <c r="S68" i="4" s="1"/>
  <c r="E138" i="30"/>
  <c r="S37" i="30"/>
  <c r="U37" i="30" s="1"/>
  <c r="E135" i="30"/>
  <c r="E23" i="6"/>
  <c r="E33" i="6" s="1"/>
  <c r="E34" i="6" s="1"/>
  <c r="E18" i="6"/>
  <c r="G23" i="6"/>
  <c r="I140" i="30"/>
  <c r="G22" i="6"/>
  <c r="I139" i="30"/>
  <c r="G19" i="6"/>
  <c r="I136" i="30"/>
  <c r="I23" i="6"/>
  <c r="L140" i="30"/>
  <c r="I21" i="6"/>
  <c r="L138" i="30"/>
  <c r="K22" i="6"/>
  <c r="O139" i="30"/>
  <c r="K20" i="6"/>
  <c r="O137" i="30"/>
  <c r="K19" i="6"/>
  <c r="O136" i="30"/>
  <c r="K18" i="6"/>
  <c r="O135" i="30"/>
  <c r="E17" i="6"/>
  <c r="G134" i="30"/>
  <c r="K140" i="30"/>
  <c r="K139" i="30"/>
  <c r="K135" i="30"/>
  <c r="I17" i="6"/>
  <c r="N139" i="30"/>
  <c r="N138" i="30"/>
  <c r="G140" i="30"/>
  <c r="G139" i="30"/>
  <c r="E21" i="6"/>
  <c r="G138" i="30"/>
  <c r="E20" i="6"/>
  <c r="G137" i="30"/>
  <c r="G136" i="30"/>
  <c r="G135" i="30"/>
  <c r="G17" i="6"/>
  <c r="L134" i="30"/>
  <c r="O134" i="30"/>
  <c r="S61" i="30"/>
  <c r="U61" i="30" s="1"/>
  <c r="E137" i="30"/>
  <c r="S49" i="30"/>
  <c r="U49" i="30" s="1"/>
  <c r="E136" i="30"/>
  <c r="E19" i="6"/>
  <c r="G21" i="6"/>
  <c r="I138" i="30"/>
  <c r="G20" i="6"/>
  <c r="I137" i="30"/>
  <c r="G18" i="6"/>
  <c r="I135" i="30"/>
  <c r="I22" i="6"/>
  <c r="L139" i="30"/>
  <c r="I20" i="6"/>
  <c r="L137" i="30"/>
  <c r="I19" i="6"/>
  <c r="L136" i="30"/>
  <c r="I18" i="6"/>
  <c r="L135" i="30"/>
  <c r="K23" i="6"/>
  <c r="O140" i="30"/>
  <c r="K21" i="6"/>
  <c r="O138" i="30"/>
  <c r="S25" i="30"/>
  <c r="U25" i="30" s="1"/>
  <c r="E134" i="30"/>
  <c r="K134" i="30"/>
  <c r="K138" i="30"/>
  <c r="K137" i="30"/>
  <c r="K136" i="30"/>
  <c r="N134" i="30"/>
  <c r="N140" i="30"/>
  <c r="N137" i="30"/>
  <c r="N136" i="30"/>
  <c r="N135" i="30"/>
  <c r="I134" i="30"/>
  <c r="M55" i="52"/>
  <c r="N102" i="4" s="1"/>
  <c r="S102" i="4" s="1"/>
  <c r="E55" i="52"/>
  <c r="N94" i="4" s="1"/>
  <c r="S94" i="4" s="1"/>
  <c r="I53" i="52"/>
  <c r="N74" i="4" s="1"/>
  <c r="S74" i="4" s="1"/>
  <c r="U69" i="30"/>
  <c r="U59" i="30"/>
  <c r="U41" i="30"/>
  <c r="U31" i="30"/>
  <c r="C17" i="6"/>
  <c r="C21" i="6"/>
  <c r="C18" i="6"/>
  <c r="C22" i="6"/>
  <c r="S108" i="30"/>
  <c r="S106" i="30"/>
  <c r="S104" i="30"/>
  <c r="S102" i="30"/>
  <c r="S100" i="30"/>
  <c r="S98" i="30"/>
  <c r="S96" i="30"/>
  <c r="S94" i="30"/>
  <c r="S92" i="30"/>
  <c r="S90" i="30"/>
  <c r="S88" i="30"/>
  <c r="S86" i="30"/>
  <c r="S84" i="30"/>
  <c r="S82" i="30"/>
  <c r="S80" i="30"/>
  <c r="S78" i="30"/>
  <c r="S76" i="30"/>
  <c r="S74" i="30"/>
  <c r="S72" i="30"/>
  <c r="S70" i="30"/>
  <c r="S68" i="30"/>
  <c r="S66" i="30"/>
  <c r="S64" i="30"/>
  <c r="S62" i="30"/>
  <c r="S60" i="30"/>
  <c r="S58" i="30"/>
  <c r="S56" i="30"/>
  <c r="S54" i="30"/>
  <c r="S52" i="30"/>
  <c r="S50" i="30"/>
  <c r="S48" i="30"/>
  <c r="S46" i="30"/>
  <c r="S44" i="30"/>
  <c r="S42" i="30"/>
  <c r="S40" i="30"/>
  <c r="S38" i="30"/>
  <c r="S36" i="30"/>
  <c r="S34" i="30"/>
  <c r="S32" i="30"/>
  <c r="S30" i="30"/>
  <c r="S28" i="30"/>
  <c r="S26" i="30"/>
  <c r="C19" i="6"/>
  <c r="C23" i="6"/>
  <c r="C20" i="6"/>
  <c r="B41" i="42"/>
  <c r="A40" i="42"/>
  <c r="A39" i="42"/>
  <c r="A38" i="42"/>
  <c r="A37" i="42"/>
  <c r="A36" i="42"/>
  <c r="A35" i="42"/>
  <c r="U51" i="30" l="1"/>
  <c r="G54" i="52"/>
  <c r="N84" i="4" s="1"/>
  <c r="S84" i="4" s="1"/>
  <c r="N25" i="6"/>
  <c r="G51" i="52"/>
  <c r="N48" i="4" s="1"/>
  <c r="S48" i="4" s="1"/>
  <c r="U91" i="30"/>
  <c r="E52" i="52"/>
  <c r="N58" i="4" s="1"/>
  <c r="S58" i="4" s="1"/>
  <c r="G55" i="52"/>
  <c r="N96" i="4" s="1"/>
  <c r="S96" i="4" s="1"/>
  <c r="U71" i="30"/>
  <c r="I55" i="52"/>
  <c r="N98" i="4" s="1"/>
  <c r="S98" i="4" s="1"/>
  <c r="M49" i="52"/>
  <c r="N30" i="4" s="1"/>
  <c r="S30" i="4" s="1"/>
  <c r="U27" i="30"/>
  <c r="B10" i="56"/>
  <c r="H30" i="56"/>
  <c r="H12" i="56"/>
  <c r="E30" i="56"/>
  <c r="H31" i="56"/>
  <c r="E11" i="56"/>
  <c r="E14" i="56"/>
  <c r="H10" i="56"/>
  <c r="E27" i="56"/>
  <c r="E26" i="56"/>
  <c r="E12" i="56"/>
  <c r="H9" i="56"/>
  <c r="E9" i="56"/>
  <c r="H28" i="56"/>
  <c r="H15" i="56"/>
  <c r="E31" i="56"/>
  <c r="E15" i="56"/>
  <c r="B13" i="56"/>
  <c r="K49" i="52"/>
  <c r="N28" i="4" s="1"/>
  <c r="S28" i="4" s="1"/>
  <c r="I50" i="52"/>
  <c r="N38" i="4" s="1"/>
  <c r="S38" i="4" s="1"/>
  <c r="U81" i="30"/>
  <c r="B12" i="56"/>
  <c r="B9" i="56"/>
  <c r="H32" i="56"/>
  <c r="H11" i="56"/>
  <c r="H14" i="56"/>
  <c r="E29" i="56"/>
  <c r="E13" i="56"/>
  <c r="H27" i="56"/>
  <c r="H29" i="56"/>
  <c r="H13" i="56"/>
  <c r="E28" i="56"/>
  <c r="E32" i="56"/>
  <c r="H26" i="56"/>
  <c r="B11" i="56"/>
  <c r="B15" i="56"/>
  <c r="B14" i="56"/>
  <c r="H18" i="6"/>
  <c r="F27" i="56" s="1"/>
  <c r="E10" i="56"/>
  <c r="U65" i="30"/>
  <c r="U75" i="30"/>
  <c r="U83" i="30"/>
  <c r="U55" i="30"/>
  <c r="K54" i="52"/>
  <c r="N88" i="4" s="1"/>
  <c r="S88" i="4" s="1"/>
  <c r="K50" i="52"/>
  <c r="N40" i="4" s="1"/>
  <c r="S40" i="4" s="1"/>
  <c r="G49" i="52"/>
  <c r="N24" i="4" s="1"/>
  <c r="S24" i="4" s="1"/>
  <c r="E50" i="52"/>
  <c r="N34" i="4" s="1"/>
  <c r="S34" i="4" s="1"/>
  <c r="M50" i="52"/>
  <c r="N42" i="4" s="1"/>
  <c r="S42" i="4" s="1"/>
  <c r="K51" i="52"/>
  <c r="N52" i="4" s="1"/>
  <c r="S52" i="4" s="1"/>
  <c r="I52" i="52"/>
  <c r="N62" i="4" s="1"/>
  <c r="S62" i="4" s="1"/>
  <c r="U77" i="30"/>
  <c r="U87" i="30"/>
  <c r="U95" i="30"/>
  <c r="U105" i="30"/>
  <c r="C52" i="52"/>
  <c r="N56" i="4" s="1"/>
  <c r="S56" i="4" s="1"/>
  <c r="L22" i="6"/>
  <c r="I31" i="56" s="1"/>
  <c r="J21" i="6"/>
  <c r="I13" i="56" s="1"/>
  <c r="H22" i="6"/>
  <c r="F31" i="56" s="1"/>
  <c r="F20" i="6"/>
  <c r="F12" i="56" s="1"/>
  <c r="F18" i="6"/>
  <c r="F10" i="56" s="1"/>
  <c r="Q28" i="29"/>
  <c r="C33" i="6"/>
  <c r="H28" i="29" s="1"/>
  <c r="K23" i="47" s="1"/>
  <c r="F19" i="6"/>
  <c r="F11" i="56" s="1"/>
  <c r="U73" i="30"/>
  <c r="H20" i="6"/>
  <c r="F29" i="56" s="1"/>
  <c r="Q23" i="46"/>
  <c r="G82" i="47"/>
  <c r="F23" i="46"/>
  <c r="G50" i="47"/>
  <c r="H21" i="29"/>
  <c r="C16" i="47"/>
  <c r="B8" i="59" s="1"/>
  <c r="H24" i="29"/>
  <c r="C19" i="47"/>
  <c r="B11" i="59" s="1"/>
  <c r="R21" i="46"/>
  <c r="C80" i="47"/>
  <c r="B72" i="59" s="1"/>
  <c r="Q27" i="29"/>
  <c r="C38" i="47"/>
  <c r="U97" i="30"/>
  <c r="Q24" i="46"/>
  <c r="G83" i="47"/>
  <c r="F24" i="46"/>
  <c r="G51" i="47"/>
  <c r="R27" i="46"/>
  <c r="C86" i="47"/>
  <c r="G23" i="46"/>
  <c r="C50" i="47"/>
  <c r="B42" i="59" s="1"/>
  <c r="G26" i="46"/>
  <c r="C53" i="47"/>
  <c r="B46" i="59" s="1"/>
  <c r="AB24" i="46"/>
  <c r="C67" i="47"/>
  <c r="B59" i="59" s="1"/>
  <c r="Q22" i="29"/>
  <c r="C33" i="47"/>
  <c r="B25" i="59" s="1"/>
  <c r="Q25" i="29"/>
  <c r="C36" i="47"/>
  <c r="B29" i="59" s="1"/>
  <c r="F22" i="46"/>
  <c r="G49" i="47"/>
  <c r="R22" i="46"/>
  <c r="C81" i="47"/>
  <c r="B73" i="59" s="1"/>
  <c r="R24" i="46"/>
  <c r="C83" i="47"/>
  <c r="B75" i="59" s="1"/>
  <c r="G25" i="46"/>
  <c r="C52" i="47"/>
  <c r="B45" i="59" s="1"/>
  <c r="AB23" i="46"/>
  <c r="C66" i="47"/>
  <c r="B58" i="59" s="1"/>
  <c r="AB27" i="46"/>
  <c r="C70" i="47"/>
  <c r="H22" i="29"/>
  <c r="C17" i="47"/>
  <c r="B9" i="59" s="1"/>
  <c r="H26" i="29"/>
  <c r="C21" i="47"/>
  <c r="B14" i="59" s="1"/>
  <c r="C49" i="52"/>
  <c r="N20" i="4" s="1"/>
  <c r="S20" i="4" s="1"/>
  <c r="AB21" i="46"/>
  <c r="C64" i="47"/>
  <c r="B56" i="59" s="1"/>
  <c r="Q27" i="46"/>
  <c r="G86" i="47"/>
  <c r="F25" i="46"/>
  <c r="G52" i="47"/>
  <c r="L23" i="6"/>
  <c r="I32" i="56" s="1"/>
  <c r="J20" i="6"/>
  <c r="I12" i="56" s="1"/>
  <c r="J23" i="6"/>
  <c r="I15" i="56" s="1"/>
  <c r="H21" i="6"/>
  <c r="F30" i="56" s="1"/>
  <c r="H23" i="29"/>
  <c r="C18" i="47"/>
  <c r="B10" i="59" s="1"/>
  <c r="Q23" i="29"/>
  <c r="C34" i="47"/>
  <c r="B26" i="59" s="1"/>
  <c r="F22" i="6"/>
  <c r="F14" i="56" s="1"/>
  <c r="Q25" i="46"/>
  <c r="G84" i="47"/>
  <c r="F26" i="46"/>
  <c r="G53" i="47"/>
  <c r="L19" i="6"/>
  <c r="I28" i="56" s="1"/>
  <c r="H23" i="6"/>
  <c r="F32" i="56" s="1"/>
  <c r="Q22" i="46"/>
  <c r="G81" i="47"/>
  <c r="Q21" i="46"/>
  <c r="G80" i="47"/>
  <c r="F21" i="46"/>
  <c r="G48" i="47"/>
  <c r="R25" i="46"/>
  <c r="C84" i="47"/>
  <c r="B77" i="59" s="1"/>
  <c r="G22" i="46"/>
  <c r="C49" i="47"/>
  <c r="B41" i="59" s="1"/>
  <c r="G24" i="46"/>
  <c r="C51" i="47"/>
  <c r="B43" i="59" s="1"/>
  <c r="AB22" i="46"/>
  <c r="C65" i="47"/>
  <c r="AB25" i="46"/>
  <c r="C68" i="47"/>
  <c r="B61" i="59" s="1"/>
  <c r="G21" i="46"/>
  <c r="C48" i="47"/>
  <c r="B40" i="59" s="1"/>
  <c r="Q24" i="29"/>
  <c r="C35" i="47"/>
  <c r="B27" i="59" s="1"/>
  <c r="Q26" i="29"/>
  <c r="C37" i="47"/>
  <c r="B30" i="59" s="1"/>
  <c r="C30" i="59" s="1"/>
  <c r="D30" i="59" s="1"/>
  <c r="Q26" i="46"/>
  <c r="G85" i="47"/>
  <c r="F27" i="46"/>
  <c r="G54" i="47"/>
  <c r="Q21" i="29"/>
  <c r="C32" i="47"/>
  <c r="R23" i="46"/>
  <c r="C82" i="47"/>
  <c r="R26" i="46"/>
  <c r="C85" i="47"/>
  <c r="G27" i="46"/>
  <c r="K54" i="47" s="1"/>
  <c r="C54" i="47"/>
  <c r="AB26" i="46"/>
  <c r="C69" i="47"/>
  <c r="B62" i="59" s="1"/>
  <c r="H25" i="29"/>
  <c r="C20" i="47"/>
  <c r="B13" i="59" s="1"/>
  <c r="H27" i="29"/>
  <c r="C22" i="47"/>
  <c r="B15" i="59" s="1"/>
  <c r="L21" i="6"/>
  <c r="I30" i="56" s="1"/>
  <c r="J22" i="6"/>
  <c r="I14" i="56" s="1"/>
  <c r="H19" i="6"/>
  <c r="F28" i="56" s="1"/>
  <c r="F23" i="6"/>
  <c r="F15" i="56" s="1"/>
  <c r="J24" i="32"/>
  <c r="B44" i="60" s="1"/>
  <c r="P23" i="6"/>
  <c r="C50" i="52"/>
  <c r="N32" i="4" s="1"/>
  <c r="S32" i="4" s="1"/>
  <c r="C51" i="52"/>
  <c r="N44" i="4" s="1"/>
  <c r="S44" i="4" s="1"/>
  <c r="U85" i="30"/>
  <c r="L20" i="6"/>
  <c r="I29" i="56" s="1"/>
  <c r="J19" i="6"/>
  <c r="I11" i="56" s="1"/>
  <c r="F21" i="6"/>
  <c r="F13" i="56" s="1"/>
  <c r="J18" i="6"/>
  <c r="I10" i="56" s="1"/>
  <c r="P20" i="6"/>
  <c r="D20" i="6"/>
  <c r="C12" i="56" s="1"/>
  <c r="P19" i="6"/>
  <c r="U30" i="30"/>
  <c r="H49" i="52"/>
  <c r="N25" i="4" s="1"/>
  <c r="S25" i="4" s="1"/>
  <c r="U38" i="30"/>
  <c r="D50" i="52"/>
  <c r="N33" i="4" s="1"/>
  <c r="S33" i="4" s="1"/>
  <c r="U46" i="30"/>
  <c r="L50" i="52"/>
  <c r="N41" i="4" s="1"/>
  <c r="S41" i="4" s="1"/>
  <c r="H51" i="52"/>
  <c r="N49" i="4" s="1"/>
  <c r="S49" i="4" s="1"/>
  <c r="U54" i="30"/>
  <c r="D52" i="52"/>
  <c r="N57" i="4" s="1"/>
  <c r="S57" i="4" s="1"/>
  <c r="U62" i="30"/>
  <c r="L52" i="52"/>
  <c r="N65" i="4" s="1"/>
  <c r="S65" i="4" s="1"/>
  <c r="U70" i="30"/>
  <c r="H53" i="52"/>
  <c r="N73" i="4" s="1"/>
  <c r="S73" i="4" s="1"/>
  <c r="U78" i="30"/>
  <c r="D54" i="52"/>
  <c r="N81" i="4" s="1"/>
  <c r="S81" i="4" s="1"/>
  <c r="U86" i="30"/>
  <c r="L54" i="52"/>
  <c r="N89" i="4" s="1"/>
  <c r="S89" i="4" s="1"/>
  <c r="U94" i="30"/>
  <c r="H55" i="52"/>
  <c r="N97" i="4" s="1"/>
  <c r="S97" i="4" s="1"/>
  <c r="U102" i="30"/>
  <c r="D23" i="6"/>
  <c r="C15" i="56" s="1"/>
  <c r="P22" i="6"/>
  <c r="P21" i="6"/>
  <c r="D22" i="6"/>
  <c r="C14" i="56" s="1"/>
  <c r="U32" i="30"/>
  <c r="J49" i="52"/>
  <c r="N27" i="4" s="1"/>
  <c r="S27" i="4" s="1"/>
  <c r="U40" i="30"/>
  <c r="F50" i="52"/>
  <c r="N35" i="4" s="1"/>
  <c r="S35" i="4" s="1"/>
  <c r="N50" i="52"/>
  <c r="N43" i="4" s="1"/>
  <c r="S43" i="4" s="1"/>
  <c r="U48" i="30"/>
  <c r="J51" i="52"/>
  <c r="N51" i="4" s="1"/>
  <c r="S51" i="4" s="1"/>
  <c r="U56" i="30"/>
  <c r="F52" i="52"/>
  <c r="N59" i="4" s="1"/>
  <c r="S59" i="4" s="1"/>
  <c r="U64" i="30"/>
  <c r="N52" i="52"/>
  <c r="N67" i="4" s="1"/>
  <c r="S67" i="4" s="1"/>
  <c r="U72" i="30"/>
  <c r="J53" i="52"/>
  <c r="N75" i="4" s="1"/>
  <c r="S75" i="4" s="1"/>
  <c r="U80" i="30"/>
  <c r="F54" i="52"/>
  <c r="N83" i="4" s="1"/>
  <c r="S83" i="4" s="1"/>
  <c r="U88" i="30"/>
  <c r="N54" i="52"/>
  <c r="N91" i="4" s="1"/>
  <c r="S91" i="4" s="1"/>
  <c r="U96" i="30"/>
  <c r="J55" i="52"/>
  <c r="N99" i="4" s="1"/>
  <c r="S99" i="4" s="1"/>
  <c r="U104" i="30"/>
  <c r="D19" i="6"/>
  <c r="C11" i="56" s="1"/>
  <c r="P18" i="6"/>
  <c r="P17" i="6"/>
  <c r="D18" i="6"/>
  <c r="C10" i="56" s="1"/>
  <c r="U26" i="30"/>
  <c r="D49" i="52"/>
  <c r="N21" i="4" s="1"/>
  <c r="S21" i="4" s="1"/>
  <c r="U34" i="30"/>
  <c r="L49" i="52"/>
  <c r="N29" i="4" s="1"/>
  <c r="S29" i="4" s="1"/>
  <c r="U42" i="30"/>
  <c r="H50" i="52"/>
  <c r="N37" i="4" s="1"/>
  <c r="S37" i="4" s="1"/>
  <c r="D51" i="52"/>
  <c r="N45" i="4" s="1"/>
  <c r="S45" i="4" s="1"/>
  <c r="U50" i="30"/>
  <c r="L51" i="52"/>
  <c r="N53" i="4" s="1"/>
  <c r="S53" i="4" s="1"/>
  <c r="U58" i="30"/>
  <c r="H52" i="52"/>
  <c r="N61" i="4" s="1"/>
  <c r="S61" i="4" s="1"/>
  <c r="U66" i="30"/>
  <c r="D53" i="52"/>
  <c r="N69" i="4" s="1"/>
  <c r="S69" i="4" s="1"/>
  <c r="U74" i="30"/>
  <c r="L53" i="52"/>
  <c r="N77" i="4" s="1"/>
  <c r="S77" i="4" s="1"/>
  <c r="U82" i="30"/>
  <c r="H54" i="52"/>
  <c r="N85" i="4" s="1"/>
  <c r="S85" i="4" s="1"/>
  <c r="U90" i="30"/>
  <c r="D55" i="52"/>
  <c r="N93" i="4" s="1"/>
  <c r="S93" i="4" s="1"/>
  <c r="U98" i="30"/>
  <c r="L55" i="52"/>
  <c r="N101" i="4" s="1"/>
  <c r="S101" i="4" s="1"/>
  <c r="U106" i="30"/>
  <c r="D21" i="6"/>
  <c r="C13" i="56" s="1"/>
  <c r="U28" i="30"/>
  <c r="F49" i="52"/>
  <c r="N23" i="4" s="1"/>
  <c r="S23" i="4" s="1"/>
  <c r="U36" i="30"/>
  <c r="N49" i="52"/>
  <c r="N31" i="4" s="1"/>
  <c r="S31" i="4" s="1"/>
  <c r="U44" i="30"/>
  <c r="J50" i="52"/>
  <c r="N39" i="4" s="1"/>
  <c r="S39" i="4" s="1"/>
  <c r="F51" i="52"/>
  <c r="N47" i="4" s="1"/>
  <c r="S47" i="4" s="1"/>
  <c r="U52" i="30"/>
  <c r="N51" i="52"/>
  <c r="N55" i="4" s="1"/>
  <c r="S55" i="4" s="1"/>
  <c r="U60" i="30"/>
  <c r="J52" i="52"/>
  <c r="N63" i="4" s="1"/>
  <c r="S63" i="4" s="1"/>
  <c r="U68" i="30"/>
  <c r="F53" i="52"/>
  <c r="N71" i="4" s="1"/>
  <c r="S71" i="4" s="1"/>
  <c r="U76" i="30"/>
  <c r="N53" i="52"/>
  <c r="N79" i="4" s="1"/>
  <c r="S79" i="4" s="1"/>
  <c r="U84" i="30"/>
  <c r="J54" i="52"/>
  <c r="N87" i="4" s="1"/>
  <c r="S87" i="4" s="1"/>
  <c r="U92" i="30"/>
  <c r="F55" i="52"/>
  <c r="N95" i="4" s="1"/>
  <c r="S95" i="4" s="1"/>
  <c r="U100" i="30"/>
  <c r="N55" i="52"/>
  <c r="N103" i="4" s="1"/>
  <c r="S103" i="4" s="1"/>
  <c r="U108" i="30"/>
  <c r="H28" i="42"/>
  <c r="H27" i="42"/>
  <c r="Q29" i="29" l="1"/>
  <c r="L20" i="32" s="1"/>
  <c r="B30" i="60" s="1"/>
  <c r="B16" i="59"/>
  <c r="C16" i="59" s="1"/>
  <c r="D16" i="59" s="1"/>
  <c r="K16" i="32"/>
  <c r="B13" i="60" s="1"/>
  <c r="C10" i="59"/>
  <c r="D10" i="59" s="1"/>
  <c r="C73" i="59"/>
  <c r="D73" i="59" s="1"/>
  <c r="C15" i="59"/>
  <c r="D15" i="59" s="1"/>
  <c r="C9" i="59"/>
  <c r="D9" i="59" s="1"/>
  <c r="C29" i="59"/>
  <c r="D29" i="59" s="1"/>
  <c r="C46" i="59"/>
  <c r="D46" i="59" s="1"/>
  <c r="D39" i="47"/>
  <c r="B31" i="59"/>
  <c r="C31" i="59" s="1"/>
  <c r="D31" i="59" s="1"/>
  <c r="C62" i="59"/>
  <c r="D62" i="59" s="1"/>
  <c r="D86" i="47"/>
  <c r="B78" i="59"/>
  <c r="C78" i="59" s="1"/>
  <c r="D78" i="59" s="1"/>
  <c r="C44" i="59"/>
  <c r="D44" i="59" s="1"/>
  <c r="C43" i="59"/>
  <c r="D43" i="59" s="1"/>
  <c r="D87" i="47"/>
  <c r="B79" i="59"/>
  <c r="C26" i="59"/>
  <c r="D26" i="59" s="1"/>
  <c r="C11" i="59"/>
  <c r="D11" i="59" s="1"/>
  <c r="C12" i="59"/>
  <c r="D12" i="59" s="1"/>
  <c r="C77" i="59"/>
  <c r="D77" i="59" s="1"/>
  <c r="C76" i="59"/>
  <c r="D76" i="59" s="1"/>
  <c r="C13" i="59"/>
  <c r="D13" i="59" s="1"/>
  <c r="D55" i="47"/>
  <c r="B47" i="59"/>
  <c r="C47" i="59" s="1"/>
  <c r="D47" i="59" s="1"/>
  <c r="D83" i="47"/>
  <c r="B74" i="59"/>
  <c r="C74" i="59" s="1"/>
  <c r="D74" i="59" s="1"/>
  <c r="D33" i="47"/>
  <c r="B24" i="59"/>
  <c r="C28" i="59"/>
  <c r="D28" i="59" s="1"/>
  <c r="C27" i="59"/>
  <c r="D27" i="59" s="1"/>
  <c r="D66" i="47"/>
  <c r="B57" i="59"/>
  <c r="C57" i="59" s="1"/>
  <c r="D57" i="59" s="1"/>
  <c r="C41" i="59"/>
  <c r="D41" i="59" s="1"/>
  <c r="H81" i="47"/>
  <c r="C14" i="59"/>
  <c r="D14" i="59" s="1"/>
  <c r="D71" i="47"/>
  <c r="B63" i="59"/>
  <c r="C45" i="59"/>
  <c r="D45" i="59" s="1"/>
  <c r="C61" i="59"/>
  <c r="D61" i="59" s="1"/>
  <c r="C60" i="59"/>
  <c r="D60" i="59" s="1"/>
  <c r="C59" i="59"/>
  <c r="D59" i="59" s="1"/>
  <c r="C42" i="59"/>
  <c r="D42" i="59" s="1"/>
  <c r="C34" i="6"/>
  <c r="H29" i="29" s="1"/>
  <c r="E47" i="46"/>
  <c r="D70" i="47"/>
  <c r="D38" i="47"/>
  <c r="H82" i="47"/>
  <c r="D67" i="47"/>
  <c r="L25" i="6"/>
  <c r="I34" i="56" s="1"/>
  <c r="H25" i="6"/>
  <c r="F34" i="56" s="1"/>
  <c r="H87" i="47"/>
  <c r="D24" i="32"/>
  <c r="B37" i="60" s="1"/>
  <c r="K48" i="47"/>
  <c r="H28" i="32"/>
  <c r="B58" i="60" s="1"/>
  <c r="K68" i="47"/>
  <c r="E26" i="32"/>
  <c r="E38" i="60" s="1"/>
  <c r="O49" i="47"/>
  <c r="E41" i="59" s="1"/>
  <c r="J32" i="32"/>
  <c r="B76" i="60" s="1"/>
  <c r="K86" i="47"/>
  <c r="H16" i="32"/>
  <c r="B10" i="60" s="1"/>
  <c r="K20" i="47"/>
  <c r="F32" i="32"/>
  <c r="B71" i="60" s="1"/>
  <c r="K82" i="47"/>
  <c r="D20" i="32"/>
  <c r="B21" i="60" s="1"/>
  <c r="K32" i="47"/>
  <c r="I34" i="32"/>
  <c r="E75" i="60" s="1"/>
  <c r="O85" i="47"/>
  <c r="G20" i="32"/>
  <c r="B24" i="60" s="1"/>
  <c r="K35" i="47"/>
  <c r="E28" i="32"/>
  <c r="B54" i="60" s="1"/>
  <c r="K65" i="47"/>
  <c r="E24" i="32"/>
  <c r="B38" i="60" s="1"/>
  <c r="I38" i="60" s="1"/>
  <c r="K49" i="47"/>
  <c r="D34" i="32"/>
  <c r="E69" i="60" s="1"/>
  <c r="O80" i="47"/>
  <c r="E72" i="59" s="1"/>
  <c r="G72" i="59" s="1"/>
  <c r="H34" i="32"/>
  <c r="E74" i="60" s="1"/>
  <c r="O84" i="47"/>
  <c r="D18" i="47"/>
  <c r="C114" i="47"/>
  <c r="G116" i="47"/>
  <c r="H53" i="47"/>
  <c r="D65" i="47"/>
  <c r="I16" i="32"/>
  <c r="B11" i="60" s="1"/>
  <c r="K21" i="47"/>
  <c r="J28" i="32"/>
  <c r="B60" i="60" s="1"/>
  <c r="K70" i="47"/>
  <c r="H24" i="32"/>
  <c r="B42" i="60" s="1"/>
  <c r="K52" i="47"/>
  <c r="E32" i="32"/>
  <c r="B70" i="60" s="1"/>
  <c r="K81" i="47"/>
  <c r="E20" i="32"/>
  <c r="B22" i="60" s="1"/>
  <c r="K33" i="47"/>
  <c r="G28" i="32"/>
  <c r="B56" i="60" s="1"/>
  <c r="K67" i="47"/>
  <c r="F24" i="32"/>
  <c r="B39" i="60" s="1"/>
  <c r="K50" i="47"/>
  <c r="G34" i="32"/>
  <c r="E72" i="60" s="1"/>
  <c r="O83" i="47"/>
  <c r="D81" i="47"/>
  <c r="D19" i="47"/>
  <c r="C115" i="47"/>
  <c r="H83" i="47"/>
  <c r="J16" i="32"/>
  <c r="B12" i="60" s="1"/>
  <c r="K22" i="47"/>
  <c r="I32" i="32"/>
  <c r="B75" i="60" s="1"/>
  <c r="K85" i="47"/>
  <c r="I20" i="32"/>
  <c r="B27" i="60" s="1"/>
  <c r="K37" i="47"/>
  <c r="G24" i="32"/>
  <c r="B40" i="60" s="1"/>
  <c r="K51" i="47"/>
  <c r="F28" i="32"/>
  <c r="B55" i="60" s="1"/>
  <c r="K66" i="47"/>
  <c r="K20" i="32"/>
  <c r="B29" i="60" s="1"/>
  <c r="K39" i="47"/>
  <c r="D22" i="47"/>
  <c r="C118" i="47"/>
  <c r="D119" i="47" s="1"/>
  <c r="D23" i="47"/>
  <c r="G118" i="47"/>
  <c r="H55" i="47"/>
  <c r="D68" i="47"/>
  <c r="D69" i="47"/>
  <c r="D51" i="47"/>
  <c r="D52" i="47"/>
  <c r="D84" i="47"/>
  <c r="D85" i="47"/>
  <c r="G112" i="47"/>
  <c r="H49" i="47"/>
  <c r="H54" i="47"/>
  <c r="G117" i="47"/>
  <c r="F16" i="32"/>
  <c r="B7" i="60" s="1"/>
  <c r="K18" i="47"/>
  <c r="H26" i="32"/>
  <c r="E42" i="60" s="1"/>
  <c r="O52" i="47"/>
  <c r="D28" i="32"/>
  <c r="B53" i="60" s="1"/>
  <c r="K64" i="47"/>
  <c r="C113" i="47"/>
  <c r="H50" i="47"/>
  <c r="G113" i="47"/>
  <c r="D37" i="47"/>
  <c r="D53" i="47"/>
  <c r="D54" i="47"/>
  <c r="G115" i="47"/>
  <c r="H52" i="47"/>
  <c r="J20" i="32"/>
  <c r="B28" i="60" s="1"/>
  <c r="K38" i="47"/>
  <c r="D32" i="32"/>
  <c r="B69" i="60" s="1"/>
  <c r="K80" i="47"/>
  <c r="G16" i="32"/>
  <c r="B8" i="60" s="1"/>
  <c r="K19" i="47"/>
  <c r="F34" i="32"/>
  <c r="E71" i="60" s="1"/>
  <c r="O82" i="47"/>
  <c r="I28" i="32"/>
  <c r="B59" i="60" s="1"/>
  <c r="K69" i="47"/>
  <c r="J26" i="32"/>
  <c r="E44" i="60" s="1"/>
  <c r="I44" i="60" s="1"/>
  <c r="O54" i="47"/>
  <c r="H32" i="32"/>
  <c r="B74" i="60" s="1"/>
  <c r="K84" i="47"/>
  <c r="D26" i="32"/>
  <c r="E37" i="60" s="1"/>
  <c r="O48" i="47"/>
  <c r="E40" i="59" s="1"/>
  <c r="E34" i="32"/>
  <c r="E70" i="60" s="1"/>
  <c r="O81" i="47"/>
  <c r="E73" i="59" s="1"/>
  <c r="I26" i="32"/>
  <c r="E43" i="60" s="1"/>
  <c r="O53" i="47"/>
  <c r="E16" i="32"/>
  <c r="B6" i="60" s="1"/>
  <c r="K17" i="47"/>
  <c r="G32" i="32"/>
  <c r="B72" i="60" s="1"/>
  <c r="K83" i="47"/>
  <c r="H20" i="32"/>
  <c r="B26" i="60" s="1"/>
  <c r="K36" i="47"/>
  <c r="I24" i="32"/>
  <c r="B43" i="60" s="1"/>
  <c r="K53" i="47"/>
  <c r="G26" i="32"/>
  <c r="E40" i="60" s="1"/>
  <c r="O51" i="47"/>
  <c r="D17" i="47"/>
  <c r="C112" i="47"/>
  <c r="H51" i="47"/>
  <c r="G114" i="47"/>
  <c r="D20" i="47"/>
  <c r="C116" i="47"/>
  <c r="D21" i="47"/>
  <c r="H86" i="47"/>
  <c r="D35" i="47"/>
  <c r="D36" i="47"/>
  <c r="D49" i="47"/>
  <c r="D50" i="47"/>
  <c r="H84" i="47"/>
  <c r="H85" i="47"/>
  <c r="F20" i="32"/>
  <c r="B23" i="60" s="1"/>
  <c r="K34" i="47"/>
  <c r="J34" i="32"/>
  <c r="E76" i="60" s="1"/>
  <c r="O86" i="47"/>
  <c r="C117" i="47"/>
  <c r="D82" i="47"/>
  <c r="D34" i="47"/>
  <c r="D16" i="32"/>
  <c r="B5" i="60" s="1"/>
  <c r="K16" i="47"/>
  <c r="F26" i="32"/>
  <c r="E39" i="60" s="1"/>
  <c r="O50" i="47"/>
  <c r="F25" i="6"/>
  <c r="F17" i="56" s="1"/>
  <c r="J25" i="6"/>
  <c r="I17" i="56" s="1"/>
  <c r="D25" i="6"/>
  <c r="C17" i="56" s="1"/>
  <c r="C41" i="42"/>
  <c r="H37" i="60" l="1"/>
  <c r="H69" i="60"/>
  <c r="C23" i="60"/>
  <c r="D23" i="60" s="1"/>
  <c r="C40" i="60"/>
  <c r="D40" i="60" s="1"/>
  <c r="C41" i="60"/>
  <c r="D41" i="60" s="1"/>
  <c r="I40" i="60"/>
  <c r="C71" i="60"/>
  <c r="D71" i="60" s="1"/>
  <c r="I71" i="60"/>
  <c r="C58" i="60"/>
  <c r="D58" i="60" s="1"/>
  <c r="C43" i="60"/>
  <c r="D43" i="60" s="1"/>
  <c r="I43" i="60"/>
  <c r="J44" i="60" s="1"/>
  <c r="K44" i="60" s="1"/>
  <c r="C73" i="60"/>
  <c r="D73" i="60" s="1"/>
  <c r="I72" i="60"/>
  <c r="C72" i="60"/>
  <c r="D72" i="60" s="1"/>
  <c r="H43" i="60"/>
  <c r="F43" i="60"/>
  <c r="G43" i="60" s="1"/>
  <c r="F44" i="60"/>
  <c r="G44" i="60" s="1"/>
  <c r="H44" i="60"/>
  <c r="F71" i="60"/>
  <c r="G71" i="60" s="1"/>
  <c r="H71" i="60"/>
  <c r="I69" i="60"/>
  <c r="F42" i="60"/>
  <c r="G42" i="60" s="1"/>
  <c r="H42" i="60"/>
  <c r="H72" i="60"/>
  <c r="F72" i="60"/>
  <c r="G72" i="60" s="1"/>
  <c r="F73" i="60"/>
  <c r="G73" i="60" s="1"/>
  <c r="C57" i="60"/>
  <c r="D57" i="60" s="1"/>
  <c r="C56" i="60"/>
  <c r="D56" i="60" s="1"/>
  <c r="C70" i="60"/>
  <c r="D70" i="60" s="1"/>
  <c r="I70" i="60"/>
  <c r="I75" i="60"/>
  <c r="C75" i="60"/>
  <c r="D75" i="60" s="1"/>
  <c r="C6" i="60"/>
  <c r="D6" i="60" s="1"/>
  <c r="C74" i="60"/>
  <c r="D74" i="60" s="1"/>
  <c r="I74" i="60"/>
  <c r="C9" i="60"/>
  <c r="D9" i="60" s="1"/>
  <c r="C8" i="60"/>
  <c r="D8" i="60" s="1"/>
  <c r="C7" i="60"/>
  <c r="D7" i="60" s="1"/>
  <c r="C39" i="60"/>
  <c r="D39" i="60" s="1"/>
  <c r="I39" i="60"/>
  <c r="J39" i="60" s="1"/>
  <c r="K39" i="60" s="1"/>
  <c r="C22" i="60"/>
  <c r="D22" i="60" s="1"/>
  <c r="C42" i="60"/>
  <c r="D42" i="60" s="1"/>
  <c r="I42" i="60"/>
  <c r="C11" i="60"/>
  <c r="D11" i="60" s="1"/>
  <c r="C30" i="60"/>
  <c r="D30" i="60" s="1"/>
  <c r="C44" i="60"/>
  <c r="D44" i="60" s="1"/>
  <c r="F39" i="60"/>
  <c r="G39" i="60" s="1"/>
  <c r="H39" i="60"/>
  <c r="C29" i="60"/>
  <c r="D29" i="60" s="1"/>
  <c r="C54" i="60"/>
  <c r="D54" i="60" s="1"/>
  <c r="H75" i="60"/>
  <c r="F75" i="60"/>
  <c r="G75" i="60" s="1"/>
  <c r="C76" i="60"/>
  <c r="D76" i="60" s="1"/>
  <c r="I76" i="60"/>
  <c r="F41" i="60"/>
  <c r="G41" i="60" s="1"/>
  <c r="H40" i="60"/>
  <c r="F40" i="60"/>
  <c r="G40" i="60" s="1"/>
  <c r="C26" i="60"/>
  <c r="D26" i="60" s="1"/>
  <c r="H70" i="60"/>
  <c r="F70" i="60"/>
  <c r="G70" i="60" s="1"/>
  <c r="C60" i="60"/>
  <c r="D60" i="60" s="1"/>
  <c r="C59" i="60"/>
  <c r="D59" i="60" s="1"/>
  <c r="C28" i="60"/>
  <c r="D28" i="60" s="1"/>
  <c r="H76" i="60"/>
  <c r="F76" i="60"/>
  <c r="G76" i="60" s="1"/>
  <c r="C55" i="60"/>
  <c r="D55" i="60" s="1"/>
  <c r="C27" i="60"/>
  <c r="D27" i="60" s="1"/>
  <c r="C12" i="60"/>
  <c r="D12" i="60" s="1"/>
  <c r="F74" i="60"/>
  <c r="G74" i="60" s="1"/>
  <c r="H74" i="60"/>
  <c r="C25" i="60"/>
  <c r="D25" i="60" s="1"/>
  <c r="C24" i="60"/>
  <c r="D24" i="60" s="1"/>
  <c r="C10" i="60"/>
  <c r="D10" i="60" s="1"/>
  <c r="H38" i="60"/>
  <c r="F38" i="60"/>
  <c r="G38" i="60" s="1"/>
  <c r="C38" i="60"/>
  <c r="D38" i="60" s="1"/>
  <c r="I37" i="60"/>
  <c r="J38" i="60" s="1"/>
  <c r="K38" i="60" s="1"/>
  <c r="C13" i="60"/>
  <c r="D13" i="60" s="1"/>
  <c r="W116" i="4"/>
  <c r="K40" i="47"/>
  <c r="E43" i="59"/>
  <c r="G43" i="59" s="1"/>
  <c r="E42" i="59"/>
  <c r="G42" i="59" s="1"/>
  <c r="B32" i="59"/>
  <c r="C32" i="59" s="1"/>
  <c r="D32" i="59" s="1"/>
  <c r="E78" i="59"/>
  <c r="G78" i="59" s="1"/>
  <c r="E79" i="59"/>
  <c r="G79" i="59" s="1"/>
  <c r="E77" i="59"/>
  <c r="E46" i="59"/>
  <c r="G46" i="59" s="1"/>
  <c r="E47" i="59"/>
  <c r="G47" i="59" s="1"/>
  <c r="E74" i="59"/>
  <c r="G74" i="59" s="1"/>
  <c r="E45" i="59"/>
  <c r="G45" i="59" s="1"/>
  <c r="E75" i="59"/>
  <c r="G75" i="59" s="1"/>
  <c r="H115" i="47"/>
  <c r="C63" i="59"/>
  <c r="D63" i="59" s="1"/>
  <c r="C25" i="59"/>
  <c r="D25" i="59" s="1"/>
  <c r="C75" i="59"/>
  <c r="D75" i="59" s="1"/>
  <c r="C79" i="59"/>
  <c r="D79" i="59" s="1"/>
  <c r="F41" i="59"/>
  <c r="G40" i="59"/>
  <c r="G41" i="59"/>
  <c r="G73" i="59"/>
  <c r="F73" i="59"/>
  <c r="C58" i="59"/>
  <c r="D58" i="59" s="1"/>
  <c r="D118" i="47"/>
  <c r="L65" i="47"/>
  <c r="L49" i="47"/>
  <c r="L54" i="47"/>
  <c r="L68" i="47"/>
  <c r="L35" i="47"/>
  <c r="H113" i="47"/>
  <c r="L37" i="47"/>
  <c r="P82" i="47"/>
  <c r="L85" i="47"/>
  <c r="L70" i="47"/>
  <c r="L39" i="47"/>
  <c r="L34" i="47"/>
  <c r="P51" i="47"/>
  <c r="P52" i="47"/>
  <c r="L20" i="47"/>
  <c r="L18" i="47"/>
  <c r="L19" i="47"/>
  <c r="L17" i="47"/>
  <c r="H114" i="47"/>
  <c r="D113" i="47"/>
  <c r="D114" i="47"/>
  <c r="L51" i="47"/>
  <c r="L52" i="47"/>
  <c r="L86" i="47"/>
  <c r="P81" i="47"/>
  <c r="L66" i="47"/>
  <c r="P85" i="47"/>
  <c r="P86" i="47"/>
  <c r="L82" i="47"/>
  <c r="L83" i="47"/>
  <c r="L21" i="47"/>
  <c r="P49" i="47"/>
  <c r="P50" i="47"/>
  <c r="L84" i="47"/>
  <c r="P54" i="47"/>
  <c r="P83" i="47"/>
  <c r="L81" i="47"/>
  <c r="P53" i="47"/>
  <c r="L53" i="47"/>
  <c r="L22" i="47"/>
  <c r="H116" i="47"/>
  <c r="H117" i="47"/>
  <c r="L69" i="47"/>
  <c r="L16" i="32"/>
  <c r="B14" i="60" s="1"/>
  <c r="K24" i="47"/>
  <c r="D117" i="47"/>
  <c r="H118" i="47"/>
  <c r="H119" i="47"/>
  <c r="L67" i="47"/>
  <c r="L38" i="47"/>
  <c r="L23" i="47"/>
  <c r="D116" i="47"/>
  <c r="D115" i="47"/>
  <c r="P84" i="47"/>
  <c r="L50" i="47"/>
  <c r="L36" i="47"/>
  <c r="L33" i="47"/>
  <c r="D41" i="42"/>
  <c r="H29" i="42"/>
  <c r="J70" i="60" l="1"/>
  <c r="K70" i="60" s="1"/>
  <c r="J74" i="60"/>
  <c r="K74" i="60" s="1"/>
  <c r="J41" i="60"/>
  <c r="K41" i="60" s="1"/>
  <c r="J40" i="60"/>
  <c r="K40" i="60" s="1"/>
  <c r="C14" i="60"/>
  <c r="D14" i="60" s="1"/>
  <c r="D15" i="60" s="1"/>
  <c r="F78" i="59"/>
  <c r="J76" i="60"/>
  <c r="K76" i="60" s="1"/>
  <c r="D31" i="60"/>
  <c r="J43" i="60"/>
  <c r="K43" i="60" s="1"/>
  <c r="J75" i="60"/>
  <c r="K75" i="60" s="1"/>
  <c r="L40" i="47"/>
  <c r="J42" i="60"/>
  <c r="K42" i="60" s="1"/>
  <c r="J73" i="60"/>
  <c r="K73" i="60" s="1"/>
  <c r="J72" i="60"/>
  <c r="K72" i="60" s="1"/>
  <c r="J71" i="60"/>
  <c r="K71" i="60" s="1"/>
  <c r="F43" i="59"/>
  <c r="F42" i="59"/>
  <c r="F79" i="59"/>
  <c r="F76" i="59"/>
  <c r="L41" i="47"/>
  <c r="F47" i="59"/>
  <c r="F75" i="59"/>
  <c r="F77" i="59"/>
  <c r="B33" i="59"/>
  <c r="C33" i="59" s="1"/>
  <c r="D33" i="59" s="1"/>
  <c r="D34" i="59" s="1"/>
  <c r="F74" i="59"/>
  <c r="G77" i="59"/>
  <c r="F44" i="59"/>
  <c r="F45" i="59"/>
  <c r="F46" i="59"/>
  <c r="B17" i="59"/>
  <c r="C17" i="59" s="1"/>
  <c r="D17" i="59" s="1"/>
  <c r="D18" i="59" s="1"/>
  <c r="L25" i="47"/>
  <c r="L24" i="47"/>
  <c r="H30" i="42"/>
  <c r="E41" i="42"/>
  <c r="F41" i="42" l="1"/>
  <c r="H66" i="42"/>
  <c r="H68" i="42" l="1"/>
  <c r="H31" i="42"/>
  <c r="G41" i="42" l="1"/>
  <c r="H70" i="42"/>
  <c r="H32" i="42" l="1"/>
  <c r="H33" i="42" s="1"/>
  <c r="G42" i="42"/>
  <c r="G33" i="42" l="1"/>
  <c r="H46" i="54"/>
  <c r="V23" i="54"/>
  <c r="T23" i="54"/>
  <c r="R23" i="54"/>
  <c r="P23" i="54"/>
  <c r="N23" i="54"/>
  <c r="L23" i="54"/>
  <c r="T22" i="54"/>
  <c r="R22" i="54"/>
  <c r="N22" i="54"/>
  <c r="L22" i="54"/>
  <c r="I23" i="53" l="1"/>
  <c r="I26" i="53"/>
  <c r="I20" i="53"/>
  <c r="G38" i="53"/>
  <c r="H23" i="53" s="1"/>
  <c r="G38" i="32" l="1"/>
  <c r="O99" i="47"/>
  <c r="E38" i="32"/>
  <c r="O97" i="47"/>
  <c r="J38" i="32"/>
  <c r="O102" i="47"/>
  <c r="D38" i="32"/>
  <c r="O96" i="47"/>
  <c r="I38" i="32"/>
  <c r="O101" i="47"/>
  <c r="F38" i="32"/>
  <c r="O98" i="47"/>
  <c r="H38" i="32"/>
  <c r="O100" i="47"/>
  <c r="H20" i="53"/>
  <c r="H29" i="53"/>
  <c r="H35" i="53"/>
  <c r="H32" i="53"/>
  <c r="I38" i="53"/>
  <c r="M39" i="53" s="1"/>
  <c r="H26" i="53"/>
  <c r="E19" i="53"/>
  <c r="F42" i="32" l="1"/>
  <c r="E87" i="60"/>
  <c r="D42" i="32"/>
  <c r="E85" i="60"/>
  <c r="E42" i="32"/>
  <c r="E86" i="60"/>
  <c r="H42" i="32"/>
  <c r="E90" i="60"/>
  <c r="I42" i="32"/>
  <c r="E91" i="60"/>
  <c r="J42" i="32"/>
  <c r="E92" i="60"/>
  <c r="G42" i="32"/>
  <c r="E88" i="60"/>
  <c r="F37" i="32"/>
  <c r="M98" i="47"/>
  <c r="P99" i="47"/>
  <c r="O114" i="47"/>
  <c r="P97" i="47"/>
  <c r="O112" i="47"/>
  <c r="P98" i="47"/>
  <c r="O113" i="47"/>
  <c r="P114" i="47" s="1"/>
  <c r="G37" i="32"/>
  <c r="M99" i="47"/>
  <c r="D37" i="32"/>
  <c r="M96" i="47"/>
  <c r="N97" i="47" s="1"/>
  <c r="H37" i="32"/>
  <c r="M100" i="47"/>
  <c r="P101" i="47"/>
  <c r="O116" i="47"/>
  <c r="P102" i="47"/>
  <c r="O117" i="47"/>
  <c r="P103" i="47"/>
  <c r="O118" i="47"/>
  <c r="P100" i="47"/>
  <c r="O115" i="47"/>
  <c r="E37" i="32"/>
  <c r="M97" i="47"/>
  <c r="N98" i="47" s="1"/>
  <c r="I37" i="32"/>
  <c r="M101" i="47"/>
  <c r="H38" i="53"/>
  <c r="A21" i="4"/>
  <c r="F91" i="60" l="1"/>
  <c r="F87" i="60"/>
  <c r="F92" i="60"/>
  <c r="F90" i="60"/>
  <c r="F86" i="60"/>
  <c r="F89" i="60"/>
  <c r="F88" i="60"/>
  <c r="P116" i="47"/>
  <c r="P118" i="47"/>
  <c r="N101" i="47"/>
  <c r="N99" i="47"/>
  <c r="N102" i="47"/>
  <c r="N100" i="47"/>
  <c r="P115" i="47"/>
  <c r="P113" i="47"/>
  <c r="P117" i="47"/>
  <c r="J37" i="32"/>
  <c r="M102" i="47"/>
  <c r="A22" i="4"/>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C140" i="4" l="1"/>
  <c r="D140" i="4"/>
  <c r="N103" i="47"/>
  <c r="A105" i="4"/>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N104" i="4" l="1"/>
  <c r="Y104" i="4" s="1"/>
  <c r="N106" i="4"/>
  <c r="N105" i="4"/>
  <c r="N107" i="4"/>
  <c r="N108" i="4"/>
  <c r="N109" i="4"/>
  <c r="N110" i="4"/>
  <c r="N111" i="4"/>
  <c r="N112" i="4"/>
  <c r="N113" i="4"/>
  <c r="N114" i="4"/>
  <c r="N115" i="4"/>
  <c r="N116" i="4"/>
  <c r="N117" i="4"/>
  <c r="N118" i="4"/>
  <c r="N119" i="4"/>
  <c r="N120" i="4"/>
  <c r="N121" i="4"/>
  <c r="N122" i="4"/>
  <c r="N123" i="4"/>
  <c r="N124" i="4"/>
  <c r="N125" i="4"/>
  <c r="N127" i="4"/>
  <c r="N126" i="4"/>
  <c r="AE22" i="46"/>
  <c r="AE21" i="46"/>
  <c r="AG44" i="46"/>
  <c r="W44" i="46"/>
  <c r="M44" i="46"/>
  <c r="B44" i="46"/>
  <c r="Y123" i="4" l="1"/>
  <c r="Y119" i="4"/>
  <c r="Y115" i="4"/>
  <c r="Y111" i="4"/>
  <c r="V116" i="4"/>
  <c r="Y126" i="4"/>
  <c r="Y107" i="4"/>
  <c r="Y122" i="4"/>
  <c r="Y118" i="4"/>
  <c r="Y114" i="4"/>
  <c r="Y110" i="4"/>
  <c r="Y105" i="4"/>
  <c r="Y127" i="4"/>
  <c r="Y125" i="4"/>
  <c r="Y121" i="4"/>
  <c r="Y117" i="4"/>
  <c r="Y113" i="4"/>
  <c r="Y109" i="4"/>
  <c r="Y106" i="4"/>
  <c r="Y124" i="4"/>
  <c r="Y120" i="4"/>
  <c r="Y116" i="4"/>
  <c r="Y112" i="4"/>
  <c r="Y108" i="4"/>
  <c r="V104" i="4"/>
  <c r="D35" i="51"/>
  <c r="G35" i="51"/>
  <c r="F35" i="51"/>
  <c r="E35" i="51"/>
  <c r="D36" i="51"/>
  <c r="F36" i="51"/>
  <c r="E36" i="51"/>
  <c r="G36" i="51"/>
  <c r="AE27" i="46"/>
  <c r="AE25" i="46"/>
  <c r="AE26" i="46"/>
  <c r="AE23" i="46"/>
  <c r="AE24" i="46"/>
  <c r="G24" i="51"/>
  <c r="F24" i="51"/>
  <c r="E24" i="51"/>
  <c r="D24" i="51"/>
  <c r="H34" i="6"/>
  <c r="F34" i="6"/>
  <c r="D34" i="6"/>
  <c r="AD27" i="46"/>
  <c r="AD23" i="46"/>
  <c r="M15" i="6"/>
  <c r="K15" i="6"/>
  <c r="AE31" i="46" l="1"/>
  <c r="X116" i="4"/>
  <c r="V127" i="4"/>
  <c r="G32" i="51"/>
  <c r="E32" i="51"/>
  <c r="E40" i="51" s="1"/>
  <c r="I32" i="51"/>
  <c r="H32" i="51"/>
  <c r="F32" i="51"/>
  <c r="D32" i="51"/>
  <c r="AD21" i="46"/>
  <c r="T27" i="46"/>
  <c r="AD22" i="46"/>
  <c r="AD25" i="46"/>
  <c r="AD26" i="46"/>
  <c r="AD24" i="46"/>
  <c r="I27" i="46"/>
  <c r="I24" i="51"/>
  <c r="I36" i="51"/>
  <c r="H36" i="51"/>
  <c r="H24" i="51"/>
  <c r="J36" i="51"/>
  <c r="J35" i="51"/>
  <c r="I35" i="51"/>
  <c r="J24" i="51"/>
  <c r="H35" i="51"/>
  <c r="T26" i="46"/>
  <c r="T21" i="46"/>
  <c r="T22" i="46"/>
  <c r="T23" i="46"/>
  <c r="T24" i="46"/>
  <c r="T25" i="46"/>
  <c r="I25" i="46"/>
  <c r="I26" i="46"/>
  <c r="I21" i="46"/>
  <c r="I22" i="46"/>
  <c r="I23" i="46"/>
  <c r="I24" i="46"/>
  <c r="P20" i="30"/>
  <c r="M20" i="30"/>
  <c r="J20" i="30"/>
  <c r="H20" i="30"/>
  <c r="T31" i="46" l="1"/>
  <c r="H40" i="51"/>
  <c r="I40" i="51"/>
  <c r="G40" i="51"/>
  <c r="D40" i="51"/>
  <c r="F40" i="51"/>
  <c r="AD31" i="46"/>
  <c r="AB46" i="46" s="1"/>
  <c r="I31" i="46"/>
  <c r="G46" i="46" s="1"/>
  <c r="J32" i="51"/>
  <c r="AA46" i="46"/>
  <c r="K27" i="6"/>
  <c r="B78" i="47"/>
  <c r="J78" i="47" s="1"/>
  <c r="K13" i="38"/>
  <c r="G13" i="38"/>
  <c r="B46" i="47"/>
  <c r="J46" i="47" s="1"/>
  <c r="B94" i="47"/>
  <c r="J94" i="47" s="1"/>
  <c r="M13" i="38"/>
  <c r="B30" i="47"/>
  <c r="J30" i="47" s="1"/>
  <c r="E13" i="38"/>
  <c r="B14" i="47"/>
  <c r="J14" i="47" s="1"/>
  <c r="C13" i="38"/>
  <c r="B62" i="47"/>
  <c r="J62" i="47" s="1"/>
  <c r="I13" i="38"/>
  <c r="J40" i="51" l="1"/>
  <c r="K28" i="6"/>
  <c r="K33" i="6"/>
  <c r="AB47" i="46"/>
  <c r="AA47" i="46"/>
  <c r="R46" i="46"/>
  <c r="R47" i="46"/>
  <c r="G47" i="46"/>
  <c r="L33" i="6" l="1"/>
  <c r="L39" i="6" s="1"/>
  <c r="I36" i="56" s="1"/>
  <c r="R28" i="46"/>
  <c r="K87" i="47" s="1"/>
  <c r="K39" i="6"/>
  <c r="K34" i="6"/>
  <c r="B80" i="59" l="1"/>
  <c r="C80" i="59" s="1"/>
  <c r="D80" i="59" s="1"/>
  <c r="H36" i="56"/>
  <c r="L87" i="47"/>
  <c r="K40" i="6"/>
  <c r="R29" i="46"/>
  <c r="K88" i="47" s="1"/>
  <c r="K32" i="32"/>
  <c r="B77" i="60" s="1"/>
  <c r="P46" i="46"/>
  <c r="P34" i="6"/>
  <c r="L34" i="6"/>
  <c r="L40" i="6" s="1"/>
  <c r="I37" i="56" s="1"/>
  <c r="C77" i="60" l="1"/>
  <c r="D77" i="60" s="1"/>
  <c r="B81" i="59"/>
  <c r="C81" i="59" s="1"/>
  <c r="D81" i="59" s="1"/>
  <c r="D82" i="59" s="1"/>
  <c r="H37" i="56"/>
  <c r="L89" i="47"/>
  <c r="L88" i="47"/>
  <c r="L32" i="32"/>
  <c r="B78" i="60" s="1"/>
  <c r="P47" i="46"/>
  <c r="L113" i="4"/>
  <c r="L109" i="4"/>
  <c r="L105" i="4"/>
  <c r="L112" i="4"/>
  <c r="L108" i="4"/>
  <c r="L104" i="4"/>
  <c r="L115" i="4"/>
  <c r="L111" i="4"/>
  <c r="L107" i="4"/>
  <c r="L114" i="4"/>
  <c r="L110" i="4"/>
  <c r="L106" i="4"/>
  <c r="C78" i="60" l="1"/>
  <c r="D78" i="60" s="1"/>
  <c r="D79" i="60" s="1"/>
  <c r="L127" i="4"/>
  <c r="S127" i="4" s="1"/>
  <c r="S115" i="4"/>
  <c r="L118" i="4"/>
  <c r="S118" i="4" s="1"/>
  <c r="S106" i="4"/>
  <c r="L123" i="4"/>
  <c r="S123" i="4" s="1"/>
  <c r="S111" i="4"/>
  <c r="L124" i="4"/>
  <c r="S124" i="4" s="1"/>
  <c r="S112" i="4"/>
  <c r="L122" i="4"/>
  <c r="S122" i="4" s="1"/>
  <c r="S110" i="4"/>
  <c r="L117" i="4"/>
  <c r="S117" i="4" s="1"/>
  <c r="S105" i="4"/>
  <c r="L126" i="4"/>
  <c r="S126" i="4" s="1"/>
  <c r="S114" i="4"/>
  <c r="L116" i="4"/>
  <c r="S116" i="4" s="1"/>
  <c r="S104" i="4"/>
  <c r="L121" i="4"/>
  <c r="S121" i="4" s="1"/>
  <c r="S109" i="4"/>
  <c r="L119" i="4"/>
  <c r="S119" i="4" s="1"/>
  <c r="S107" i="4"/>
  <c r="L120" i="4"/>
  <c r="S120" i="4" s="1"/>
  <c r="S108" i="4"/>
  <c r="L125" i="4"/>
  <c r="S125" i="4" s="1"/>
  <c r="S113" i="4"/>
  <c r="J83" i="4"/>
  <c r="J20" i="4" l="1"/>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4" i="4"/>
  <c r="J85" i="4"/>
  <c r="J86" i="4"/>
  <c r="J87" i="4"/>
  <c r="J88" i="4"/>
  <c r="J89" i="4"/>
  <c r="J90" i="4"/>
  <c r="J91" i="4"/>
  <c r="J92" i="4"/>
  <c r="J93" i="4"/>
  <c r="J94" i="4"/>
  <c r="J95" i="4"/>
  <c r="J96" i="4"/>
  <c r="J97" i="4"/>
  <c r="J98" i="4"/>
  <c r="J99" i="4"/>
  <c r="J100" i="4"/>
  <c r="J101" i="4"/>
  <c r="J102" i="4"/>
  <c r="J103" i="4"/>
  <c r="B23" i="52"/>
  <c r="B33" i="52" s="1"/>
  <c r="B44" i="52" s="1"/>
  <c r="B55" i="52" s="1"/>
  <c r="B19" i="52"/>
  <c r="B29" i="52" s="1"/>
  <c r="B40" i="52" s="1"/>
  <c r="B51" i="52" s="1"/>
  <c r="B21" i="52"/>
  <c r="B31" i="52" s="1"/>
  <c r="B42" i="52" s="1"/>
  <c r="B53" i="52" s="1"/>
  <c r="B20" i="52"/>
  <c r="B30" i="52" s="1"/>
  <c r="B41" i="52" s="1"/>
  <c r="B52" i="52" s="1"/>
  <c r="B22" i="52"/>
  <c r="B32" i="52" s="1"/>
  <c r="B43" i="52" s="1"/>
  <c r="B54" i="52" s="1"/>
  <c r="B18" i="52"/>
  <c r="B28" i="52" s="1"/>
  <c r="B39" i="52" s="1"/>
  <c r="B50" i="52" s="1"/>
  <c r="B17" i="52"/>
  <c r="B27" i="52" s="1"/>
  <c r="B38" i="52" s="1"/>
  <c r="B49" i="52" s="1"/>
  <c r="Z17" i="52"/>
  <c r="Z18" i="52"/>
  <c r="B66" i="52" l="1"/>
  <c r="B77" i="52" s="1"/>
  <c r="B87" i="52" s="1"/>
  <c r="B63" i="52"/>
  <c r="B74" i="52" s="1"/>
  <c r="B84" i="52" s="1"/>
  <c r="B65" i="52"/>
  <c r="B76" i="52" s="1"/>
  <c r="B86" i="52" s="1"/>
  <c r="B60" i="52"/>
  <c r="B71" i="52" s="1"/>
  <c r="B81" i="52" s="1"/>
  <c r="B64" i="52"/>
  <c r="B75" i="52" s="1"/>
  <c r="B85" i="52" s="1"/>
  <c r="B61" i="52"/>
  <c r="B72" i="52" s="1"/>
  <c r="B82" i="52" s="1"/>
  <c r="B62" i="52"/>
  <c r="B73" i="52" s="1"/>
  <c r="B83" i="52" s="1"/>
  <c r="W53" i="4"/>
  <c r="W52" i="4"/>
  <c r="W51" i="4"/>
  <c r="W50" i="4"/>
  <c r="W49" i="4"/>
  <c r="W48" i="4"/>
  <c r="W47" i="4"/>
  <c r="H62" i="46"/>
  <c r="H58" i="46"/>
  <c r="H60" i="46"/>
  <c r="H56" i="46"/>
  <c r="H64" i="46"/>
  <c r="H63" i="46"/>
  <c r="H61" i="46"/>
  <c r="H59" i="46"/>
  <c r="H57" i="46"/>
  <c r="X49" i="4" l="1"/>
  <c r="W59" i="4"/>
  <c r="X51" i="4"/>
  <c r="W61" i="4"/>
  <c r="W63" i="4"/>
  <c r="X53" i="4"/>
  <c r="X48" i="4"/>
  <c r="W58" i="4"/>
  <c r="W60" i="4"/>
  <c r="X50" i="4"/>
  <c r="X52" i="4"/>
  <c r="W62" i="4"/>
  <c r="X47" i="4"/>
  <c r="W57" i="4"/>
  <c r="B37" i="29"/>
  <c r="K37" i="29"/>
  <c r="C15" i="6"/>
  <c r="E15" i="6"/>
  <c r="G15" i="6"/>
  <c r="I15" i="6"/>
  <c r="B17" i="6"/>
  <c r="V47" i="4" s="1"/>
  <c r="V57" i="4" s="1"/>
  <c r="B18" i="6"/>
  <c r="B19" i="6"/>
  <c r="V49" i="4" s="1"/>
  <c r="V59" i="4" s="1"/>
  <c r="B20" i="6"/>
  <c r="V50" i="4" s="1"/>
  <c r="V60" i="4" s="1"/>
  <c r="B21" i="6"/>
  <c r="V51" i="4" s="1"/>
  <c r="V61" i="4" s="1"/>
  <c r="B22" i="6"/>
  <c r="B23" i="6"/>
  <c r="V53" i="4" s="1"/>
  <c r="V63" i="4" s="1"/>
  <c r="B27" i="6"/>
  <c r="B28" i="6"/>
  <c r="B33" i="6"/>
  <c r="B39" i="6" s="1"/>
  <c r="B34" i="6"/>
  <c r="B40" i="6" s="1"/>
  <c r="D20" i="30"/>
  <c r="F20" i="30"/>
  <c r="B25" i="30"/>
  <c r="B20" i="4" s="1"/>
  <c r="B26" i="30"/>
  <c r="B21" i="4" s="1"/>
  <c r="B27" i="30"/>
  <c r="B22" i="4" s="1"/>
  <c r="B28" i="30"/>
  <c r="B23" i="4" s="1"/>
  <c r="B29" i="30"/>
  <c r="B24" i="4" s="1"/>
  <c r="B30" i="30"/>
  <c r="B25" i="4" s="1"/>
  <c r="B31" i="30"/>
  <c r="B26" i="4" s="1"/>
  <c r="B32" i="30"/>
  <c r="B27" i="4" s="1"/>
  <c r="B33" i="30"/>
  <c r="B28" i="4" s="1"/>
  <c r="B34" i="30"/>
  <c r="B29" i="4" s="1"/>
  <c r="B35" i="30"/>
  <c r="B30" i="4" s="1"/>
  <c r="B36" i="30"/>
  <c r="B31" i="4" s="1"/>
  <c r="B37" i="30"/>
  <c r="B32" i="4" s="1"/>
  <c r="B38" i="30"/>
  <c r="B33" i="4" s="1"/>
  <c r="B39" i="30"/>
  <c r="B34" i="4" s="1"/>
  <c r="B40" i="30"/>
  <c r="B35" i="4" s="1"/>
  <c r="B41" i="30"/>
  <c r="B36" i="4" s="1"/>
  <c r="B42" i="30"/>
  <c r="B37" i="4" s="1"/>
  <c r="B43" i="30"/>
  <c r="B38" i="4" s="1"/>
  <c r="B44" i="30"/>
  <c r="B39" i="4" s="1"/>
  <c r="B45" i="30"/>
  <c r="B40" i="4" s="1"/>
  <c r="B46" i="30"/>
  <c r="B41" i="4" s="1"/>
  <c r="B47" i="30"/>
  <c r="B42" i="4" s="1"/>
  <c r="B48" i="30"/>
  <c r="B43" i="4" s="1"/>
  <c r="B49" i="30"/>
  <c r="B44" i="4" s="1"/>
  <c r="B50" i="30"/>
  <c r="B45" i="4" s="1"/>
  <c r="B51" i="30"/>
  <c r="B46" i="4" s="1"/>
  <c r="B52" i="30"/>
  <c r="B47" i="4" s="1"/>
  <c r="B53" i="30"/>
  <c r="B48" i="4" s="1"/>
  <c r="B54" i="30"/>
  <c r="B49" i="4" s="1"/>
  <c r="B55" i="30"/>
  <c r="B50" i="4" s="1"/>
  <c r="B56" i="30"/>
  <c r="B51" i="4" s="1"/>
  <c r="B57" i="30"/>
  <c r="B52" i="4" s="1"/>
  <c r="B58" i="30"/>
  <c r="B53" i="4" s="1"/>
  <c r="B59" i="30"/>
  <c r="B54" i="4" s="1"/>
  <c r="B60" i="30"/>
  <c r="B55" i="4" s="1"/>
  <c r="B61" i="30"/>
  <c r="B56" i="4" s="1"/>
  <c r="B62" i="30"/>
  <c r="B57" i="4" s="1"/>
  <c r="B63" i="30"/>
  <c r="B58" i="4" s="1"/>
  <c r="B64" i="30"/>
  <c r="B59" i="4" s="1"/>
  <c r="B65" i="30"/>
  <c r="B60" i="4" s="1"/>
  <c r="B66" i="30"/>
  <c r="B61" i="4" s="1"/>
  <c r="B67" i="30"/>
  <c r="B62" i="4" s="1"/>
  <c r="B68" i="30"/>
  <c r="B63" i="4" s="1"/>
  <c r="B69" i="30"/>
  <c r="B64" i="4" s="1"/>
  <c r="B70" i="30"/>
  <c r="B65" i="4" s="1"/>
  <c r="B71" i="30"/>
  <c r="B66" i="4" s="1"/>
  <c r="B72" i="30"/>
  <c r="B67" i="4" s="1"/>
  <c r="B73" i="30"/>
  <c r="B68" i="4" s="1"/>
  <c r="B74" i="30"/>
  <c r="B69" i="4" s="1"/>
  <c r="B75" i="30"/>
  <c r="B70" i="4" s="1"/>
  <c r="B76" i="30"/>
  <c r="B71" i="4" s="1"/>
  <c r="B77" i="30"/>
  <c r="B72" i="4" s="1"/>
  <c r="B78" i="30"/>
  <c r="B73" i="4" s="1"/>
  <c r="B79" i="30"/>
  <c r="B74" i="4" s="1"/>
  <c r="B80" i="30"/>
  <c r="B75" i="4" s="1"/>
  <c r="B81" i="30"/>
  <c r="B76" i="4" s="1"/>
  <c r="B82" i="30"/>
  <c r="B77" i="4" s="1"/>
  <c r="B83" i="30"/>
  <c r="B78" i="4" s="1"/>
  <c r="B84" i="30"/>
  <c r="B79" i="4" s="1"/>
  <c r="B85" i="30"/>
  <c r="B80" i="4" s="1"/>
  <c r="B86" i="30"/>
  <c r="B81" i="4" s="1"/>
  <c r="B87" i="30"/>
  <c r="B82" i="4" s="1"/>
  <c r="B88" i="30"/>
  <c r="B83" i="4" s="1"/>
  <c r="B89" i="30"/>
  <c r="B84" i="4" s="1"/>
  <c r="B90" i="30"/>
  <c r="B85" i="4" s="1"/>
  <c r="B91" i="30"/>
  <c r="B86" i="4" s="1"/>
  <c r="B92" i="30"/>
  <c r="B87" i="4" s="1"/>
  <c r="B93" i="30"/>
  <c r="B88" i="4" s="1"/>
  <c r="B94" i="30"/>
  <c r="B89" i="4" s="1"/>
  <c r="B95" i="30"/>
  <c r="B90" i="4" s="1"/>
  <c r="B96" i="30"/>
  <c r="B91" i="4" s="1"/>
  <c r="B97" i="30"/>
  <c r="B92" i="4" s="1"/>
  <c r="B98" i="30"/>
  <c r="B93" i="4" s="1"/>
  <c r="B99" i="30"/>
  <c r="B94" i="4" s="1"/>
  <c r="B100" i="30"/>
  <c r="B95" i="4" s="1"/>
  <c r="B101" i="30"/>
  <c r="B96" i="4" s="1"/>
  <c r="B102" i="30"/>
  <c r="B97" i="4" s="1"/>
  <c r="B103" i="30"/>
  <c r="B98" i="4" s="1"/>
  <c r="B104" i="30"/>
  <c r="B99" i="4" s="1"/>
  <c r="B105" i="30"/>
  <c r="B100" i="4" s="1"/>
  <c r="B106" i="30"/>
  <c r="B101" i="4" s="1"/>
  <c r="B107" i="30"/>
  <c r="B102" i="4" s="1"/>
  <c r="B108" i="30"/>
  <c r="B103" i="4" s="1"/>
  <c r="B109" i="30"/>
  <c r="B104" i="4" s="1"/>
  <c r="B110" i="30"/>
  <c r="B105" i="4" s="1"/>
  <c r="B111" i="30"/>
  <c r="B106" i="4" s="1"/>
  <c r="B112" i="30"/>
  <c r="B107" i="4" s="1"/>
  <c r="B113" i="30"/>
  <c r="B108" i="4" s="1"/>
  <c r="B114" i="30"/>
  <c r="B109" i="4" s="1"/>
  <c r="B115" i="30"/>
  <c r="B110" i="4" s="1"/>
  <c r="B116" i="30"/>
  <c r="B111" i="4" s="1"/>
  <c r="B117" i="30"/>
  <c r="B112" i="4" s="1"/>
  <c r="B118" i="30"/>
  <c r="B113" i="4" s="1"/>
  <c r="B119" i="30"/>
  <c r="B114" i="4" s="1"/>
  <c r="B120" i="30"/>
  <c r="B115" i="4" s="1"/>
  <c r="B121" i="30"/>
  <c r="B116" i="4" s="1"/>
  <c r="B122" i="30"/>
  <c r="B117" i="4" s="1"/>
  <c r="B123" i="30"/>
  <c r="B118" i="4" s="1"/>
  <c r="B124" i="30"/>
  <c r="B119" i="4" s="1"/>
  <c r="B125" i="30"/>
  <c r="B120" i="4" s="1"/>
  <c r="B126" i="30"/>
  <c r="B121" i="4" s="1"/>
  <c r="B127" i="30"/>
  <c r="B122" i="4" s="1"/>
  <c r="B128" i="30"/>
  <c r="B123" i="4" s="1"/>
  <c r="B129" i="30"/>
  <c r="B124" i="4" s="1"/>
  <c r="B130" i="30"/>
  <c r="B125" i="4" s="1"/>
  <c r="B131" i="30"/>
  <c r="B126" i="4" s="1"/>
  <c r="B132" i="30"/>
  <c r="B127" i="4" s="1"/>
  <c r="B26" i="46" l="1"/>
  <c r="AG26" i="46" s="1"/>
  <c r="V52" i="4"/>
  <c r="V62" i="4" s="1"/>
  <c r="B22" i="29"/>
  <c r="K22" i="29" s="1"/>
  <c r="V48" i="4"/>
  <c r="V58" i="4" s="1"/>
  <c r="J36" i="32"/>
  <c r="K102" i="47"/>
  <c r="E36" i="32"/>
  <c r="K97" i="47"/>
  <c r="D36" i="32"/>
  <c r="K96" i="47"/>
  <c r="H36" i="32"/>
  <c r="K100" i="47"/>
  <c r="I36" i="32"/>
  <c r="K101" i="47"/>
  <c r="G36" i="32"/>
  <c r="K99" i="47"/>
  <c r="H55" i="46"/>
  <c r="H15" i="32"/>
  <c r="H14" i="51"/>
  <c r="F26" i="57" s="1"/>
  <c r="I14" i="51"/>
  <c r="G26" i="57" s="1"/>
  <c r="D14" i="51"/>
  <c r="B26" i="57" s="1"/>
  <c r="E14" i="51"/>
  <c r="C26" i="57" s="1"/>
  <c r="F14" i="51"/>
  <c r="D26" i="57" s="1"/>
  <c r="G14" i="51"/>
  <c r="E26" i="57" s="1"/>
  <c r="J14" i="51"/>
  <c r="H26" i="57" s="1"/>
  <c r="D26" i="51"/>
  <c r="E30" i="51"/>
  <c r="G18" i="51"/>
  <c r="E33" i="57" s="1"/>
  <c r="H22" i="51"/>
  <c r="G26" i="51"/>
  <c r="G30" i="51"/>
  <c r="F18" i="51"/>
  <c r="D33" i="57" s="1"/>
  <c r="E22" i="51"/>
  <c r="G22" i="51"/>
  <c r="F22" i="51"/>
  <c r="J18" i="51"/>
  <c r="H33" i="57" s="1"/>
  <c r="H18" i="51"/>
  <c r="F33" i="57" s="1"/>
  <c r="I22" i="51"/>
  <c r="D22" i="51"/>
  <c r="E18" i="51"/>
  <c r="C33" i="57" s="1"/>
  <c r="J22" i="51"/>
  <c r="I26" i="51"/>
  <c r="I30" i="51"/>
  <c r="F30" i="51"/>
  <c r="H30" i="51"/>
  <c r="E26" i="51"/>
  <c r="F26" i="51"/>
  <c r="J30" i="51"/>
  <c r="I18" i="51"/>
  <c r="G33" i="57" s="1"/>
  <c r="H26" i="51"/>
  <c r="J26" i="51"/>
  <c r="D18" i="51"/>
  <c r="B33" i="57" s="1"/>
  <c r="D30" i="51"/>
  <c r="D33" i="6"/>
  <c r="H33" i="6"/>
  <c r="F33" i="6"/>
  <c r="B17" i="38"/>
  <c r="F13" i="51"/>
  <c r="F15" i="32"/>
  <c r="B23" i="46"/>
  <c r="AG23" i="46" s="1"/>
  <c r="B23" i="29"/>
  <c r="B21" i="38"/>
  <c r="J13" i="51"/>
  <c r="J15" i="32"/>
  <c r="B27" i="29"/>
  <c r="B27" i="46"/>
  <c r="AG27" i="46" s="1"/>
  <c r="G13" i="51"/>
  <c r="B18" i="38"/>
  <c r="B24" i="46"/>
  <c r="AG24" i="46" s="1"/>
  <c r="G15" i="32"/>
  <c r="B24" i="29"/>
  <c r="B23" i="38"/>
  <c r="L13" i="51"/>
  <c r="L15" i="32"/>
  <c r="B29" i="46"/>
  <c r="AG29" i="46" s="1"/>
  <c r="B29" i="29"/>
  <c r="K13" i="51"/>
  <c r="B22" i="38"/>
  <c r="B28" i="46"/>
  <c r="AG28" i="46" s="1"/>
  <c r="K15" i="32"/>
  <c r="B28" i="29"/>
  <c r="B26" i="29"/>
  <c r="B19" i="38"/>
  <c r="H13" i="51"/>
  <c r="B25" i="46"/>
  <c r="AG25" i="46" s="1"/>
  <c r="B15" i="38"/>
  <c r="D13" i="51"/>
  <c r="D15" i="32"/>
  <c r="B21" i="46"/>
  <c r="AG21" i="46" s="1"/>
  <c r="D27" i="29"/>
  <c r="D26" i="29"/>
  <c r="M26" i="29" s="1"/>
  <c r="D25" i="29"/>
  <c r="D24" i="29"/>
  <c r="M24" i="29" s="1"/>
  <c r="D23" i="29"/>
  <c r="M23" i="29" s="1"/>
  <c r="D22" i="29"/>
  <c r="D21" i="29"/>
  <c r="M21" i="29" s="1"/>
  <c r="B25" i="29"/>
  <c r="B20" i="38"/>
  <c r="I13" i="51"/>
  <c r="I15" i="32"/>
  <c r="B16" i="38"/>
  <c r="E13" i="51"/>
  <c r="E15" i="32"/>
  <c r="B21" i="29"/>
  <c r="B22" i="46"/>
  <c r="AG22" i="46" s="1"/>
  <c r="I40" i="32" l="1"/>
  <c r="B91" i="60"/>
  <c r="D40" i="32"/>
  <c r="B85" i="60"/>
  <c r="I85" i="60" s="1"/>
  <c r="J40" i="32"/>
  <c r="B92" i="60"/>
  <c r="G40" i="32"/>
  <c r="B88" i="60"/>
  <c r="H40" i="32"/>
  <c r="B90" i="60"/>
  <c r="E40" i="32"/>
  <c r="B86" i="60"/>
  <c r="W26" i="46"/>
  <c r="D34" i="51"/>
  <c r="N15" i="38" s="1"/>
  <c r="M26" i="46"/>
  <c r="F63" i="46"/>
  <c r="G34" i="51"/>
  <c r="M18" i="38" s="1"/>
  <c r="H34" i="51"/>
  <c r="M19" i="38" s="1"/>
  <c r="E34" i="51"/>
  <c r="E38" i="51" s="1"/>
  <c r="L102" i="47"/>
  <c r="K117" i="47"/>
  <c r="L103" i="47"/>
  <c r="K118" i="47"/>
  <c r="I34" i="51"/>
  <c r="N20" i="38" s="1"/>
  <c r="L100" i="47"/>
  <c r="K115" i="47"/>
  <c r="L101" i="47"/>
  <c r="K116" i="47"/>
  <c r="L98" i="47"/>
  <c r="K113" i="47"/>
  <c r="J34" i="51"/>
  <c r="J38" i="51" s="1"/>
  <c r="L97" i="47"/>
  <c r="K112" i="47"/>
  <c r="F36" i="32"/>
  <c r="K98" i="47"/>
  <c r="Q20" i="6"/>
  <c r="I60" i="46"/>
  <c r="I63" i="46"/>
  <c r="I64" i="46"/>
  <c r="I58" i="46"/>
  <c r="I55" i="46"/>
  <c r="I59" i="46"/>
  <c r="I57" i="46"/>
  <c r="I62" i="46"/>
  <c r="I56" i="46"/>
  <c r="I61" i="46"/>
  <c r="D16" i="38"/>
  <c r="D15" i="38"/>
  <c r="D21" i="38"/>
  <c r="D19" i="38"/>
  <c r="D20" i="38"/>
  <c r="D18" i="38"/>
  <c r="D17" i="38"/>
  <c r="F16" i="38"/>
  <c r="L15" i="38"/>
  <c r="J16" i="38"/>
  <c r="H18" i="38"/>
  <c r="H21" i="38"/>
  <c r="L18" i="38"/>
  <c r="F18" i="38"/>
  <c r="F20" i="38"/>
  <c r="L17" i="38"/>
  <c r="L21" i="38"/>
  <c r="F21" i="38"/>
  <c r="H19" i="38"/>
  <c r="H20" i="38"/>
  <c r="H15" i="38"/>
  <c r="H16" i="38"/>
  <c r="J21" i="38"/>
  <c r="L20" i="38"/>
  <c r="H17" i="38"/>
  <c r="F17" i="38"/>
  <c r="J15" i="38"/>
  <c r="L19" i="38"/>
  <c r="F15" i="38"/>
  <c r="F19" i="38"/>
  <c r="L16" i="38"/>
  <c r="J19" i="38"/>
  <c r="J17" i="38"/>
  <c r="J20" i="38"/>
  <c r="J18" i="38"/>
  <c r="F59" i="46"/>
  <c r="F61" i="46"/>
  <c r="F56" i="46"/>
  <c r="F57" i="46"/>
  <c r="F58" i="46"/>
  <c r="F62" i="46"/>
  <c r="B46" i="46"/>
  <c r="AG46" i="46"/>
  <c r="F60" i="46"/>
  <c r="F64" i="46"/>
  <c r="F55" i="46"/>
  <c r="B47" i="46"/>
  <c r="AG47" i="46"/>
  <c r="Q22" i="6"/>
  <c r="Q23" i="6"/>
  <c r="Q21" i="6"/>
  <c r="Q18" i="6"/>
  <c r="Q19" i="6"/>
  <c r="M22" i="29"/>
  <c r="H39" i="6"/>
  <c r="F36" i="56" s="1"/>
  <c r="K25" i="29"/>
  <c r="M25" i="46"/>
  <c r="W25" i="46"/>
  <c r="W28" i="46"/>
  <c r="W46" i="46" s="1"/>
  <c r="M28" i="46"/>
  <c r="M46" i="46" s="1"/>
  <c r="M27" i="29"/>
  <c r="M21" i="46"/>
  <c r="W21" i="46"/>
  <c r="K29" i="29"/>
  <c r="B40" i="29"/>
  <c r="K24" i="29"/>
  <c r="M24" i="46"/>
  <c r="W24" i="46"/>
  <c r="K21" i="29"/>
  <c r="K28" i="29"/>
  <c r="B39" i="29"/>
  <c r="W29" i="46"/>
  <c r="W47" i="46" s="1"/>
  <c r="M29" i="46"/>
  <c r="M47" i="46" s="1"/>
  <c r="M27" i="46"/>
  <c r="W27" i="46"/>
  <c r="K23" i="29"/>
  <c r="M22" i="46"/>
  <c r="W22" i="46"/>
  <c r="M25" i="29"/>
  <c r="K26" i="29"/>
  <c r="K27" i="29"/>
  <c r="M23" i="46"/>
  <c r="W23" i="46"/>
  <c r="T79" i="4"/>
  <c r="Y51" i="4" s="1"/>
  <c r="E25" i="29"/>
  <c r="T31" i="4"/>
  <c r="Y47" i="4" s="1"/>
  <c r="E21" i="29"/>
  <c r="N21" i="29" s="1"/>
  <c r="E26" i="29"/>
  <c r="T43" i="4"/>
  <c r="Y48" i="4" s="1"/>
  <c r="T67" i="4"/>
  <c r="Y50" i="4" s="1"/>
  <c r="E27" i="29"/>
  <c r="T55" i="4"/>
  <c r="Y49" i="4" s="1"/>
  <c r="E24" i="29"/>
  <c r="N24" i="29" s="1"/>
  <c r="E22" i="29"/>
  <c r="E23" i="29"/>
  <c r="N23" i="29" s="1"/>
  <c r="T91" i="4"/>
  <c r="Y52" i="4" s="1"/>
  <c r="T103" i="4"/>
  <c r="C86" i="60" l="1"/>
  <c r="I86" i="60"/>
  <c r="J86" i="60" s="1"/>
  <c r="K86" i="60" s="1"/>
  <c r="C89" i="60"/>
  <c r="I88" i="60"/>
  <c r="C92" i="60"/>
  <c r="I92" i="60"/>
  <c r="I91" i="60"/>
  <c r="C91" i="60"/>
  <c r="F40" i="32"/>
  <c r="B87" i="60"/>
  <c r="C90" i="60"/>
  <c r="I90" i="60"/>
  <c r="J90" i="60" s="1"/>
  <c r="K90" i="60" s="1"/>
  <c r="M20" i="38"/>
  <c r="G38" i="51"/>
  <c r="M15" i="38"/>
  <c r="N18" i="38"/>
  <c r="D38" i="51"/>
  <c r="N19" i="38"/>
  <c r="H38" i="51"/>
  <c r="I38" i="51"/>
  <c r="Y53" i="4"/>
  <c r="AA53" i="4" s="1"/>
  <c r="M16" i="38"/>
  <c r="N16" i="38"/>
  <c r="N21" i="38"/>
  <c r="M21" i="38"/>
  <c r="L113" i="47"/>
  <c r="L118" i="47"/>
  <c r="L99" i="47"/>
  <c r="K114" i="47"/>
  <c r="L115" i="47" s="1"/>
  <c r="L116" i="47"/>
  <c r="F34" i="51"/>
  <c r="L117" i="47"/>
  <c r="Z50" i="4"/>
  <c r="X60" i="4"/>
  <c r="AA50" i="4"/>
  <c r="Z49" i="4"/>
  <c r="AA49" i="4"/>
  <c r="X59" i="4"/>
  <c r="Z47" i="4"/>
  <c r="X57" i="4"/>
  <c r="Y57" i="4" s="1"/>
  <c r="AA47" i="4"/>
  <c r="Z48" i="4"/>
  <c r="X58" i="4"/>
  <c r="Y58" i="4" s="1"/>
  <c r="AA48" i="4"/>
  <c r="G27" i="6"/>
  <c r="H40" i="6"/>
  <c r="F37" i="56" s="1"/>
  <c r="M27" i="6"/>
  <c r="M39" i="6" s="1"/>
  <c r="AL28" i="46" s="1"/>
  <c r="N40" i="6"/>
  <c r="N39" i="6"/>
  <c r="I27" i="6"/>
  <c r="E27" i="6"/>
  <c r="E39" i="6" s="1"/>
  <c r="F40" i="6"/>
  <c r="F20" i="56" s="1"/>
  <c r="F39" i="6"/>
  <c r="F19" i="56" s="1"/>
  <c r="C27" i="6"/>
  <c r="D40" i="6"/>
  <c r="C20" i="56" s="1"/>
  <c r="D39" i="6"/>
  <c r="C19" i="56" s="1"/>
  <c r="AK46" i="46"/>
  <c r="AK47" i="46"/>
  <c r="AL46" i="46"/>
  <c r="AL47" i="46"/>
  <c r="Q25" i="6"/>
  <c r="K39" i="29"/>
  <c r="K40" i="29"/>
  <c r="N26" i="29"/>
  <c r="N25" i="29"/>
  <c r="N22" i="29"/>
  <c r="N27" i="29"/>
  <c r="J92" i="60" l="1"/>
  <c r="K92" i="60" s="1"/>
  <c r="I87" i="60"/>
  <c r="J87" i="60" s="1"/>
  <c r="K87" i="60" s="1"/>
  <c r="C87" i="60"/>
  <c r="J91" i="60"/>
  <c r="K91" i="60" s="1"/>
  <c r="C88" i="60"/>
  <c r="J88" i="60"/>
  <c r="K88" i="60" s="1"/>
  <c r="J89" i="60"/>
  <c r="K89" i="60" s="1"/>
  <c r="E19" i="56"/>
  <c r="X63" i="4"/>
  <c r="L114" i="47"/>
  <c r="Y59" i="4"/>
  <c r="Y60" i="4"/>
  <c r="Y63" i="4"/>
  <c r="N17" i="38"/>
  <c r="M17" i="38"/>
  <c r="F38" i="51"/>
  <c r="P27" i="6"/>
  <c r="C39" i="6"/>
  <c r="I33" i="6"/>
  <c r="I28" i="6"/>
  <c r="I40" i="6" s="1"/>
  <c r="M28" i="6"/>
  <c r="M40" i="6" s="1"/>
  <c r="AL29" i="46" s="1"/>
  <c r="E28" i="6"/>
  <c r="E40" i="6" s="1"/>
  <c r="G28" i="6"/>
  <c r="G40" i="6" s="1"/>
  <c r="G39" i="6"/>
  <c r="L30" i="51"/>
  <c r="K30" i="51"/>
  <c r="Q19" i="55" s="1"/>
  <c r="R19" i="55" s="1"/>
  <c r="K18" i="51"/>
  <c r="Q15" i="55" s="1"/>
  <c r="R15" i="55" s="1"/>
  <c r="C28" i="6"/>
  <c r="H20" i="56" l="1"/>
  <c r="E37" i="56"/>
  <c r="E20" i="56"/>
  <c r="B19" i="56"/>
  <c r="D19" i="55"/>
  <c r="E19" i="55" s="1"/>
  <c r="M30" i="51"/>
  <c r="AN29" i="46"/>
  <c r="AB28" i="46"/>
  <c r="Z46" i="46" s="1"/>
  <c r="E36" i="56"/>
  <c r="K14" i="51"/>
  <c r="L22" i="51"/>
  <c r="D16" i="55" s="1"/>
  <c r="AB29" i="46"/>
  <c r="Z47" i="46" s="1"/>
  <c r="W104" i="4"/>
  <c r="W127" i="4" s="1"/>
  <c r="G28" i="46"/>
  <c r="I39" i="6"/>
  <c r="P28" i="6"/>
  <c r="P33" i="6"/>
  <c r="J34" i="6"/>
  <c r="J40" i="6" s="1"/>
  <c r="I20" i="56" s="1"/>
  <c r="J33" i="6"/>
  <c r="J39" i="6" s="1"/>
  <c r="I19" i="56" s="1"/>
  <c r="C40" i="6"/>
  <c r="L18" i="51"/>
  <c r="D15" i="55" s="1"/>
  <c r="K104" i="47"/>
  <c r="K103" i="47"/>
  <c r="F22" i="38"/>
  <c r="K28" i="32" l="1"/>
  <c r="K26" i="51"/>
  <c r="Q18" i="55" s="1"/>
  <c r="R18" i="55" s="1"/>
  <c r="B61" i="60"/>
  <c r="B20" i="56"/>
  <c r="B88" i="59"/>
  <c r="H88" i="59" s="1"/>
  <c r="H19" i="56"/>
  <c r="K71" i="47"/>
  <c r="X28" i="46"/>
  <c r="D22" i="38"/>
  <c r="Q14" i="55"/>
  <c r="R14" i="55" s="1"/>
  <c r="K19" i="55"/>
  <c r="L19" i="55" s="1"/>
  <c r="X29" i="46"/>
  <c r="E15" i="55"/>
  <c r="K15" i="55"/>
  <c r="L15" i="55" s="1"/>
  <c r="E16" i="55"/>
  <c r="K16" i="55"/>
  <c r="L16" i="55" s="1"/>
  <c r="G88" i="59"/>
  <c r="L104" i="47"/>
  <c r="L105" i="47"/>
  <c r="P40" i="6"/>
  <c r="K24" i="32"/>
  <c r="K55" i="47"/>
  <c r="L28" i="32"/>
  <c r="K72" i="47"/>
  <c r="X104" i="4"/>
  <c r="E46" i="46"/>
  <c r="P39" i="6"/>
  <c r="AJ47" i="46"/>
  <c r="L36" i="32"/>
  <c r="B94" i="60" s="1"/>
  <c r="AJ46" i="46"/>
  <c r="K36" i="32"/>
  <c r="L14" i="51"/>
  <c r="D14" i="55" s="1"/>
  <c r="Q34" i="6"/>
  <c r="Q40" i="6" s="1"/>
  <c r="Q33" i="6"/>
  <c r="Q39" i="6" s="1"/>
  <c r="K34" i="51" l="1"/>
  <c r="B93" i="60"/>
  <c r="C94" i="60" s="1"/>
  <c r="C61" i="60"/>
  <c r="D61" i="60" s="1"/>
  <c r="L26" i="51"/>
  <c r="D18" i="55" s="1"/>
  <c r="K18" i="55" s="1"/>
  <c r="L18" i="55" s="1"/>
  <c r="B62" i="60"/>
  <c r="K22" i="51"/>
  <c r="Q16" i="55" s="1"/>
  <c r="R16" i="55" s="1"/>
  <c r="R20" i="55" s="1"/>
  <c r="B45" i="60"/>
  <c r="L71" i="47"/>
  <c r="B64" i="59"/>
  <c r="C64" i="59" s="1"/>
  <c r="D64" i="59" s="1"/>
  <c r="B65" i="59"/>
  <c r="B48" i="59"/>
  <c r="C48" i="59" s="1"/>
  <c r="D48" i="59" s="1"/>
  <c r="E18" i="55"/>
  <c r="E14" i="55"/>
  <c r="K14" i="55"/>
  <c r="L14" i="55" s="1"/>
  <c r="L72" i="47"/>
  <c r="L73" i="47"/>
  <c r="K120" i="47"/>
  <c r="L121" i="47" s="1"/>
  <c r="L56" i="47"/>
  <c r="L55" i="47"/>
  <c r="K119" i="47"/>
  <c r="L40" i="32"/>
  <c r="L34" i="51"/>
  <c r="K40" i="32"/>
  <c r="D23" i="38"/>
  <c r="C49" i="59" l="1"/>
  <c r="D49" i="59" s="1"/>
  <c r="C62" i="60"/>
  <c r="D62" i="60" s="1"/>
  <c r="C93" i="60"/>
  <c r="K38" i="51"/>
  <c r="C46" i="60"/>
  <c r="D46" i="60" s="1"/>
  <c r="C45" i="60"/>
  <c r="D45" i="60" s="1"/>
  <c r="D63" i="60"/>
  <c r="C65" i="59"/>
  <c r="D65" i="59" s="1"/>
  <c r="D66" i="59" s="1"/>
  <c r="D50" i="59"/>
  <c r="E20" i="55"/>
  <c r="L20" i="55"/>
  <c r="L120" i="47"/>
  <c r="L119" i="47"/>
  <c r="L38" i="51"/>
  <c r="D47" i="60" l="1"/>
  <c r="T115" i="4"/>
  <c r="AH28" i="46" s="1"/>
  <c r="AJ28" i="46" s="1"/>
  <c r="E28" i="29"/>
  <c r="AA51" i="4" l="1"/>
  <c r="W71" i="4"/>
  <c r="X71" i="4" s="1"/>
  <c r="Z51" i="4"/>
  <c r="M103" i="47"/>
  <c r="Z28" i="46"/>
  <c r="N28" i="29"/>
  <c r="K29" i="32" l="1"/>
  <c r="E61" i="60" s="1"/>
  <c r="M71" i="47"/>
  <c r="N104" i="47"/>
  <c r="AA28" i="46"/>
  <c r="AE28" i="46" s="1"/>
  <c r="AC28" i="46"/>
  <c r="X61" i="4"/>
  <c r="AN46" i="46"/>
  <c r="K37" i="32" s="1"/>
  <c r="AD46" i="46"/>
  <c r="H61" i="60" l="1"/>
  <c r="I61" i="60"/>
  <c r="E64" i="59"/>
  <c r="H64" i="59" s="1"/>
  <c r="I64" i="59" s="1"/>
  <c r="Y61" i="4"/>
  <c r="AD28" i="46"/>
  <c r="AE46" i="46"/>
  <c r="G64" i="59" l="1"/>
  <c r="K27" i="51"/>
  <c r="K35" i="51"/>
  <c r="Q9" i="55" l="1"/>
  <c r="I22" i="38"/>
  <c r="M22" i="38"/>
  <c r="R9" i="55" l="1"/>
  <c r="Q29" i="55"/>
  <c r="R29" i="55" s="1"/>
  <c r="J22" i="38"/>
  <c r="T127" i="4" l="1"/>
  <c r="E29" i="29"/>
  <c r="AA52" i="4" l="1"/>
  <c r="W72" i="4"/>
  <c r="X72" i="4" s="1"/>
  <c r="X62" i="4"/>
  <c r="Z53" i="4"/>
  <c r="Z29" i="46"/>
  <c r="M72" i="47" s="1"/>
  <c r="N29" i="29"/>
  <c r="E65" i="59" l="1"/>
  <c r="H65" i="59" s="1"/>
  <c r="I65" i="59" s="1"/>
  <c r="I66" i="59" s="1"/>
  <c r="Y62" i="4"/>
  <c r="Y64" i="4" s="1"/>
  <c r="N72" i="47"/>
  <c r="N73" i="47"/>
  <c r="AC29" i="46"/>
  <c r="L29" i="32"/>
  <c r="Z52" i="4"/>
  <c r="AA29" i="46"/>
  <c r="AE29" i="46" s="1"/>
  <c r="AD47" i="46"/>
  <c r="E62" i="60" l="1"/>
  <c r="G65" i="59"/>
  <c r="Y65" i="4"/>
  <c r="F65" i="59"/>
  <c r="E29" i="53"/>
  <c r="K29" i="53" s="1"/>
  <c r="AO47" i="46"/>
  <c r="L38" i="32" s="1"/>
  <c r="AD29" i="46"/>
  <c r="AE47" i="46"/>
  <c r="E94" i="60" l="1"/>
  <c r="F62" i="60"/>
  <c r="G62" i="60" s="1"/>
  <c r="H62" i="60"/>
  <c r="I62" i="60"/>
  <c r="J62" i="60" s="1"/>
  <c r="K62" i="60" s="1"/>
  <c r="E36" i="53"/>
  <c r="K36" i="53" s="1"/>
  <c r="L36" i="51" s="1"/>
  <c r="H94" i="60" l="1"/>
  <c r="I94" i="60"/>
  <c r="D8" i="55"/>
  <c r="K8" i="55" s="1"/>
  <c r="L8" i="55" s="1"/>
  <c r="E8" i="55" l="1"/>
  <c r="D28" i="55"/>
  <c r="K28" i="55" s="1"/>
  <c r="L28" i="55" s="1"/>
  <c r="E28" i="55"/>
  <c r="L27" i="51" l="1"/>
  <c r="D9" i="55" l="1"/>
  <c r="M27" i="51"/>
  <c r="I23" i="38"/>
  <c r="J23" i="38"/>
  <c r="N23" i="38"/>
  <c r="F23" i="38"/>
  <c r="E9" i="55" l="1"/>
  <c r="D29" i="55"/>
  <c r="K9" i="55"/>
  <c r="L9" i="55" s="1"/>
  <c r="E29" i="55" l="1"/>
  <c r="K29" i="55"/>
  <c r="L29" i="55" s="1"/>
  <c r="F134" i="30" l="1"/>
  <c r="E32" i="47" s="1"/>
  <c r="J134" i="30"/>
  <c r="C21" i="46" s="1"/>
  <c r="E21" i="46" s="1"/>
  <c r="H134" i="30"/>
  <c r="X21" i="46" s="1"/>
  <c r="Z21" i="46" s="1"/>
  <c r="M134" i="30"/>
  <c r="E80" i="47" s="1"/>
  <c r="L21" i="29"/>
  <c r="F140" i="30"/>
  <c r="F139" i="30"/>
  <c r="F138" i="30"/>
  <c r="F137" i="30"/>
  <c r="F136" i="30"/>
  <c r="F135" i="30"/>
  <c r="E48" i="47"/>
  <c r="J140" i="30"/>
  <c r="J139" i="30"/>
  <c r="J138" i="30"/>
  <c r="J137" i="30"/>
  <c r="J136" i="30"/>
  <c r="J135" i="30"/>
  <c r="H140" i="30"/>
  <c r="H139" i="30"/>
  <c r="H138" i="30"/>
  <c r="H137" i="30"/>
  <c r="H136" i="30"/>
  <c r="H135" i="30"/>
  <c r="M140" i="30"/>
  <c r="M139" i="30"/>
  <c r="M138" i="30"/>
  <c r="M137" i="30"/>
  <c r="M136" i="30"/>
  <c r="M135" i="30"/>
  <c r="E64" i="47" l="1"/>
  <c r="D134" i="30"/>
  <c r="C21" i="29" s="1"/>
  <c r="D136" i="30"/>
  <c r="C23" i="29" s="1"/>
  <c r="D138" i="30"/>
  <c r="E20" i="47" s="1"/>
  <c r="D140" i="30"/>
  <c r="E22" i="47" s="1"/>
  <c r="N21" i="46"/>
  <c r="P21" i="46" s="1"/>
  <c r="U21" i="46" s="1"/>
  <c r="D139" i="30"/>
  <c r="C26" i="29" s="1"/>
  <c r="N25" i="46"/>
  <c r="P25" i="46" s="1"/>
  <c r="E84" i="47"/>
  <c r="X25" i="46"/>
  <c r="Z25" i="46" s="1"/>
  <c r="E68" i="47"/>
  <c r="E56" i="59"/>
  <c r="G56" i="59" s="1"/>
  <c r="C25" i="46"/>
  <c r="E25" i="46" s="1"/>
  <c r="E52" i="47"/>
  <c r="D25" i="32"/>
  <c r="D23" i="51" s="1"/>
  <c r="M48" i="47"/>
  <c r="J21" i="46"/>
  <c r="H21" i="46"/>
  <c r="E36" i="47"/>
  <c r="L25" i="29"/>
  <c r="D21" i="32"/>
  <c r="O21" i="29"/>
  <c r="P21" i="29" s="1"/>
  <c r="D137" i="30"/>
  <c r="N22" i="46"/>
  <c r="P22" i="46" s="1"/>
  <c r="E81" i="47"/>
  <c r="N26" i="46"/>
  <c r="P26" i="46" s="1"/>
  <c r="E85" i="47"/>
  <c r="X22" i="46"/>
  <c r="Z22" i="46" s="1"/>
  <c r="E65" i="47"/>
  <c r="E69" i="47"/>
  <c r="X26" i="46"/>
  <c r="Z26" i="46" s="1"/>
  <c r="E49" i="47"/>
  <c r="F49" i="47" s="1"/>
  <c r="C22" i="46"/>
  <c r="E22" i="46" s="1"/>
  <c r="C26" i="46"/>
  <c r="E26" i="46" s="1"/>
  <c r="E53" i="47"/>
  <c r="L22" i="29"/>
  <c r="E33" i="47"/>
  <c r="L26" i="29"/>
  <c r="E37" i="47"/>
  <c r="D135" i="30"/>
  <c r="E82" i="47"/>
  <c r="N23" i="46"/>
  <c r="P23" i="46" s="1"/>
  <c r="N27" i="46"/>
  <c r="P27" i="46" s="1"/>
  <c r="E86" i="47"/>
  <c r="E66" i="47"/>
  <c r="X23" i="46"/>
  <c r="Z23" i="46" s="1"/>
  <c r="E70" i="47"/>
  <c r="X27" i="46"/>
  <c r="Z27" i="46" s="1"/>
  <c r="C23" i="46"/>
  <c r="E23" i="46" s="1"/>
  <c r="E50" i="47"/>
  <c r="C27" i="46"/>
  <c r="E54" i="47"/>
  <c r="E34" i="47"/>
  <c r="L23" i="29"/>
  <c r="L27" i="29"/>
  <c r="E38" i="47"/>
  <c r="N24" i="46"/>
  <c r="P24" i="46" s="1"/>
  <c r="E83" i="47"/>
  <c r="M80" i="47"/>
  <c r="S21" i="46"/>
  <c r="X24" i="46"/>
  <c r="Z24" i="46" s="1"/>
  <c r="E67" i="47"/>
  <c r="M64" i="47"/>
  <c r="AC21" i="46"/>
  <c r="D29" i="32"/>
  <c r="E51" i="47"/>
  <c r="C24" i="46"/>
  <c r="E24" i="46" s="1"/>
  <c r="L24" i="29"/>
  <c r="E35" i="47"/>
  <c r="E24" i="59"/>
  <c r="G24" i="59" s="1"/>
  <c r="F33" i="47"/>
  <c r="D33" i="32" l="1"/>
  <c r="D31" i="51" s="1"/>
  <c r="K15" i="38" s="1"/>
  <c r="E16" i="47"/>
  <c r="E8" i="59" s="1"/>
  <c r="G8" i="59" s="1"/>
  <c r="E18" i="47"/>
  <c r="E114" i="47" s="1"/>
  <c r="E21" i="47"/>
  <c r="C25" i="29"/>
  <c r="F25" i="29" s="1"/>
  <c r="G25" i="29" s="1"/>
  <c r="C27" i="29"/>
  <c r="G21" i="32"/>
  <c r="O24" i="29"/>
  <c r="P24" i="29" s="1"/>
  <c r="E53" i="60"/>
  <c r="D27" i="51"/>
  <c r="I15" i="38" s="1"/>
  <c r="M67" i="47"/>
  <c r="G29" i="32"/>
  <c r="AC24" i="46"/>
  <c r="J21" i="32"/>
  <c r="O27" i="29"/>
  <c r="E27" i="46"/>
  <c r="C28" i="46"/>
  <c r="E28" i="46" s="1"/>
  <c r="C29" i="46"/>
  <c r="E29" i="46" s="1"/>
  <c r="F71" i="47"/>
  <c r="E63" i="59"/>
  <c r="J33" i="32"/>
  <c r="J31" i="51" s="1"/>
  <c r="M86" i="47"/>
  <c r="U27" i="46"/>
  <c r="S27" i="46"/>
  <c r="F38" i="47"/>
  <c r="E30" i="59"/>
  <c r="F54" i="47"/>
  <c r="M69" i="47"/>
  <c r="I29" i="32"/>
  <c r="AC26" i="46"/>
  <c r="F86" i="47"/>
  <c r="C24" i="29"/>
  <c r="E19" i="47"/>
  <c r="E29" i="59"/>
  <c r="F37" i="47"/>
  <c r="G15" i="38"/>
  <c r="F85" i="47"/>
  <c r="J17" i="32"/>
  <c r="F27" i="29"/>
  <c r="F84" i="47"/>
  <c r="F21" i="32"/>
  <c r="O23" i="29"/>
  <c r="P23" i="29" s="1"/>
  <c r="F51" i="47"/>
  <c r="M66" i="47"/>
  <c r="F29" i="32"/>
  <c r="AC23" i="46"/>
  <c r="F33" i="32"/>
  <c r="F31" i="51" s="1"/>
  <c r="K17" i="38" s="1"/>
  <c r="M82" i="47"/>
  <c r="U23" i="46"/>
  <c r="S23" i="46"/>
  <c r="I21" i="32"/>
  <c r="O26" i="29"/>
  <c r="P26" i="29" s="1"/>
  <c r="I25" i="32"/>
  <c r="I23" i="51" s="1"/>
  <c r="M53" i="47"/>
  <c r="J26" i="46"/>
  <c r="H26" i="46"/>
  <c r="F70" i="47"/>
  <c r="E62" i="59"/>
  <c r="I33" i="32"/>
  <c r="I31" i="51" s="1"/>
  <c r="M85" i="47"/>
  <c r="S26" i="46"/>
  <c r="U26" i="46"/>
  <c r="R21" i="29"/>
  <c r="M32" i="47"/>
  <c r="F53" i="47"/>
  <c r="F69" i="47"/>
  <c r="E61" i="59"/>
  <c r="H33" i="32"/>
  <c r="H31" i="51" s="1"/>
  <c r="M84" i="47"/>
  <c r="S25" i="46"/>
  <c r="U25" i="46"/>
  <c r="E15" i="59"/>
  <c r="E118" i="47"/>
  <c r="F119" i="47" s="1"/>
  <c r="F23" i="47"/>
  <c r="D17" i="32"/>
  <c r="F21" i="29"/>
  <c r="G21" i="29" s="1"/>
  <c r="G33" i="32"/>
  <c r="G31" i="51" s="1"/>
  <c r="M83" i="47"/>
  <c r="U24" i="46"/>
  <c r="S24" i="46"/>
  <c r="F35" i="47"/>
  <c r="E26" i="59"/>
  <c r="F25" i="32"/>
  <c r="F23" i="51" s="1"/>
  <c r="G17" i="38" s="1"/>
  <c r="M50" i="47"/>
  <c r="J23" i="46"/>
  <c r="H23" i="46"/>
  <c r="E58" i="59"/>
  <c r="F67" i="47"/>
  <c r="F83" i="47"/>
  <c r="E25" i="59"/>
  <c r="F34" i="47"/>
  <c r="E25" i="32"/>
  <c r="E23" i="51" s="1"/>
  <c r="G16" i="38" s="1"/>
  <c r="M49" i="47"/>
  <c r="N49" i="47" s="1"/>
  <c r="J22" i="46"/>
  <c r="H22" i="46"/>
  <c r="E57" i="59"/>
  <c r="F66" i="47"/>
  <c r="F82" i="47"/>
  <c r="E21" i="60"/>
  <c r="D19" i="51"/>
  <c r="H25" i="32"/>
  <c r="H23" i="51" s="1"/>
  <c r="M52" i="47"/>
  <c r="J25" i="46"/>
  <c r="H25" i="46"/>
  <c r="M68" i="47"/>
  <c r="H29" i="32"/>
  <c r="AC25" i="46"/>
  <c r="E10" i="59"/>
  <c r="E116" i="47"/>
  <c r="E13" i="59"/>
  <c r="F21" i="47"/>
  <c r="E14" i="59"/>
  <c r="G14" i="59" s="1"/>
  <c r="F22" i="47"/>
  <c r="E117" i="47"/>
  <c r="G25" i="32"/>
  <c r="G23" i="51" s="1"/>
  <c r="M51" i="47"/>
  <c r="J24" i="46"/>
  <c r="H24" i="46"/>
  <c r="E27" i="59"/>
  <c r="F36" i="47"/>
  <c r="F52" i="47"/>
  <c r="F68" i="47"/>
  <c r="E59" i="59"/>
  <c r="E31" i="59"/>
  <c r="F39" i="47"/>
  <c r="F55" i="47"/>
  <c r="M70" i="47"/>
  <c r="AC27" i="46"/>
  <c r="J29" i="32"/>
  <c r="F87" i="47"/>
  <c r="C22" i="29"/>
  <c r="E17" i="47"/>
  <c r="E21" i="32"/>
  <c r="O22" i="29"/>
  <c r="P22" i="29" s="1"/>
  <c r="F50" i="47"/>
  <c r="M65" i="47"/>
  <c r="AC22" i="46"/>
  <c r="E29" i="32"/>
  <c r="E33" i="32"/>
  <c r="E31" i="51" s="1"/>
  <c r="K16" i="38" s="1"/>
  <c r="M81" i="47"/>
  <c r="S22" i="46"/>
  <c r="U22" i="46"/>
  <c r="H21" i="32"/>
  <c r="O25" i="29"/>
  <c r="P25" i="29" s="1"/>
  <c r="F65" i="47"/>
  <c r="F81" i="47"/>
  <c r="F17" i="32"/>
  <c r="F23" i="29"/>
  <c r="G23" i="29" s="1"/>
  <c r="H17" i="32"/>
  <c r="I17" i="32"/>
  <c r="F26" i="29"/>
  <c r="G26" i="29" s="1"/>
  <c r="E112" i="47" l="1"/>
  <c r="F19" i="47"/>
  <c r="U31" i="46"/>
  <c r="F117" i="47"/>
  <c r="N82" i="47"/>
  <c r="N66" i="47"/>
  <c r="F118" i="47"/>
  <c r="N50" i="47"/>
  <c r="I23" i="29"/>
  <c r="M18" i="47"/>
  <c r="E11" i="60"/>
  <c r="I41" i="32"/>
  <c r="I15" i="51"/>
  <c r="E7" i="60"/>
  <c r="F41" i="32"/>
  <c r="F15" i="51"/>
  <c r="R25" i="29"/>
  <c r="M36" i="47"/>
  <c r="E9" i="59"/>
  <c r="F10" i="59" s="1"/>
  <c r="E113" i="47"/>
  <c r="F114" i="47" s="1"/>
  <c r="F18" i="47"/>
  <c r="E60" i="60"/>
  <c r="J27" i="51"/>
  <c r="N81" i="47"/>
  <c r="G27" i="59"/>
  <c r="F28" i="59"/>
  <c r="F27" i="59"/>
  <c r="G18" i="38"/>
  <c r="B32" i="57"/>
  <c r="B34" i="57" s="1"/>
  <c r="E15" i="38"/>
  <c r="F57" i="59"/>
  <c r="G57" i="59"/>
  <c r="I21" i="29"/>
  <c r="M16" i="47"/>
  <c r="F15" i="59"/>
  <c r="G15" i="59"/>
  <c r="K19" i="38"/>
  <c r="K20" i="38"/>
  <c r="R26" i="29"/>
  <c r="M37" i="47"/>
  <c r="N83" i="47"/>
  <c r="N67" i="47"/>
  <c r="E23" i="60"/>
  <c r="F19" i="51"/>
  <c r="F28" i="29"/>
  <c r="G27" i="29"/>
  <c r="F29" i="59"/>
  <c r="G29" i="59"/>
  <c r="K21" i="38"/>
  <c r="I47" i="46"/>
  <c r="L25" i="32" s="1"/>
  <c r="M56" i="47"/>
  <c r="E28" i="60"/>
  <c r="J19" i="51"/>
  <c r="I25" i="29"/>
  <c r="M20" i="47"/>
  <c r="E26" i="60"/>
  <c r="H19" i="51"/>
  <c r="E17" i="32"/>
  <c r="F22" i="29"/>
  <c r="G22" i="29" s="1"/>
  <c r="E58" i="60"/>
  <c r="H27" i="51"/>
  <c r="N53" i="47"/>
  <c r="I21" i="60"/>
  <c r="H21" i="60"/>
  <c r="G26" i="59"/>
  <c r="F26" i="59"/>
  <c r="N84" i="47"/>
  <c r="E5" i="60"/>
  <c r="D41" i="32"/>
  <c r="D15" i="51"/>
  <c r="E27" i="60"/>
  <c r="I19" i="51"/>
  <c r="F17" i="47"/>
  <c r="E12" i="60"/>
  <c r="J15" i="51"/>
  <c r="F20" i="47"/>
  <c r="E11" i="59"/>
  <c r="F13" i="59" s="1"/>
  <c r="E115" i="47"/>
  <c r="F116" i="47" s="1"/>
  <c r="S31" i="46"/>
  <c r="M55" i="47"/>
  <c r="I46" i="46"/>
  <c r="K25" i="32" s="1"/>
  <c r="K23" i="51" s="1"/>
  <c r="I53" i="60"/>
  <c r="H53" i="60"/>
  <c r="I26" i="29"/>
  <c r="M21" i="47"/>
  <c r="E10" i="60"/>
  <c r="H41" i="32"/>
  <c r="H15" i="51"/>
  <c r="E54" i="60"/>
  <c r="E27" i="51"/>
  <c r="I16" i="38" s="1"/>
  <c r="M33" i="47"/>
  <c r="N33" i="47" s="1"/>
  <c r="R22" i="29"/>
  <c r="N71" i="47"/>
  <c r="G59" i="59"/>
  <c r="F59" i="59"/>
  <c r="F60" i="59"/>
  <c r="F14" i="59"/>
  <c r="G13" i="59"/>
  <c r="G10" i="59"/>
  <c r="N69" i="47"/>
  <c r="G19" i="38"/>
  <c r="F25" i="59"/>
  <c r="G25" i="59"/>
  <c r="N51" i="47"/>
  <c r="K18" i="38"/>
  <c r="F61" i="59"/>
  <c r="G61" i="59"/>
  <c r="G62" i="59"/>
  <c r="F62" i="59"/>
  <c r="G17" i="32"/>
  <c r="F24" i="29"/>
  <c r="G24" i="29" s="1"/>
  <c r="E59" i="60"/>
  <c r="I27" i="51"/>
  <c r="F63" i="59"/>
  <c r="G63" i="59"/>
  <c r="F64" i="59"/>
  <c r="J25" i="32"/>
  <c r="J23" i="51" s="1"/>
  <c r="M54" i="47"/>
  <c r="N54" i="47" s="1"/>
  <c r="J27" i="46"/>
  <c r="J31" i="46" s="1"/>
  <c r="H27" i="46"/>
  <c r="H31" i="46" s="1"/>
  <c r="E56" i="60"/>
  <c r="G27" i="51"/>
  <c r="R24" i="29"/>
  <c r="M35" i="47"/>
  <c r="E22" i="60"/>
  <c r="E19" i="51"/>
  <c r="F31" i="59"/>
  <c r="G31" i="59"/>
  <c r="N52" i="47"/>
  <c r="F58" i="59"/>
  <c r="G58" i="59"/>
  <c r="N65" i="47"/>
  <c r="N85" i="47"/>
  <c r="N86" i="47"/>
  <c r="G20" i="38"/>
  <c r="E55" i="60"/>
  <c r="F27" i="51"/>
  <c r="I17" i="38" s="1"/>
  <c r="M34" i="47"/>
  <c r="R23" i="29"/>
  <c r="N70" i="47"/>
  <c r="G30" i="59"/>
  <c r="F30" i="59"/>
  <c r="O28" i="29"/>
  <c r="P27" i="29"/>
  <c r="N68" i="47"/>
  <c r="E24" i="60"/>
  <c r="G19" i="51"/>
  <c r="F115" i="47" l="1"/>
  <c r="F113" i="47"/>
  <c r="F47" i="46"/>
  <c r="F46" i="46"/>
  <c r="AO31" i="46"/>
  <c r="G27" i="53"/>
  <c r="F28" i="46"/>
  <c r="F29" i="46"/>
  <c r="F55" i="60"/>
  <c r="G55" i="60" s="1"/>
  <c r="H55" i="60"/>
  <c r="I55" i="60"/>
  <c r="C32" i="57"/>
  <c r="C34" i="57" s="1"/>
  <c r="E16" i="38"/>
  <c r="I18" i="38"/>
  <c r="N55" i="47"/>
  <c r="E8" i="60"/>
  <c r="G41" i="32"/>
  <c r="G15" i="51"/>
  <c r="F25" i="57"/>
  <c r="F27" i="57" s="1"/>
  <c r="C19" i="38"/>
  <c r="H39" i="51"/>
  <c r="G22" i="38"/>
  <c r="J41" i="32"/>
  <c r="F27" i="60"/>
  <c r="G27" i="60" s="1"/>
  <c r="H27" i="60"/>
  <c r="I27" i="60"/>
  <c r="I19" i="38"/>
  <c r="F32" i="57"/>
  <c r="F34" i="57" s="1"/>
  <c r="E19" i="38"/>
  <c r="H32" i="57"/>
  <c r="H34" i="57" s="1"/>
  <c r="E21" i="38"/>
  <c r="E26" i="53"/>
  <c r="K26" i="53" s="1"/>
  <c r="L23" i="51" s="1"/>
  <c r="D32" i="57"/>
  <c r="D34" i="57" s="1"/>
  <c r="E17" i="38"/>
  <c r="N37" i="47"/>
  <c r="H7" i="60"/>
  <c r="I7" i="60"/>
  <c r="M114" i="47"/>
  <c r="E32" i="57"/>
  <c r="E34" i="57" s="1"/>
  <c r="E18" i="38"/>
  <c r="R27" i="29"/>
  <c r="M38" i="47"/>
  <c r="N38" i="47" s="1"/>
  <c r="F22" i="60"/>
  <c r="G22" i="60" s="1"/>
  <c r="H22" i="60"/>
  <c r="I22" i="60"/>
  <c r="J22" i="60" s="1"/>
  <c r="K22" i="60" s="1"/>
  <c r="F57" i="60"/>
  <c r="G57" i="60" s="1"/>
  <c r="I56" i="60"/>
  <c r="H56" i="60"/>
  <c r="F56" i="60"/>
  <c r="G56" i="60" s="1"/>
  <c r="G21" i="38"/>
  <c r="I20" i="38"/>
  <c r="N34" i="47"/>
  <c r="N56" i="47"/>
  <c r="F11" i="59"/>
  <c r="G11" i="59"/>
  <c r="F12" i="59"/>
  <c r="F12" i="60"/>
  <c r="G12" i="60" s="1"/>
  <c r="H12" i="60"/>
  <c r="I12" i="60"/>
  <c r="B25" i="57"/>
  <c r="B27" i="57" s="1"/>
  <c r="C15" i="38"/>
  <c r="D39" i="51"/>
  <c r="F59" i="60"/>
  <c r="G59" i="60" s="1"/>
  <c r="F58" i="60"/>
  <c r="G58" i="60" s="1"/>
  <c r="H58" i="60"/>
  <c r="I58" i="60"/>
  <c r="F26" i="60"/>
  <c r="G26" i="60" s="1"/>
  <c r="H26" i="60"/>
  <c r="I26" i="60"/>
  <c r="F28" i="60"/>
  <c r="G28" i="60" s="1"/>
  <c r="H28" i="60"/>
  <c r="I28" i="60"/>
  <c r="F23" i="60"/>
  <c r="G23" i="60" s="1"/>
  <c r="H23" i="60"/>
  <c r="I23" i="60"/>
  <c r="G25" i="57"/>
  <c r="G27" i="57" s="1"/>
  <c r="C20" i="38"/>
  <c r="I39" i="51"/>
  <c r="F25" i="60"/>
  <c r="G25" i="60" s="1"/>
  <c r="F24" i="60"/>
  <c r="G24" i="60" s="1"/>
  <c r="I24" i="60"/>
  <c r="H24" i="60"/>
  <c r="O29" i="29"/>
  <c r="P29" i="29" s="1"/>
  <c r="P28" i="29"/>
  <c r="N35" i="47"/>
  <c r="N36" i="47"/>
  <c r="H59" i="60"/>
  <c r="I59" i="60"/>
  <c r="F10" i="60"/>
  <c r="G10" i="60" s="1"/>
  <c r="I10" i="60"/>
  <c r="H10" i="60"/>
  <c r="N28" i="46"/>
  <c r="P28" i="46" s="1"/>
  <c r="N29" i="46"/>
  <c r="P29" i="46" s="1"/>
  <c r="Q46" i="46"/>
  <c r="Q47" i="46"/>
  <c r="I22" i="29"/>
  <c r="M17" i="47"/>
  <c r="N21" i="47"/>
  <c r="M116" i="47"/>
  <c r="I27" i="29"/>
  <c r="M22" i="47"/>
  <c r="N17" i="47"/>
  <c r="M112" i="47"/>
  <c r="I21" i="38"/>
  <c r="D25" i="57"/>
  <c r="D27" i="57" s="1"/>
  <c r="C17" i="38"/>
  <c r="F39" i="51"/>
  <c r="I24" i="29"/>
  <c r="M19" i="47"/>
  <c r="F66" i="59"/>
  <c r="H54" i="60"/>
  <c r="I54" i="60"/>
  <c r="J54" i="60" s="1"/>
  <c r="K54" i="60" s="1"/>
  <c r="F54" i="60"/>
  <c r="G54" i="60" s="1"/>
  <c r="N22" i="47"/>
  <c r="M117" i="47"/>
  <c r="H25" i="57"/>
  <c r="H27" i="57" s="1"/>
  <c r="C21" i="38"/>
  <c r="J39" i="51"/>
  <c r="G32" i="57"/>
  <c r="G34" i="57" s="1"/>
  <c r="E20" i="38"/>
  <c r="I5" i="60"/>
  <c r="H5" i="60"/>
  <c r="E6" i="60"/>
  <c r="E41" i="32"/>
  <c r="E15" i="51"/>
  <c r="N57" i="47"/>
  <c r="F29" i="29"/>
  <c r="G29" i="29" s="1"/>
  <c r="G28" i="29"/>
  <c r="F60" i="60"/>
  <c r="G60" i="60" s="1"/>
  <c r="H60" i="60"/>
  <c r="I60" i="60"/>
  <c r="F61" i="60"/>
  <c r="G61" i="60" s="1"/>
  <c r="G9" i="59"/>
  <c r="F9" i="59"/>
  <c r="F11" i="60"/>
  <c r="G11" i="60" s="1"/>
  <c r="H11" i="60"/>
  <c r="I11" i="60"/>
  <c r="J11" i="60" l="1"/>
  <c r="K11" i="60" s="1"/>
  <c r="J28" i="60"/>
  <c r="K28" i="60" s="1"/>
  <c r="J58" i="60"/>
  <c r="K58" i="60" s="1"/>
  <c r="J59" i="60"/>
  <c r="K59" i="60" s="1"/>
  <c r="J23" i="60"/>
  <c r="K23" i="60" s="1"/>
  <c r="J60" i="60"/>
  <c r="K60" i="60" s="1"/>
  <c r="J61" i="60"/>
  <c r="K61" i="60" s="1"/>
  <c r="F6" i="60"/>
  <c r="G6" i="60" s="1"/>
  <c r="I6" i="60"/>
  <c r="J6" i="60" s="1"/>
  <c r="K6" i="60" s="1"/>
  <c r="H6" i="60"/>
  <c r="M118" i="47"/>
  <c r="N118" i="47" s="1"/>
  <c r="J25" i="60"/>
  <c r="K25" i="60" s="1"/>
  <c r="J24" i="60"/>
  <c r="K24" i="60" s="1"/>
  <c r="J27" i="60"/>
  <c r="K27" i="60" s="1"/>
  <c r="F9" i="60"/>
  <c r="G9" i="60" s="1"/>
  <c r="F8" i="60"/>
  <c r="G8" i="60" s="1"/>
  <c r="I8" i="60"/>
  <c r="J10" i="60" s="1"/>
  <c r="K10" i="60" s="1"/>
  <c r="H8" i="60"/>
  <c r="G39" i="53"/>
  <c r="I27" i="53"/>
  <c r="G63" i="60"/>
  <c r="N20" i="47"/>
  <c r="M115" i="47"/>
  <c r="N116" i="47" s="1"/>
  <c r="N18" i="47"/>
  <c r="M113" i="47"/>
  <c r="N114" i="47" s="1"/>
  <c r="M88" i="47"/>
  <c r="Q29" i="46"/>
  <c r="T47" i="46"/>
  <c r="L33" i="32" s="1"/>
  <c r="R28" i="29"/>
  <c r="M39" i="29" s="1"/>
  <c r="O39" i="29" s="1"/>
  <c r="R39" i="29" s="1"/>
  <c r="K21" i="32" s="1"/>
  <c r="M39" i="47"/>
  <c r="N39" i="47" s="1"/>
  <c r="J26" i="60"/>
  <c r="K26" i="60" s="1"/>
  <c r="F7" i="60"/>
  <c r="G7" i="60" s="1"/>
  <c r="AH29" i="46"/>
  <c r="AJ29" i="46" s="1"/>
  <c r="AO29" i="46"/>
  <c r="AK28" i="46"/>
  <c r="I28" i="29"/>
  <c r="D39" i="29" s="1"/>
  <c r="F39" i="29" s="1"/>
  <c r="I39" i="29" s="1"/>
  <c r="K17" i="32" s="1"/>
  <c r="M23" i="47"/>
  <c r="C25" i="57"/>
  <c r="C27" i="57" s="1"/>
  <c r="C16" i="38"/>
  <c r="E39" i="51"/>
  <c r="M87" i="47"/>
  <c r="Q28" i="46"/>
  <c r="T46" i="46"/>
  <c r="K33" i="32" s="1"/>
  <c r="K31" i="51" s="1"/>
  <c r="M40" i="47"/>
  <c r="R29" i="29"/>
  <c r="M40" i="29" s="1"/>
  <c r="J57" i="60"/>
  <c r="K57" i="60" s="1"/>
  <c r="J56" i="60"/>
  <c r="K56" i="60" s="1"/>
  <c r="N19" i="47"/>
  <c r="E25" i="57"/>
  <c r="E27" i="57" s="1"/>
  <c r="C18" i="38"/>
  <c r="G39" i="51"/>
  <c r="O56" i="47"/>
  <c r="J47" i="46"/>
  <c r="L26" i="32" s="1"/>
  <c r="I29" i="46"/>
  <c r="H29" i="46"/>
  <c r="M24" i="47"/>
  <c r="I29" i="29"/>
  <c r="D40" i="29" s="1"/>
  <c r="F40" i="29" s="1"/>
  <c r="I40" i="29" s="1"/>
  <c r="L17" i="32" s="1"/>
  <c r="N117" i="47"/>
  <c r="J12" i="60"/>
  <c r="K12" i="60" s="1"/>
  <c r="J7" i="60"/>
  <c r="K7" i="60" s="1"/>
  <c r="M23" i="51"/>
  <c r="G23" i="38"/>
  <c r="J55" i="60"/>
  <c r="K55" i="60" s="1"/>
  <c r="O55" i="47"/>
  <c r="I28" i="46"/>
  <c r="H28" i="46"/>
  <c r="J46" i="46"/>
  <c r="K26" i="32" s="1"/>
  <c r="O40" i="29" l="1"/>
  <c r="R40" i="29" s="1"/>
  <c r="L21" i="32" s="1"/>
  <c r="N115" i="47"/>
  <c r="K63" i="60"/>
  <c r="E14" i="60"/>
  <c r="E20" i="53"/>
  <c r="N88" i="47"/>
  <c r="N87" i="47"/>
  <c r="E16" i="59"/>
  <c r="M119" i="47"/>
  <c r="N24" i="47"/>
  <c r="AM29" i="46"/>
  <c r="M104" i="47"/>
  <c r="M120" i="47" s="1"/>
  <c r="N121" i="47" s="1"/>
  <c r="AN47" i="46"/>
  <c r="L37" i="32" s="1"/>
  <c r="K19" i="51"/>
  <c r="E29" i="60"/>
  <c r="E32" i="53"/>
  <c r="K32" i="53" s="1"/>
  <c r="L31" i="51" s="1"/>
  <c r="J8" i="60"/>
  <c r="K8" i="60" s="1"/>
  <c r="J9" i="60"/>
  <c r="K9" i="60" s="1"/>
  <c r="N119" i="47"/>
  <c r="E33" i="59"/>
  <c r="N41" i="47"/>
  <c r="E13" i="60"/>
  <c r="K41" i="32"/>
  <c r="K15" i="51"/>
  <c r="E32" i="59"/>
  <c r="N40" i="47"/>
  <c r="O88" i="47"/>
  <c r="O120" i="47" s="1"/>
  <c r="P121" i="47" s="1"/>
  <c r="T29" i="46"/>
  <c r="U47" i="46"/>
  <c r="L34" i="32" s="1"/>
  <c r="L42" i="32" s="1"/>
  <c r="S29" i="46"/>
  <c r="N113" i="47"/>
  <c r="E48" i="59"/>
  <c r="P55" i="47"/>
  <c r="P56" i="47"/>
  <c r="E46" i="60"/>
  <c r="E27" i="53"/>
  <c r="K22" i="38"/>
  <c r="AM28" i="46"/>
  <c r="AN28" i="46"/>
  <c r="O103" i="47"/>
  <c r="AO46" i="46"/>
  <c r="K38" i="32" s="1"/>
  <c r="N89" i="47"/>
  <c r="E45" i="60"/>
  <c r="K24" i="51"/>
  <c r="E17" i="59"/>
  <c r="N25" i="47"/>
  <c r="E49" i="59"/>
  <c r="P57" i="47"/>
  <c r="O87" i="47"/>
  <c r="U46" i="46"/>
  <c r="K34" i="32" s="1"/>
  <c r="T28" i="46"/>
  <c r="S28" i="46"/>
  <c r="N23" i="47"/>
  <c r="E23" i="53" l="1"/>
  <c r="K23" i="53" s="1"/>
  <c r="L19" i="51" s="1"/>
  <c r="E30" i="60"/>
  <c r="I30" i="60" s="1"/>
  <c r="Q7" i="55"/>
  <c r="H22" i="38"/>
  <c r="F33" i="59"/>
  <c r="G33" i="59"/>
  <c r="H33" i="59"/>
  <c r="E35" i="53"/>
  <c r="K35" i="53" s="1"/>
  <c r="L35" i="51" s="1"/>
  <c r="E93" i="60"/>
  <c r="K36" i="51"/>
  <c r="E77" i="60"/>
  <c r="K32" i="51"/>
  <c r="P104" i="47"/>
  <c r="G48" i="59"/>
  <c r="H48" i="59"/>
  <c r="I48" i="59" s="1"/>
  <c r="F48" i="59"/>
  <c r="E33" i="53"/>
  <c r="K33" i="53" s="1"/>
  <c r="L32" i="51" s="1"/>
  <c r="E78" i="60"/>
  <c r="F13" i="60"/>
  <c r="G13" i="60" s="1"/>
  <c r="H13" i="60"/>
  <c r="I13" i="60"/>
  <c r="J13" i="60" s="1"/>
  <c r="K13" i="60" s="1"/>
  <c r="M31" i="51"/>
  <c r="K23" i="38"/>
  <c r="N105" i="47"/>
  <c r="N120" i="47"/>
  <c r="E38" i="53"/>
  <c r="K20" i="53"/>
  <c r="H46" i="60"/>
  <c r="F46" i="60"/>
  <c r="G46" i="60" s="1"/>
  <c r="I46" i="60"/>
  <c r="F45" i="60"/>
  <c r="G45" i="60" s="1"/>
  <c r="H45" i="60"/>
  <c r="I45" i="60"/>
  <c r="J45" i="60" s="1"/>
  <c r="K45" i="60" s="1"/>
  <c r="E80" i="59"/>
  <c r="P87" i="47"/>
  <c r="P88" i="47"/>
  <c r="G49" i="59"/>
  <c r="F49" i="59"/>
  <c r="H49" i="59"/>
  <c r="I49" i="59" s="1"/>
  <c r="I50" i="59" s="1"/>
  <c r="H17" i="59"/>
  <c r="G17" i="59"/>
  <c r="F17" i="59"/>
  <c r="O119" i="47"/>
  <c r="F32" i="59"/>
  <c r="H32" i="59"/>
  <c r="I32" i="59" s="1"/>
  <c r="G32" i="59"/>
  <c r="H29" i="60"/>
  <c r="F29" i="60"/>
  <c r="G29" i="60" s="1"/>
  <c r="I29" i="60"/>
  <c r="J29" i="60" s="1"/>
  <c r="K29" i="60" s="1"/>
  <c r="H16" i="59"/>
  <c r="I16" i="59" s="1"/>
  <c r="G16" i="59"/>
  <c r="F16" i="59"/>
  <c r="M19" i="51"/>
  <c r="E23" i="38"/>
  <c r="D6" i="55"/>
  <c r="L41" i="32"/>
  <c r="K42" i="32"/>
  <c r="K27" i="53"/>
  <c r="L24" i="51" s="1"/>
  <c r="E81" i="59"/>
  <c r="P89" i="47"/>
  <c r="Q5" i="55"/>
  <c r="C22" i="38"/>
  <c r="K39" i="51"/>
  <c r="E22" i="38"/>
  <c r="Q6" i="55"/>
  <c r="H30" i="60"/>
  <c r="F30" i="60"/>
  <c r="G30" i="60" s="1"/>
  <c r="F14" i="60"/>
  <c r="G14" i="60" s="1"/>
  <c r="I14" i="60"/>
  <c r="J14" i="60" s="1"/>
  <c r="K14" i="60" s="1"/>
  <c r="K15" i="60" s="1"/>
  <c r="H14" i="60"/>
  <c r="G15" i="60" l="1"/>
  <c r="G47" i="60"/>
  <c r="J30" i="60"/>
  <c r="K30" i="60" s="1"/>
  <c r="K31" i="60" s="1"/>
  <c r="G31" i="60"/>
  <c r="E39" i="53"/>
  <c r="F50" i="59"/>
  <c r="F18" i="59"/>
  <c r="K38" i="53"/>
  <c r="L15" i="51"/>
  <c r="H78" i="60"/>
  <c r="F78" i="60"/>
  <c r="G78" i="60" s="1"/>
  <c r="I78" i="60"/>
  <c r="F77" i="60"/>
  <c r="G77" i="60" s="1"/>
  <c r="I77" i="60"/>
  <c r="J77" i="60" s="1"/>
  <c r="K77" i="60" s="1"/>
  <c r="H77" i="60"/>
  <c r="M35" i="51"/>
  <c r="M23" i="38"/>
  <c r="R6" i="55"/>
  <c r="Q26" i="55"/>
  <c r="R26" i="55" s="1"/>
  <c r="F81" i="59"/>
  <c r="H81" i="59"/>
  <c r="G81" i="59"/>
  <c r="F80" i="59"/>
  <c r="H80" i="59"/>
  <c r="I80" i="59" s="1"/>
  <c r="G80" i="59"/>
  <c r="J46" i="60"/>
  <c r="K46" i="60" s="1"/>
  <c r="K47" i="60" s="1"/>
  <c r="D10" i="55"/>
  <c r="M32" i="51"/>
  <c r="L23" i="38"/>
  <c r="N22" i="38"/>
  <c r="I33" i="59"/>
  <c r="I34" i="59" s="1"/>
  <c r="Q25" i="55"/>
  <c r="R25" i="55" s="1"/>
  <c r="R5" i="55"/>
  <c r="D7" i="55"/>
  <c r="M24" i="51"/>
  <c r="H23" i="38"/>
  <c r="L40" i="51"/>
  <c r="I17" i="59"/>
  <c r="I18" i="59" s="1"/>
  <c r="F93" i="60"/>
  <c r="I93" i="60"/>
  <c r="F94" i="60"/>
  <c r="R7" i="55"/>
  <c r="Q27" i="55"/>
  <c r="R27" i="55" s="1"/>
  <c r="K6" i="55"/>
  <c r="L6" i="55" s="1"/>
  <c r="E6" i="55"/>
  <c r="D26" i="55"/>
  <c r="P119" i="47"/>
  <c r="P120" i="47"/>
  <c r="L22" i="38"/>
  <c r="Q10" i="55"/>
  <c r="R10" i="55" s="1"/>
  <c r="F34" i="59"/>
  <c r="K40" i="51"/>
  <c r="G79" i="60" l="1"/>
  <c r="J93" i="60"/>
  <c r="K93" i="60" s="1"/>
  <c r="J94" i="60"/>
  <c r="R30" i="55"/>
  <c r="I81" i="59"/>
  <c r="I82" i="59" s="1"/>
  <c r="F82" i="59"/>
  <c r="L39" i="51"/>
  <c r="D5" i="55"/>
  <c r="M15" i="51"/>
  <c r="C23" i="38"/>
  <c r="K26" i="55"/>
  <c r="L26" i="55" s="1"/>
  <c r="E26" i="55"/>
  <c r="K7" i="55"/>
  <c r="L7" i="55" s="1"/>
  <c r="D27" i="55"/>
  <c r="E7" i="55"/>
  <c r="J78" i="60"/>
  <c r="K78" i="60" s="1"/>
  <c r="K79" i="60" s="1"/>
  <c r="R11" i="55"/>
  <c r="K10" i="55"/>
  <c r="L10" i="55" s="1"/>
  <c r="E10" i="55"/>
  <c r="R32" i="55" l="1"/>
  <c r="K27" i="55"/>
  <c r="L27" i="55" s="1"/>
  <c r="E27" i="55"/>
  <c r="K5" i="55"/>
  <c r="L5" i="55" s="1"/>
  <c r="L11" i="55" s="1"/>
  <c r="E5" i="55"/>
  <c r="E11" i="55" s="1"/>
  <c r="D25" i="55"/>
  <c r="E25" i="55" l="1"/>
  <c r="E30" i="55" s="1"/>
  <c r="E32" i="55" s="1"/>
  <c r="K25" i="55"/>
  <c r="L25" i="55" s="1"/>
  <c r="L30" i="55" s="1"/>
  <c r="L32" i="55" s="1"/>
</calcChain>
</file>

<file path=xl/connections.xml><?xml version="1.0" encoding="utf-8"?>
<connections xmlns="http://schemas.openxmlformats.org/spreadsheetml/2006/main">
  <connection id="1" name="M2006-SSS-MKT" type="6" refreshedVersion="3" background="1" saveData="1">
    <textPr codePage="437" sourceFile="file:///cleaned" delimited="false">
      <textFields count="9">
        <textField/>
        <textField position="59"/>
        <textField position="79"/>
        <textField position="94"/>
        <textField position="123"/>
        <textField position="126"/>
        <textField position="130"/>
        <textField position="147"/>
        <textField position="155"/>
      </textFields>
    </textPr>
  </connection>
</connections>
</file>

<file path=xl/sharedStrings.xml><?xml version="1.0" encoding="utf-8"?>
<sst xmlns="http://schemas.openxmlformats.org/spreadsheetml/2006/main" count="1319" uniqueCount="349">
  <si>
    <t>Connections</t>
  </si>
  <si>
    <t>HDD</t>
  </si>
  <si>
    <t>CDD</t>
  </si>
  <si>
    <t>Date</t>
  </si>
  <si>
    <t>Geomean</t>
  </si>
  <si>
    <t>Growth Rate</t>
  </si>
  <si>
    <t>Residential</t>
  </si>
  <si>
    <t>Regression Statistics</t>
  </si>
  <si>
    <t>Multiple R</t>
  </si>
  <si>
    <t>R Square</t>
  </si>
  <si>
    <t>Adjusted R Square</t>
  </si>
  <si>
    <t>Standard Error</t>
  </si>
  <si>
    <t>Observations</t>
  </si>
  <si>
    <t>ANOVA</t>
  </si>
  <si>
    <t>Regression</t>
  </si>
  <si>
    <t>Residual</t>
  </si>
  <si>
    <t>Total</t>
  </si>
  <si>
    <t>df</t>
  </si>
  <si>
    <t>SS</t>
  </si>
  <si>
    <t>MS</t>
  </si>
  <si>
    <t>F</t>
  </si>
  <si>
    <t>Significance F</t>
  </si>
  <si>
    <t>Coefficients</t>
  </si>
  <si>
    <t>t Stat</t>
  </si>
  <si>
    <t>P-value</t>
  </si>
  <si>
    <t>Lower 95%</t>
  </si>
  <si>
    <t>Upper 95%</t>
  </si>
  <si>
    <t>Lower 95.0%</t>
  </si>
  <si>
    <t>Upper 95.0%</t>
  </si>
  <si>
    <t xml:space="preserve"> </t>
  </si>
  <si>
    <t>Adjusted</t>
  </si>
  <si>
    <t>Yearly Total</t>
  </si>
  <si>
    <t>Year</t>
  </si>
  <si>
    <t>Weather Normal</t>
  </si>
  <si>
    <t>Customer</t>
  </si>
  <si>
    <t>kWh</t>
  </si>
  <si>
    <t>kW</t>
  </si>
  <si>
    <t>Per customer</t>
  </si>
  <si>
    <t>Added Load</t>
  </si>
  <si>
    <t>New Customer</t>
  </si>
  <si>
    <t>KW/kWh Ratio</t>
  </si>
  <si>
    <t>Non-Weather Sensitive</t>
  </si>
  <si>
    <t>kWh Purchased</t>
  </si>
  <si>
    <t>Weather Sensitive Load</t>
  </si>
  <si>
    <t>year over year</t>
  </si>
  <si>
    <t>Purch. VS Adj.</t>
  </si>
  <si>
    <t>Mean Average Percentage Error (Mape) :</t>
  </si>
  <si>
    <t>per cust kWh</t>
  </si>
  <si>
    <t>Cust</t>
  </si>
  <si>
    <t>Total in Year</t>
  </si>
  <si>
    <t xml:space="preserve">Average per customer </t>
  </si>
  <si>
    <t>Share</t>
  </si>
  <si>
    <t>Target</t>
  </si>
  <si>
    <t>%chg</t>
  </si>
  <si>
    <t>Median</t>
  </si>
  <si>
    <t xml:space="preserve">Notes: </t>
  </si>
  <si>
    <r>
      <t xml:space="preserve">Consumption should reflect usage in the month, </t>
    </r>
    <r>
      <rPr>
        <b/>
        <u/>
        <sz val="11"/>
        <rFont val="Arial"/>
        <family val="2"/>
      </rPr>
      <t>not the month in which it was billed</t>
    </r>
    <r>
      <rPr>
        <b/>
        <sz val="11"/>
        <rFont val="Arial"/>
        <family val="2"/>
      </rPr>
      <t xml:space="preserve"> (e.g what was used in January not what was billed in January, etc.).</t>
    </r>
  </si>
  <si>
    <t>4) Number of customers is defined as number of connections (i.e., meters). Add or delete rate classes as appropriate.</t>
  </si>
  <si>
    <t>2) "Metered" or Class consumption is monthly usage measured at the retail meter, unadjusted for losses (i.e., the retail consumption amount)</t>
  </si>
  <si>
    <t xml:space="preserve">1) "Wholesale" purchases are purchases measured at the wholesale meter. </t>
  </si>
  <si>
    <t>3) "Consumed" consumption (retail) is the uplifted consumption billed</t>
  </si>
  <si>
    <t xml:space="preserve">Default Value selection rationale.  </t>
  </si>
  <si>
    <t>Customer Growth Chart</t>
  </si>
  <si>
    <t xml:space="preserve">Utility Name   </t>
  </si>
  <si>
    <t>Service Territory</t>
  </si>
  <si>
    <t>Assigned EB Number</t>
  </si>
  <si>
    <t>Name of Contact and Title</t>
  </si>
  <si>
    <t xml:space="preserve">Phone Number   </t>
  </si>
  <si>
    <t xml:space="preserve">Email Address   </t>
  </si>
  <si>
    <t>Bridge Year</t>
  </si>
  <si>
    <t>Test Year</t>
  </si>
  <si>
    <t>Last Rebasing Year</t>
  </si>
  <si>
    <t>Customer Class Name</t>
  </si>
  <si>
    <t>General Service &lt; 50 kW</t>
  </si>
  <si>
    <t>Regression Analysis</t>
  </si>
  <si>
    <t>kW and Non-Weather Sensitive Load</t>
  </si>
  <si>
    <t>Consumption by Rate Class</t>
  </si>
  <si>
    <t>LDC Info</t>
  </si>
  <si>
    <t>Weather Adjusted Load Forecast Results</t>
  </si>
  <si>
    <t>Streetlighting</t>
  </si>
  <si>
    <t>Unmetered Scattered Load</t>
  </si>
  <si>
    <t>other</t>
  </si>
  <si>
    <t>December</t>
  </si>
  <si>
    <t>September</t>
  </si>
  <si>
    <t>October</t>
  </si>
  <si>
    <t>November</t>
  </si>
  <si>
    <t>January</t>
  </si>
  <si>
    <t>February</t>
  </si>
  <si>
    <t>March</t>
  </si>
  <si>
    <t>April</t>
  </si>
  <si>
    <t>May</t>
  </si>
  <si>
    <t>June</t>
  </si>
  <si>
    <t>July</t>
  </si>
  <si>
    <t>August</t>
  </si>
  <si>
    <t>Customers or Connections</t>
  </si>
  <si>
    <t>Unadjusted</t>
  </si>
  <si>
    <t>Unadjusted Wholesale Purchases kWh</t>
  </si>
  <si>
    <t>Revised Wholesale Purchases</t>
  </si>
  <si>
    <t>Variables Used</t>
  </si>
  <si>
    <t>Note: Statistically, MAPE is defined as the average of percentage errors</t>
  </si>
  <si>
    <t>Weather-Sensitive</t>
  </si>
  <si>
    <t>Energy (kWh) Weather Sensitive / Non-weather sensitive</t>
  </si>
  <si>
    <t>Demand (kW) Weather Sensitive / Non-weather sensitive</t>
  </si>
  <si>
    <t>n/a</t>
  </si>
  <si>
    <t>Note: The model computes an average customer count. Utility may chose to overwrite the customer/connection count if a year end count is more appropriate.</t>
  </si>
  <si>
    <t>Cust/Conn</t>
  </si>
  <si>
    <t>per cust kW</t>
  </si>
  <si>
    <t>Customer Count</t>
  </si>
  <si>
    <t>Adjustments to Wholesale Purchases (i.e. CDM, Loss of customer etc)</t>
  </si>
  <si>
    <t>Jan</t>
  </si>
  <si>
    <t>Feb</t>
  </si>
  <si>
    <t>Mar</t>
  </si>
  <si>
    <t>Apr</t>
  </si>
  <si>
    <t>Jun</t>
  </si>
  <si>
    <t>Jul</t>
  </si>
  <si>
    <t>Aug</t>
  </si>
  <si>
    <t>Sept</t>
  </si>
  <si>
    <t>Nov</t>
  </si>
  <si>
    <t>Dec</t>
  </si>
  <si>
    <t>Oct</t>
  </si>
  <si>
    <t>Weather Normalized</t>
  </si>
  <si>
    <t>Variables</t>
  </si>
  <si>
    <t>Customer Classes</t>
  </si>
  <si>
    <t>Wholesale Purchases</t>
  </si>
  <si>
    <t>Ratio%    *</t>
  </si>
  <si>
    <t>Residential Metered kWh</t>
  </si>
  <si>
    <t>GS&lt;50 Metered kWh</t>
  </si>
  <si>
    <t>* the model uses metered per class to determine the wholesale per class</t>
  </si>
  <si>
    <t>SUMMARY OUTPUT</t>
  </si>
  <si>
    <t>FINAL ADJUSTED NUMBERS</t>
  </si>
  <si>
    <t>Per Customer Weather Normalized (based on 2014 cust count)</t>
  </si>
  <si>
    <t>Avg - Years =</t>
  </si>
  <si>
    <t>Summary of Years (Average)</t>
  </si>
  <si>
    <t>Total Customers</t>
  </si>
  <si>
    <t>kWh Predicted Vs. Actual</t>
  </si>
  <si>
    <t>FORECAST METHODOLOGY</t>
  </si>
  <si>
    <t>Note: the median is the numerical value separating the higher half of a data sample, from the lower half</t>
  </si>
  <si>
    <t xml:space="preserve">Average </t>
  </si>
  <si>
    <t>Utility Adjusted Customer Growth %</t>
  </si>
  <si>
    <t>Forecasting Calculation Methodology</t>
  </si>
  <si>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kWh</t>
    </r>
  </si>
  <si>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t>
    </r>
  </si>
  <si>
    <t>Customers &amp; Connections</t>
  </si>
  <si>
    <t>In the section below, LDCs can adjust the computed customer count for the Bridge and Test Year for special circumstance such as new subdivision or loss of customer or other utility specific reasons.</t>
  </si>
  <si>
    <t>Load corrected for Utility Growth based on utility input</t>
  </si>
  <si>
    <t>Load Growth Corrected</t>
  </si>
  <si>
    <t>Yes</t>
  </si>
  <si>
    <t>No</t>
  </si>
  <si>
    <t>Does Your Utility need to Adjust for Load Correct Growth?</t>
  </si>
  <si>
    <t>kWh per connection</t>
  </si>
  <si>
    <t>KW per connection</t>
  </si>
  <si>
    <t>Customer/ Connection</t>
  </si>
  <si>
    <t>Average kWh</t>
  </si>
  <si>
    <t>Average kW</t>
  </si>
  <si>
    <t>Total kWh</t>
  </si>
  <si>
    <t>Total kW</t>
  </si>
  <si>
    <t>Growth Corrected?</t>
  </si>
  <si>
    <t>Growth Corrected</t>
  </si>
  <si>
    <t>Note: This worksheet uses average actual usage for customer load, and not weather normalized used in worksheet 7. Weather Sensitive Class</t>
  </si>
  <si>
    <t>6 Year (2015-2020) kWh Target:</t>
  </si>
  <si>
    <t>%</t>
  </si>
  <si>
    <t>2015 CDM Programs</t>
  </si>
  <si>
    <t>2016 CDM Programs</t>
  </si>
  <si>
    <t>2017 CDM Programs</t>
  </si>
  <si>
    <t>2018 CDM Programs</t>
  </si>
  <si>
    <t>2019 CDM Programs</t>
  </si>
  <si>
    <t>2020 CDM Programs</t>
  </si>
  <si>
    <t>Distributor can select "0", "0.5", or "1" from drop-down list</t>
  </si>
  <si>
    <t>CDM Allocation Worksheet</t>
  </si>
  <si>
    <t>CDM Allocation</t>
  </si>
  <si>
    <t>Manual Reallocation</t>
  </si>
  <si>
    <t>Final Adjusted (kWh)</t>
  </si>
  <si>
    <t xml:space="preserve"> S/b Zero</t>
  </si>
  <si>
    <t>Final Load Forecast Results - CDM Adjusted</t>
  </si>
  <si>
    <t>Adjusted kWh</t>
  </si>
  <si>
    <t>Linear Trending</t>
  </si>
  <si>
    <t>Linear Trending Calculation ( y=mx+b)</t>
  </si>
  <si>
    <t>Slope (m)</t>
  </si>
  <si>
    <t>Intercept (b)</t>
  </si>
  <si>
    <t>kWH Forecasted Purchases</t>
  </si>
  <si>
    <t>Adjustment</t>
  </si>
  <si>
    <t xml:space="preserve">1) Utilities will have the choice to manually adjust the projected growth in the bridge and test years if it is felt that the Geomean average does not represent forecasted growth. </t>
  </si>
  <si>
    <t xml:space="preserve">1) Enter Variables here that will be used to run the regression analysis in worksheet 6. WS Regression Analysis ( Maximum 6 variables)
"Wholesale" purchases are purchases measured at the wholesale meter. </t>
  </si>
  <si>
    <t xml:space="preserve">Note: Your final regression analysis does not need to include all six of the variables 
Note: Your final regression analysis does not need to include all six of the variables 
</t>
  </si>
  <si>
    <t xml:space="preserve">1) Update Wholesale Purchases. </t>
  </si>
  <si>
    <t>2) Use drop down lists to select the variables inputted from 5.Variable Worksheet and  Select Forecast Methodology</t>
  </si>
  <si>
    <t>3) Run Regression -&gt; Data -&gt; Data Analysis - &gt; Regression</t>
  </si>
  <si>
    <t xml:space="preserve">1) Please Select Only the Weather Sensitive Customer Classes from the Drop Down List ( Include GS&gt;50 kW customers) </t>
  </si>
  <si>
    <t xml:space="preserve">2) Select if you need to manually adjust for Load Growth or not - i.e. if this was not captured through the regression analysis (this can be verified by a quick calculation, comparing weather normal kwh purchases/forecasted customer totals for the forecast year)-
</t>
  </si>
  <si>
    <t xml:space="preserve">1) Please Select All Customers billed Distribution Volumetric Rates by kW. </t>
  </si>
  <si>
    <t xml:space="preserve">2) Please update the Average Years that is used to calculate an average kW/kWh ratio and forecast kW's
</t>
  </si>
  <si>
    <t xml:space="preserve">3) If required, A Distributor may manually adjust kWh's - i.e. Wholesale Market Participant might not have been reflected through Regression for Large Customers ( Distributor must support decision)
</t>
  </si>
  <si>
    <t xml:space="preserve">4) Select if you need to manually adjust for Load Growth or not - i.e. if this was not captured through the regression analysis (Distributor must support decision)
</t>
  </si>
  <si>
    <t xml:space="preserve">1) Use this sheet to allocate Projected CDM Savings for the Test Year
. </t>
  </si>
  <si>
    <t xml:space="preserve">2) Reallocate CDM savings to specific classes if required ( Distributers must support reallocation) </t>
  </si>
  <si>
    <t xml:space="preserve">Note: This sheet is linked from Worksheet 10.CDM Adjustments
</t>
  </si>
  <si>
    <t>2014</t>
  </si>
  <si>
    <t>General Service &gt; 50 kW - 4999 kW</t>
  </si>
  <si>
    <t xml:space="preserve">Load Forecast Model version 1.0 © CHEC </t>
  </si>
  <si>
    <t>Input cells</t>
  </si>
  <si>
    <t>Drop down cells</t>
  </si>
  <si>
    <t>Model Notes</t>
  </si>
  <si>
    <t>Load Forecast Summary</t>
  </si>
  <si>
    <t>This spreadsheet provides a summary of the customer and load forecast on which the test year revenue requirement is derived. The amounts serve as the denominators for deriving the rates to recover the test year revenue requirement for purposes of this RRWF.</t>
  </si>
  <si>
    <r>
      <t xml:space="preserve">The information to be input is inclusive of any adjustments to kWh and kW to reflect the impacts of CDM programs up to and including CDM programs planned to be executed in the test year. i.e., the load forecast adjustments determined in </t>
    </r>
    <r>
      <rPr>
        <b/>
        <sz val="10"/>
        <rFont val="Arial"/>
        <family val="2"/>
      </rPr>
      <t>Appendix 2-I</t>
    </r>
    <r>
      <rPr>
        <sz val="10"/>
        <rFont val="Arial"/>
        <family val="2"/>
      </rPr>
      <t xml:space="preserve"> should be incorporated into the entries. The inputs should correspond with the summary of the Load Forecast for the Test Year in </t>
    </r>
    <r>
      <rPr>
        <b/>
        <sz val="10"/>
        <rFont val="Arial"/>
        <family val="2"/>
      </rPr>
      <t>Appendix 2-IB</t>
    </r>
    <r>
      <rPr>
        <sz val="10"/>
        <rFont val="Arial"/>
        <family val="2"/>
      </rPr>
      <t xml:space="preserve"> and in Exhibit 3 of the application.</t>
    </r>
  </si>
  <si>
    <r>
      <rPr>
        <b/>
        <sz val="10"/>
        <rFont val="Arial"/>
        <family val="2"/>
      </rPr>
      <t>Appendix 2-IB</t>
    </r>
    <r>
      <rPr>
        <sz val="10"/>
        <rFont val="Arial"/>
        <family val="2"/>
      </rPr>
      <t xml:space="preserve"> is still required to be filled out, as it also provides a year-over-year variance analysis of demand growth andf trends from historical actuals to the Bridge and Test Year forecasts.</t>
    </r>
  </si>
  <si>
    <t>Stage in Process:</t>
  </si>
  <si>
    <t>Customer Class</t>
  </si>
  <si>
    <t>Input the name of each customer class.</t>
  </si>
  <si>
    <t>Customer / Connections</t>
  </si>
  <si>
    <r>
      <t xml:space="preserve">kW/kVA </t>
    </r>
    <r>
      <rPr>
        <b/>
        <vertAlign val="superscript"/>
        <sz val="10"/>
        <rFont val="Arial"/>
        <family val="2"/>
      </rPr>
      <t>(1)</t>
    </r>
  </si>
  <si>
    <t>Test Year average or mid-year</t>
  </si>
  <si>
    <t>Annual</t>
  </si>
  <si>
    <t>Notes:</t>
  </si>
  <si>
    <t>(1)</t>
  </si>
  <si>
    <t>Input kW or kVA for those customer classes for which billing is based on demand (kW or kVA) versus energy consumption (kWh)</t>
  </si>
  <si>
    <t>Appendix 2-I</t>
  </si>
  <si>
    <t>Load Forecast CDM Adjustment Work Form (2018)</t>
  </si>
  <si>
    <r>
      <t xml:space="preserve">Appendix 2-I was initially developed to help determine what would be the amount of CDM savings needed in each year to cumulatively achieve the four year 2011-2014 CDM target.  This then determined the amount of kWh (and with translation, kW of demand) savings that were converted into dollar balances for the LRAMVA, and also to determine the related adjustment to the load forecast to account for OPA-reported savings.  Beginning </t>
    </r>
    <r>
      <rPr>
        <sz val="12"/>
        <rFont val="Arial"/>
        <family val="2"/>
      </rPr>
      <t>in</t>
    </r>
    <r>
      <rPr>
        <sz val="10"/>
        <rFont val="Arial"/>
        <family val="2"/>
      </rPr>
      <t xml:space="preserve"> the 2015 year, it has been adjusted because the persistence of 2011-2014 CDM programs will be an adjustment to the load forecast in addition to the estimated savings for the first year (2015) for the new 2015-2020 CDM plan.</t>
    </r>
  </si>
  <si>
    <r>
      <t xml:space="preserve">2018 is the fourth year of the six-year (2015-2020) Conservation First program. Final results for the 2011-14 program were issued in the fall of 2015, and the program </t>
    </r>
    <r>
      <rPr>
        <sz val="12"/>
        <rFont val="Arial"/>
        <family val="2"/>
      </rPr>
      <t xml:space="preserve">is </t>
    </r>
    <r>
      <rPr>
        <sz val="10"/>
        <rFont val="Arial"/>
        <family val="2"/>
      </rPr>
      <t xml:space="preserve">completed, although in some instances disposition of the amounts has been deferred. For the purposes of the 2015-2020 LRAMVA, and the impact of CDM on the load forecast, CDM programs in 2014 and earlier are implicit in the historical data on which the base load forecast is developed. Only actual and forecasted impacts of 2015 to 2018 CDM programs need to be reflected in the manual load forecast adjustment and for the LRAMVA threshold amount in 2018 and carrying forward, although the full year impact of 2015 CDM programs and half-year impact of 2016 CDM programs on 2016 historical data is also assumed to be reflected in the base load forecast. </t>
    </r>
  </si>
  <si>
    <t>The new six year (2015-2020) CDM program works in a slightly different manner to the previous 2011-2014 CDM program. Distributors will offer programs each year that, over the six years (from January 1, 2015 to December 31, 2020) will strive to achieve savings equal to the new six year CDM target with the full target in place (i.e., persisting) on December 31, 2020. In other words, distributors will be able to offer and execute programs on a basis so that, as long as savings equal to the full target are in place at the end the period, the distributor's 2015-2020 CDM target will have been met.</t>
  </si>
  <si>
    <r>
      <t xml:space="preserve">For the first year of the new 2015-2020 CDM plan, it is assumed that each year's program will achieve an equal amount of new CDM savings. </t>
    </r>
    <r>
      <rPr>
        <sz val="10"/>
        <color rgb="FFFF0000"/>
        <rFont val="Arial"/>
        <family val="2"/>
      </rPr>
      <t xml:space="preserve"> </t>
    </r>
    <r>
      <rPr>
        <sz val="10"/>
        <color rgb="FF000000"/>
        <rFont val="Arial"/>
        <family val="2"/>
      </rPr>
      <t>This results in each year's program being about 1/6 (1</t>
    </r>
    <r>
      <rPr>
        <b/>
        <u/>
        <sz val="11"/>
        <color rgb="FF00B050"/>
        <rFont val="Arial"/>
        <family val="2"/>
      </rPr>
      <t>6</t>
    </r>
    <r>
      <rPr>
        <sz val="10"/>
        <color rgb="FF000000"/>
        <rFont val="Arial"/>
        <family val="2"/>
      </rPr>
      <t>.67%)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IESO.</t>
    </r>
  </si>
  <si>
    <r>
      <t xml:space="preserve">Note: </t>
    </r>
    <r>
      <rPr>
        <sz val="10"/>
        <rFont val="Arial"/>
        <family val="2"/>
      </rPr>
      <t>The default formulae in the above table assume that the 2015-2020 kWh CDM target is achieved through persistence of CDM savings to the end of 2020. The distributor should enter measured CDM savings for 2015, and persistence of 2015 programs for 2016-2020 in row 34. When available, (preliminary/final) CDM savings for 2016 can be entered into row 35. The distributor can also input estimates or forecasts of the 2017 CDM programs if it believes that these are more realistic and can be supported; such information would typically be derived from the CDM plans that the distributor has filed with the IESO. Similarly, CDM savings and persistence into future years can be estimated for 2018, 2019 and 2020 CDM programs. However, the distributor will have to support its proposals for estimated or forecasted savings, particularly beyond the 2017 bridge year. The sum of persistent savings to the end of 2020, should equal the target entered into cell A23.</t>
    </r>
  </si>
  <si>
    <t>Weight Factor for Inclusion in CDM Adjustment to 2018 Load Forecast</t>
  </si>
  <si>
    <t>Weight Factor for each year's CDM program impact on 2018 load forecast</t>
  </si>
  <si>
    <t>Full year impact of 2015 CDM is assumed to be reflected in the base forecast, as the full year persistence of 2015 CDM programs is in the 2016 historical actual data. No further impact is necessary for the manual adjustment to the load forecast.</t>
  </si>
  <si>
    <t>Default is 0.5, but one option is for full year impact of persistence of 2016 CDM programs on 2018 load forecast, but 50% impact in base forecast (first year impact of 2016 CDM programs on 2016 actuals, which is part of the data underlying the base load forecast).</t>
  </si>
  <si>
    <t>Full year impact of persistence of 2017 programs on 2018 load forecast.  2017 CDM program impacts are not in the base forecast.</t>
  </si>
  <si>
    <t>Only 50% of 2017 CDM programs are assumed to impact the 2018 load forecast based on the "half-year" rule.</t>
  </si>
  <si>
    <t>2019 and 2020 are future years beyond the 2018 test year. No impacts of CDM programs beyond the 2018 test year are factored into the test year load forecast.</t>
  </si>
  <si>
    <t>2015-2020 LRAMVA and 2018 CDM adjustment to Load Forecast</t>
  </si>
  <si>
    <t>One manual adjustment for CDM impacts to the 2018 load forecast is made.  There is a different but related threshold amount that is used for the 2018 LRAMVA amount for Account 1568.</t>
  </si>
  <si>
    <t>The amount used for the CDM threshold of the LRAMVA is the kWh that will be used to determine the base amount for the LRAMVA balance for 2018, for assessing performance against the six-year target.</t>
  </si>
  <si>
    <t>If used to determine the manual CDM adjustment for the system purchased kWh, the proposed loss factor should correspond with the proposed total loss factor calculated in Appendix 2-R .</t>
  </si>
  <si>
    <t>The Manual Adjustment for the 2018 Load Forecast is the amount manually subtracted from the system-wide load forecast (either based on a purchased or billed basis) derived from the base forecast from historical data. If the distributor has developed their load forecast on a system purchased basis, then the manual adjustment should be on a system purchased basis, including the adjustment for losses.  If the load forecast has been developed on a billed basis, either on a system basis or on a class-specific basis, the manual adjustment should be on a billed basis, excluding losses.</t>
  </si>
  <si>
    <t>The distributor should determine the allocation of the savings to all customer classes in a reasonable manner (e.g. taking into account what programs and what IESO-measured impacts were directed at specific customer classes), for both the LRAMVA and for the load forecast adjustment.</t>
  </si>
  <si>
    <t>Total Manual Forecast to Load Forecast</t>
  </si>
  <si>
    <t>Manual adjustment uses "gross" versus "net" (i.e. numbers multiplied by (1 + g).  The Weight factor is also used to calculate the impact of each year's program on the CDM adjustment to the 2018 load forecast.</t>
  </si>
  <si>
    <t>2019</t>
  </si>
  <si>
    <t>2018</t>
  </si>
  <si>
    <t>Month</t>
  </si>
  <si>
    <t>Large User</t>
  </si>
  <si>
    <t>Day per Month</t>
  </si>
  <si>
    <t>Daylight Hours</t>
  </si>
  <si>
    <t># Customers</t>
  </si>
  <si>
    <t>Input</t>
  </si>
  <si>
    <t>Spring/Fall Flag</t>
  </si>
  <si>
    <t>Blended Rate</t>
  </si>
  <si>
    <t>MicroFit</t>
  </si>
  <si>
    <t>FIT</t>
  </si>
  <si>
    <t>SOP</t>
  </si>
  <si>
    <t>Most Recent</t>
  </si>
  <si>
    <t>Period</t>
  </si>
  <si>
    <t>Linear Trending Adjusted</t>
  </si>
  <si>
    <t>Customer Adjustment</t>
  </si>
  <si>
    <t>Customer Growth</t>
  </si>
  <si>
    <t>2018 Growth Adjust</t>
  </si>
  <si>
    <t>2019 Growth Adjust</t>
  </si>
  <si>
    <t>Average # Customers</t>
  </si>
  <si>
    <t>Street Lights</t>
  </si>
  <si>
    <t>Total for 2019</t>
  </si>
  <si>
    <t>Amount used for CDM threshold for LRAMVA</t>
  </si>
  <si>
    <t>Amount used for CDM threshold for LRAMVA (2019)</t>
  </si>
  <si>
    <t>Total KW</t>
  </si>
  <si>
    <t>2017-2018 Plan</t>
  </si>
  <si>
    <t>Niagara-on-the-Lake Hydro Inc.</t>
  </si>
  <si>
    <t>Niagara-on-the-Lake</t>
  </si>
  <si>
    <t>EB 2018-0056</t>
  </si>
  <si>
    <t>Jeff Klassen, VP Finance</t>
  </si>
  <si>
    <t>905-468-4235 ext 380</t>
  </si>
  <si>
    <t>jklassen@notlhydro.com</t>
  </si>
  <si>
    <t>2015-2020 CDM Program - 2018 fifth year of the current CDM plan</t>
  </si>
  <si>
    <t>Initial Application</t>
  </si>
  <si>
    <t>Per Board Decision</t>
  </si>
  <si>
    <t>Actual</t>
  </si>
  <si>
    <t>GS &gt; 50 kW</t>
  </si>
  <si>
    <t>GS &lt; 50 kW</t>
  </si>
  <si>
    <t>Variable Distribution Rate</t>
  </si>
  <si>
    <t>per</t>
  </si>
  <si>
    <t>Test Year Volume</t>
  </si>
  <si>
    <t>Gross Variable Revenue</t>
  </si>
  <si>
    <t xml:space="preserve">USL </t>
  </si>
  <si>
    <t>Fixed Distribution Rate</t>
  </si>
  <si>
    <t>ICM Rate Rider</t>
  </si>
  <si>
    <t>Test Year # Customers</t>
  </si>
  <si>
    <t>Total 2019 Distribution Revenue at Current Rates</t>
  </si>
  <si>
    <t>Count</t>
  </si>
  <si>
    <t>GS&gt;50 kW</t>
  </si>
  <si>
    <t>GS&lt;50 kW</t>
  </si>
  <si>
    <t>USL</t>
  </si>
  <si>
    <t>Streetlights</t>
  </si>
  <si>
    <t>IESO</t>
  </si>
  <si>
    <t>MicroFIT</t>
  </si>
  <si>
    <t>Sep</t>
  </si>
  <si>
    <t>2011</t>
  </si>
  <si>
    <t>2012</t>
  </si>
  <si>
    <t>2013</t>
  </si>
  <si>
    <t>2015</t>
  </si>
  <si>
    <t>2016</t>
  </si>
  <si>
    <t>2017</t>
  </si>
  <si>
    <t>Heating Degree Days</t>
  </si>
  <si>
    <t>Cooling Degree Days</t>
  </si>
  <si>
    <t>Blended RPP Rates</t>
  </si>
  <si>
    <t>kWh Purchased (Actual)</t>
  </si>
  <si>
    <t>Forecast</t>
  </si>
  <si>
    <t>Customers</t>
  </si>
  <si>
    <t># Change</t>
  </si>
  <si>
    <t>% Change</t>
  </si>
  <si>
    <t>2014 - Board approved</t>
  </si>
  <si>
    <t>2019 - Test</t>
  </si>
  <si>
    <t>2018 - Bridge</t>
  </si>
  <si>
    <t>Average kWh / customer / month</t>
  </si>
  <si>
    <t>Distribution Revenue</t>
  </si>
  <si>
    <t>Average</t>
  </si>
  <si>
    <t>GS &gt; 50 W Account Variances</t>
  </si>
  <si>
    <t>Residential Account Variances</t>
  </si>
  <si>
    <t>GS &lt; 50 W Account Variances</t>
  </si>
  <si>
    <t>Average kW / customer / month</t>
  </si>
  <si>
    <t>Total 2019 Distribution Revenue at Proposed Rates</t>
  </si>
  <si>
    <t>Ave/Cust/Month</t>
  </si>
  <si>
    <t>For Bill Impacts</t>
  </si>
  <si>
    <t>2019 Revenue at Proposed Rates</t>
  </si>
  <si>
    <t>2019 Revenue at 2018 Rates</t>
  </si>
  <si>
    <t>2018 Revenue at 2018 Rates</t>
  </si>
  <si>
    <t>Bridge Year Volume</t>
  </si>
  <si>
    <t>Total 2018 Distribution Revenue at Current Rates</t>
  </si>
  <si>
    <t>less transformer allowance</t>
  </si>
  <si>
    <t>Average kWh / Customer / Month</t>
  </si>
  <si>
    <t>kWh*</t>
  </si>
  <si>
    <t>2014 Board Approved</t>
  </si>
  <si>
    <t>Fixed Rate</t>
  </si>
  <si>
    <t>Variable Rate</t>
  </si>
  <si>
    <t>GS&lt;50</t>
  </si>
  <si>
    <t>GS&gt;50</t>
  </si>
  <si>
    <t>Fixed Rates</t>
  </si>
  <si>
    <t>Variable Rates</t>
  </si>
  <si>
    <t>* 2018 and 2019 kWh are weather normalized and do not include CDM adjustments</t>
  </si>
  <si>
    <t>Distribution Revenue**</t>
  </si>
  <si>
    <t>** Includes Service Charge and and Variable Distribution Rate</t>
  </si>
  <si>
    <t>Unmetered</t>
  </si>
  <si>
    <t>kW*</t>
  </si>
  <si>
    <t>* 2018 and 2019 kW do not include CDM adjustments</t>
  </si>
  <si>
    <t>Gross Fixed Revenue</t>
  </si>
  <si>
    <t>Gross ICM Revenue</t>
  </si>
  <si>
    <t>Consumption</t>
  </si>
  <si>
    <t>Average Monthly Consumption</t>
  </si>
  <si>
    <t>NOTL Hydro Residential Customer Profile</t>
  </si>
  <si>
    <t>NOTL Hydro Small Business Customer Profile</t>
  </si>
  <si>
    <t>Intercept</t>
  </si>
</sst>
</file>

<file path=xl/styles.xml><?xml version="1.0" encoding="utf-8"?>
<styleSheet xmlns="http://schemas.openxmlformats.org/spreadsheetml/2006/main" xmlns:mc="http://schemas.openxmlformats.org/markup-compatibility/2006" xmlns:x14ac="http://schemas.microsoft.com/office/spreadsheetml/2009/9/ac" mc:Ignorable="x14ac">
  <numFmts count="29">
    <numFmt numFmtId="5" formatCode="&quot;$&quot;#,##0_);\(&quot;$&quot;#,##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000"/>
    <numFmt numFmtId="167" formatCode="0.0%"/>
    <numFmt numFmtId="168" formatCode="#,##0.00000"/>
    <numFmt numFmtId="169" formatCode="_-* #,##0_-;\-* #,##0_-;_-* &quot;-&quot;??_-;_-@_-"/>
    <numFmt numFmtId="170" formatCode="#,##0_ ;\-#,##0\ "/>
    <numFmt numFmtId="171" formatCode="_-&quot;$&quot;* #,##0_-;\-&quot;$&quot;* #,##0_-;_-&quot;$&quot;* &quot;-&quot;??_-;_-@_-"/>
    <numFmt numFmtId="172" formatCode="_-* #,##0.00000_-;\-* #,##0.00000_-;_-* &quot;-&quot;??_-;_-@_-"/>
    <numFmt numFmtId="173" formatCode="#,##0.000000"/>
    <numFmt numFmtId="174" formatCode="#,##0.0000000"/>
    <numFmt numFmtId="175" formatCode="_-* #,##0.000_-;\-* #,##0.000_-;_-* &quot;-&quot;??_-;_-@_-"/>
    <numFmt numFmtId="176" formatCode="#,##0.0000"/>
    <numFmt numFmtId="177" formatCode="_(* #,##0.0_);_(* \(#,##0.0\);_(* &quot;-&quot;??_);_(@_)"/>
    <numFmt numFmtId="178" formatCode="#,##0.0"/>
    <numFmt numFmtId="179" formatCode="mm/dd/yyyy"/>
    <numFmt numFmtId="180" formatCode="0\-0"/>
    <numFmt numFmtId="181" formatCode="##\-#"/>
    <numFmt numFmtId="182" formatCode="_(* #,##0_);_(* \(#,##0\);_(* &quot;-&quot;??_);_(@_)"/>
    <numFmt numFmtId="183" formatCode="&quot;£ &quot;#,##0.00;[Red]\-&quot;£ &quot;#,##0.00"/>
    <numFmt numFmtId="184" formatCode="&quot;$&quot;#,##0_);[Red]\(&quot;$&quot;#,##0\);&quot;$&quot;\ \-"/>
    <numFmt numFmtId="185" formatCode="#,##0.00_ ;[Red]\-#,##0.00\ "/>
    <numFmt numFmtId="186" formatCode="0.00_ ;[Red]\-0.00\ "/>
    <numFmt numFmtId="187" formatCode="0.00%;\(0.00%\)"/>
    <numFmt numFmtId="188" formatCode="_(&quot;$&quot;* #,##0.0000_);_(&quot;$&quot;* \(#,##0.0000\);_(&quot;$&quot;* &quot;-&quot;??_);_(@_)"/>
    <numFmt numFmtId="189" formatCode="_(&quot;$&quot;* #,##0_);_(&quot;$&quot;* \(#,##0\);_(&quot;$&quot;* &quot;-&quot;??_);_(@_)"/>
  </numFmts>
  <fonts count="128" x14ac:knownFonts="1">
    <font>
      <sz val="1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color indexed="8"/>
      <name val="Arial"/>
      <family val="2"/>
    </font>
    <font>
      <sz val="10"/>
      <name val="Arial"/>
      <family val="2"/>
    </font>
    <font>
      <sz val="10"/>
      <name val="Times New Roman"/>
      <family val="1"/>
    </font>
    <font>
      <sz val="10"/>
      <name val="Times New Roman"/>
      <family val="1"/>
    </font>
    <font>
      <i/>
      <sz val="10"/>
      <name val="Arial"/>
      <family val="2"/>
    </font>
    <font>
      <b/>
      <sz val="10"/>
      <name val="Arial"/>
      <family val="2"/>
    </font>
    <font>
      <sz val="6"/>
      <name val="Arial"/>
      <family val="2"/>
    </font>
    <font>
      <sz val="11"/>
      <name val="Arial"/>
      <family val="2"/>
    </font>
    <font>
      <b/>
      <sz val="11"/>
      <name val="Arial"/>
      <family val="2"/>
    </font>
    <font>
      <b/>
      <u/>
      <sz val="11"/>
      <name val="Arial"/>
      <family val="2"/>
    </font>
    <font>
      <sz val="11"/>
      <color indexed="8"/>
      <name val="Calibri"/>
      <family val="2"/>
    </font>
    <font>
      <b/>
      <sz val="14"/>
      <name val="Arial"/>
      <family val="2"/>
    </font>
    <font>
      <b/>
      <sz val="18"/>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11"/>
      <color theme="1"/>
      <name val="Calibri"/>
      <family val="2"/>
      <scheme val="minor"/>
    </font>
    <font>
      <b/>
      <sz val="10"/>
      <color rgb="FF3F3F3F"/>
      <name val="Arial"/>
      <family val="2"/>
    </font>
    <font>
      <b/>
      <sz val="18"/>
      <color theme="3"/>
      <name val="Cambria"/>
      <family val="2"/>
      <scheme val="major"/>
    </font>
    <font>
      <b/>
      <sz val="10"/>
      <color theme="1"/>
      <name val="Arial"/>
      <family val="2"/>
    </font>
    <font>
      <sz val="10"/>
      <color rgb="FFFF0000"/>
      <name val="Arial"/>
      <family val="2"/>
    </font>
    <font>
      <i/>
      <sz val="12"/>
      <color rgb="FF000000"/>
      <name val="Arial"/>
      <family val="2"/>
    </font>
    <font>
      <sz val="10"/>
      <color rgb="FF000000"/>
      <name val="Arial"/>
      <family val="2"/>
    </font>
    <font>
      <b/>
      <i/>
      <u/>
      <sz val="12"/>
      <color rgb="FF000000"/>
      <name val="Arial"/>
      <family val="2"/>
    </font>
    <font>
      <i/>
      <sz val="9"/>
      <color rgb="FF000000"/>
      <name val="Arial"/>
      <family val="2"/>
    </font>
    <font>
      <b/>
      <sz val="10"/>
      <color rgb="FFFF0000"/>
      <name val="Arial"/>
      <family val="2"/>
    </font>
    <font>
      <b/>
      <sz val="11"/>
      <color theme="1"/>
      <name val="Arial"/>
      <family val="2"/>
    </font>
    <font>
      <b/>
      <i/>
      <u/>
      <sz val="10"/>
      <color rgb="FF000000"/>
      <name val="Arial"/>
      <family val="2"/>
    </font>
    <font>
      <b/>
      <sz val="18"/>
      <color rgb="FF000000"/>
      <name val="Arial"/>
      <family val="2"/>
    </font>
    <font>
      <b/>
      <sz val="10"/>
      <color rgb="FF000000"/>
      <name val="Arial"/>
      <family val="2"/>
    </font>
    <font>
      <sz val="9"/>
      <color rgb="FF000000"/>
      <name val="Arial"/>
      <family val="2"/>
    </font>
    <font>
      <sz val="10"/>
      <color theme="0" tint="-0.34998626667073579"/>
      <name val="Arial"/>
      <family val="2"/>
    </font>
    <font>
      <b/>
      <sz val="10"/>
      <color theme="0" tint="-0.34998626667073579"/>
      <name val="Arial"/>
      <family val="2"/>
    </font>
    <font>
      <sz val="10"/>
      <name val="Arial"/>
      <family val="2"/>
    </font>
    <font>
      <i/>
      <sz val="10"/>
      <name val="Times New Roman"/>
      <family val="1"/>
    </font>
    <font>
      <sz val="10"/>
      <name val="Times New Roman"/>
      <family val="1"/>
    </font>
    <font>
      <sz val="9"/>
      <name val="Arial"/>
      <family val="2"/>
    </font>
    <font>
      <sz val="10"/>
      <name val="Helvetica"/>
      <family val="2"/>
    </font>
    <font>
      <b/>
      <sz val="10"/>
      <name val="Helvetica"/>
      <family val="2"/>
    </font>
    <font>
      <b/>
      <u/>
      <sz val="10"/>
      <name val="Helvetica"/>
      <family val="2"/>
    </font>
    <font>
      <b/>
      <sz val="10"/>
      <color theme="0" tint="-0.499984740745262"/>
      <name val="Arial"/>
      <family val="2"/>
    </font>
    <font>
      <sz val="10"/>
      <color theme="0" tint="-0.49998474074526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Helvetica"/>
      <family val="2"/>
    </font>
    <font>
      <u/>
      <sz val="10"/>
      <color theme="10"/>
      <name val="Times New Roman"/>
      <family val="1"/>
    </font>
    <font>
      <b/>
      <sz val="12"/>
      <name val="Helvetica"/>
      <family val="2"/>
    </font>
    <font>
      <i/>
      <sz val="10"/>
      <name val="Helvetica"/>
      <family val="2"/>
    </font>
    <font>
      <u/>
      <sz val="10"/>
      <color indexed="12"/>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4"/>
      <name val="Times New Roman"/>
      <family val="1"/>
    </font>
    <font>
      <sz val="11"/>
      <color theme="0" tint="-0.499984740745262"/>
      <name val="Arial"/>
      <family val="2"/>
    </font>
    <font>
      <u/>
      <sz val="10"/>
      <color theme="10"/>
      <name val="Arial"/>
      <family val="2"/>
    </font>
    <font>
      <sz val="12"/>
      <name val="Arial"/>
      <family val="2"/>
    </font>
    <font>
      <b/>
      <sz val="10"/>
      <name val="Times New Roman"/>
      <family val="1"/>
    </font>
    <font>
      <b/>
      <sz val="8"/>
      <name val="Arial"/>
      <family val="2"/>
    </font>
    <font>
      <b/>
      <i/>
      <sz val="8"/>
      <color theme="0" tint="-0.14999847407452621"/>
      <name val="Arial"/>
      <family val="2"/>
      <charset val="1"/>
    </font>
    <font>
      <b/>
      <vertAlign val="superscript"/>
      <sz val="10"/>
      <name val="Arial"/>
      <family val="2"/>
    </font>
    <font>
      <b/>
      <sz val="9"/>
      <color indexed="81"/>
      <name val="Tahoma"/>
      <family val="2"/>
    </font>
    <font>
      <sz val="9"/>
      <color indexed="81"/>
      <name val="Tahoma"/>
      <family val="2"/>
    </font>
    <font>
      <sz val="11"/>
      <color rgb="FF000000"/>
      <name val="Calibri"/>
      <family val="2"/>
    </font>
    <font>
      <sz val="11"/>
      <name val="Calibri"/>
      <family val="2"/>
    </font>
    <font>
      <b/>
      <sz val="14"/>
      <color rgb="FF000000"/>
      <name val="Calibri"/>
      <family val="2"/>
    </font>
    <font>
      <b/>
      <sz val="11"/>
      <color rgb="FF000000"/>
      <name val="Calibri"/>
      <family val="2"/>
    </font>
    <font>
      <b/>
      <u/>
      <sz val="11"/>
      <color rgb="FF00B050"/>
      <name val="Arial"/>
      <family val="2"/>
    </font>
    <font>
      <b/>
      <sz val="11"/>
      <name val="Calibri"/>
      <family val="2"/>
    </font>
    <font>
      <sz val="11"/>
      <color theme="0" tint="-0.499984740745262"/>
      <name val="Calibri"/>
      <family val="2"/>
    </font>
    <font>
      <b/>
      <sz val="11"/>
      <color theme="0" tint="-0.499984740745262"/>
      <name val="Calibri"/>
      <family val="2"/>
    </font>
    <font>
      <b/>
      <i/>
      <sz val="14"/>
      <color rgb="FF000000"/>
      <name val="Calibri"/>
      <family val="2"/>
    </font>
    <font>
      <sz val="10"/>
      <name val="Calibri"/>
      <family val="2"/>
    </font>
    <font>
      <b/>
      <i/>
      <sz val="11"/>
      <color rgb="FF000000"/>
      <name val="Calibri"/>
      <family val="2"/>
    </font>
    <font>
      <i/>
      <sz val="11"/>
      <color rgb="FF000000"/>
      <name val="Calibri"/>
      <family val="2"/>
    </font>
    <font>
      <i/>
      <sz val="11"/>
      <name val="Calibri"/>
      <family val="2"/>
    </font>
    <font>
      <b/>
      <sz val="10"/>
      <name val="Calibri"/>
      <family val="2"/>
    </font>
    <font>
      <sz val="10"/>
      <color indexed="63"/>
      <name val="Arial"/>
      <family val="2"/>
    </font>
    <font>
      <i/>
      <sz val="12"/>
      <name val="Arial"/>
      <family val="2"/>
    </font>
    <font>
      <sz val="10"/>
      <name val="Times New Roman"/>
      <family val="1"/>
    </font>
  </fonts>
  <fills count="7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6" tint="0.79998168889431442"/>
        <bgColor indexed="58"/>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249977111117893"/>
        <bgColor indexed="64"/>
      </patternFill>
    </fill>
    <fill>
      <patternFill patternType="solid">
        <fgColor indexed="26"/>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59999389629810485"/>
        <bgColor indexed="58"/>
      </patternFill>
    </fill>
    <fill>
      <patternFill patternType="solid">
        <fgColor rgb="FFBFBFBF"/>
        <bgColor rgb="FF000000"/>
      </patternFill>
    </fill>
    <fill>
      <patternFill patternType="solid">
        <fgColor rgb="FFEBF1DE"/>
        <bgColor rgb="FF000000"/>
      </patternFill>
    </fill>
    <fill>
      <patternFill patternType="solid">
        <fgColor rgb="FFF2F2F2"/>
        <bgColor rgb="FF000000"/>
      </patternFill>
    </fill>
    <fill>
      <patternFill patternType="solid">
        <fgColor rgb="FF000000"/>
        <bgColor rgb="FF000000"/>
      </patternFill>
    </fill>
    <fill>
      <patternFill patternType="solid">
        <fgColor rgb="FFDCE6F1"/>
        <bgColor rgb="FF000000"/>
      </patternFill>
    </fill>
    <fill>
      <patternFill patternType="solid">
        <fgColor rgb="FFFFFFFF"/>
        <bgColor rgb="FF000000"/>
      </patternFill>
    </fill>
    <fill>
      <patternFill patternType="solid">
        <fgColor theme="6" tint="0.79998168889431442"/>
        <bgColor rgb="FF000000"/>
      </patternFill>
    </fill>
    <fill>
      <patternFill patternType="solid">
        <fgColor theme="9" tint="0.39997558519241921"/>
        <bgColor indexed="64"/>
      </patternFill>
    </fill>
    <fill>
      <patternFill patternType="solid">
        <fgColor rgb="FFFFFF00"/>
        <bgColor indexed="64"/>
      </patternFill>
    </fill>
    <fill>
      <patternFill patternType="solid">
        <fgColor theme="0" tint="-0.249977111117893"/>
        <bgColor rgb="FF000000"/>
      </patternFill>
    </fill>
    <fill>
      <patternFill patternType="solid">
        <fgColor theme="8" tint="0.59999389629810485"/>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bottom style="thin">
        <color indexed="64"/>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style="double">
        <color indexed="64"/>
      </bottom>
      <diagonal/>
    </border>
    <border>
      <left/>
      <right style="medium">
        <color indexed="64"/>
      </right>
      <top/>
      <bottom style="double">
        <color indexed="64"/>
      </bottom>
      <diagonal/>
    </border>
    <border>
      <left/>
      <right/>
      <top/>
      <bottom style="double">
        <color indexed="64"/>
      </bottom>
      <diagonal/>
    </border>
    <border>
      <left/>
      <right style="double">
        <color indexed="64"/>
      </right>
      <top/>
      <bottom/>
      <diagonal/>
    </border>
    <border>
      <left/>
      <right style="double">
        <color indexed="64"/>
      </right>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right/>
      <top style="thin">
        <color rgb="FFFFFFFF"/>
      </top>
      <bottom/>
      <diagonal/>
    </border>
    <border>
      <left style="thin">
        <color indexed="54"/>
      </left>
      <right style="thin">
        <color indexed="54"/>
      </right>
      <top style="hair">
        <color indexed="54"/>
      </top>
      <bottom style="hair">
        <color indexed="54"/>
      </bottom>
      <diagonal/>
    </border>
    <border>
      <left/>
      <right/>
      <top style="thin">
        <color indexed="64"/>
      </top>
      <bottom style="double">
        <color indexed="64"/>
      </bottom>
      <diagonal/>
    </border>
    <border>
      <left/>
      <right style="thin">
        <color indexed="64"/>
      </right>
      <top style="medium">
        <color indexed="64"/>
      </top>
      <bottom/>
      <diagonal/>
    </border>
    <border>
      <left style="thin">
        <color indexed="64"/>
      </left>
      <right/>
      <top style="medium">
        <color indexed="64"/>
      </top>
      <bottom/>
      <diagonal/>
    </border>
  </borders>
  <cellStyleXfs count="1449">
    <xf numFmtId="0" fontId="0" fillId="0" borderId="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8" fillId="27" borderId="55" applyNumberFormat="0" applyAlignment="0" applyProtection="0"/>
    <xf numFmtId="0" fontId="28" fillId="27" borderId="55" applyNumberFormat="0" applyAlignment="0" applyProtection="0"/>
    <xf numFmtId="0" fontId="28" fillId="27" borderId="55" applyNumberFormat="0" applyAlignment="0" applyProtection="0"/>
    <xf numFmtId="0" fontId="28" fillId="27" borderId="55" applyNumberFormat="0" applyAlignment="0" applyProtection="0"/>
    <xf numFmtId="0" fontId="28" fillId="27" borderId="55" applyNumberFormat="0" applyAlignment="0" applyProtection="0"/>
    <xf numFmtId="0" fontId="28" fillId="27" borderId="55" applyNumberFormat="0" applyAlignment="0" applyProtection="0"/>
    <xf numFmtId="0" fontId="28" fillId="27" borderId="55" applyNumberFormat="0" applyAlignment="0" applyProtection="0"/>
    <xf numFmtId="0" fontId="28" fillId="27" borderId="55" applyNumberFormat="0" applyAlignment="0" applyProtection="0"/>
    <xf numFmtId="0" fontId="28" fillId="27" borderId="55" applyNumberFormat="0" applyAlignment="0" applyProtection="0"/>
    <xf numFmtId="0" fontId="28" fillId="27" borderId="55" applyNumberFormat="0" applyAlignment="0" applyProtection="0"/>
    <xf numFmtId="0" fontId="28" fillId="27" borderId="55" applyNumberFormat="0" applyAlignment="0" applyProtection="0"/>
    <xf numFmtId="0" fontId="28" fillId="27" borderId="55" applyNumberFormat="0" applyAlignment="0" applyProtection="0"/>
    <xf numFmtId="0" fontId="28" fillId="27" borderId="55" applyNumberFormat="0" applyAlignment="0" applyProtection="0"/>
    <xf numFmtId="0" fontId="28" fillId="27" borderId="55" applyNumberFormat="0" applyAlignment="0" applyProtection="0"/>
    <xf numFmtId="0" fontId="29" fillId="28" borderId="56" applyNumberFormat="0" applyAlignment="0" applyProtection="0"/>
    <xf numFmtId="0" fontId="29" fillId="28" borderId="56" applyNumberFormat="0" applyAlignment="0" applyProtection="0"/>
    <xf numFmtId="0" fontId="29" fillId="28" borderId="56" applyNumberFormat="0" applyAlignment="0" applyProtection="0"/>
    <xf numFmtId="0" fontId="29" fillId="28" borderId="56" applyNumberFormat="0" applyAlignment="0" applyProtection="0"/>
    <xf numFmtId="0" fontId="29" fillId="28" borderId="56" applyNumberFormat="0" applyAlignment="0" applyProtection="0"/>
    <xf numFmtId="0" fontId="29" fillId="28" borderId="56" applyNumberFormat="0" applyAlignment="0" applyProtection="0"/>
    <xf numFmtId="0" fontId="29" fillId="28" borderId="56" applyNumberFormat="0" applyAlignment="0" applyProtection="0"/>
    <xf numFmtId="0" fontId="29" fillId="28" borderId="56" applyNumberFormat="0" applyAlignment="0" applyProtection="0"/>
    <xf numFmtId="0" fontId="29" fillId="28" borderId="56" applyNumberFormat="0" applyAlignment="0" applyProtection="0"/>
    <xf numFmtId="0" fontId="29" fillId="28" borderId="56" applyNumberFormat="0" applyAlignment="0" applyProtection="0"/>
    <xf numFmtId="0" fontId="29" fillId="28" borderId="56" applyNumberFormat="0" applyAlignment="0" applyProtection="0"/>
    <xf numFmtId="0" fontId="29" fillId="28" borderId="56" applyNumberFormat="0" applyAlignment="0" applyProtection="0"/>
    <xf numFmtId="0" fontId="29" fillId="28" borderId="56" applyNumberFormat="0" applyAlignment="0" applyProtection="0"/>
    <xf numFmtId="0" fontId="29" fillId="28" borderId="56" applyNumberFormat="0" applyAlignment="0" applyProtection="0"/>
    <xf numFmtId="165" fontId="14" fillId="0" borderId="0" applyFont="0" applyFill="0" applyBorder="0" applyAlignment="0" applyProtection="0"/>
    <xf numFmtId="43" fontId="22"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0"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30" borderId="55" applyNumberFormat="0" applyAlignment="0" applyProtection="0"/>
    <xf numFmtId="0" fontId="35" fillId="30" borderId="55" applyNumberFormat="0" applyAlignment="0" applyProtection="0"/>
    <xf numFmtId="0" fontId="35" fillId="30" borderId="55" applyNumberFormat="0" applyAlignment="0" applyProtection="0"/>
    <xf numFmtId="0" fontId="35" fillId="30" borderId="55" applyNumberFormat="0" applyAlignment="0" applyProtection="0"/>
    <xf numFmtId="0" fontId="35" fillId="30" borderId="55" applyNumberFormat="0" applyAlignment="0" applyProtection="0"/>
    <xf numFmtId="0" fontId="35" fillId="30" borderId="55" applyNumberFormat="0" applyAlignment="0" applyProtection="0"/>
    <xf numFmtId="0" fontId="35" fillId="30" borderId="55" applyNumberFormat="0" applyAlignment="0" applyProtection="0"/>
    <xf numFmtId="0" fontId="35" fillId="30" borderId="55" applyNumberFormat="0" applyAlignment="0" applyProtection="0"/>
    <xf numFmtId="0" fontId="35" fillId="30" borderId="55" applyNumberFormat="0" applyAlignment="0" applyProtection="0"/>
    <xf numFmtId="0" fontId="35" fillId="30" borderId="55" applyNumberFormat="0" applyAlignment="0" applyProtection="0"/>
    <xf numFmtId="0" fontId="35" fillId="30" borderId="55" applyNumberFormat="0" applyAlignment="0" applyProtection="0"/>
    <xf numFmtId="0" fontId="35" fillId="30" borderId="55" applyNumberFormat="0" applyAlignment="0" applyProtection="0"/>
    <xf numFmtId="0" fontId="35" fillId="30" borderId="55" applyNumberFormat="0" applyAlignment="0" applyProtection="0"/>
    <xf numFmtId="0" fontId="35" fillId="30" borderId="55" applyNumberFormat="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38" fillId="0" borderId="0"/>
    <xf numFmtId="0" fontId="38" fillId="0" borderId="0"/>
    <xf numFmtId="0" fontId="10" fillId="0" borderId="0"/>
    <xf numFmtId="0" fontId="13" fillId="0" borderId="0"/>
    <xf numFmtId="0" fontId="25"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32" borderId="61" applyNumberFormat="0" applyFont="0" applyAlignment="0" applyProtection="0"/>
    <xf numFmtId="0" fontId="12" fillId="32" borderId="61" applyNumberFormat="0" applyFont="0" applyAlignment="0" applyProtection="0"/>
    <xf numFmtId="0" fontId="12" fillId="32" borderId="61" applyNumberFormat="0" applyFont="0" applyAlignment="0" applyProtection="0"/>
    <xf numFmtId="0" fontId="12" fillId="32" borderId="61" applyNumberFormat="0" applyFont="0" applyAlignment="0" applyProtection="0"/>
    <xf numFmtId="0" fontId="12" fillId="32" borderId="61" applyNumberFormat="0" applyFont="0" applyAlignment="0" applyProtection="0"/>
    <xf numFmtId="0" fontId="12" fillId="32" borderId="61" applyNumberFormat="0" applyFont="0" applyAlignment="0" applyProtection="0"/>
    <xf numFmtId="0" fontId="12" fillId="32" borderId="61" applyNumberFormat="0" applyFont="0" applyAlignment="0" applyProtection="0"/>
    <xf numFmtId="0" fontId="12" fillId="32" borderId="61" applyNumberFormat="0" applyFont="0" applyAlignment="0" applyProtection="0"/>
    <xf numFmtId="0" fontId="12" fillId="32" borderId="61" applyNumberFormat="0" applyFont="0" applyAlignment="0" applyProtection="0"/>
    <xf numFmtId="0" fontId="12" fillId="32" borderId="61" applyNumberFormat="0" applyFont="0" applyAlignment="0" applyProtection="0"/>
    <xf numFmtId="0" fontId="12" fillId="32" borderId="61" applyNumberFormat="0" applyFont="0" applyAlignment="0" applyProtection="0"/>
    <xf numFmtId="0" fontId="12" fillId="32" borderId="61" applyNumberFormat="0" applyFont="0" applyAlignment="0" applyProtection="0"/>
    <xf numFmtId="0" fontId="12" fillId="32" borderId="61" applyNumberFormat="0" applyFont="0" applyAlignment="0" applyProtection="0"/>
    <xf numFmtId="0" fontId="12" fillId="32" borderId="61" applyNumberFormat="0" applyFont="0" applyAlignment="0" applyProtection="0"/>
    <xf numFmtId="0" fontId="39" fillId="27" borderId="62" applyNumberFormat="0" applyAlignment="0" applyProtection="0"/>
    <xf numFmtId="0" fontId="39" fillId="27" borderId="62" applyNumberFormat="0" applyAlignment="0" applyProtection="0"/>
    <xf numFmtId="0" fontId="39" fillId="27" borderId="62" applyNumberFormat="0" applyAlignment="0" applyProtection="0"/>
    <xf numFmtId="0" fontId="39" fillId="27" borderId="62" applyNumberFormat="0" applyAlignment="0" applyProtection="0"/>
    <xf numFmtId="0" fontId="39" fillId="27" borderId="62" applyNumberFormat="0" applyAlignment="0" applyProtection="0"/>
    <xf numFmtId="0" fontId="39" fillId="27" borderId="62" applyNumberFormat="0" applyAlignment="0" applyProtection="0"/>
    <xf numFmtId="0" fontId="39" fillId="27" borderId="62" applyNumberFormat="0" applyAlignment="0" applyProtection="0"/>
    <xf numFmtId="0" fontId="39" fillId="27" borderId="62" applyNumberFormat="0" applyAlignment="0" applyProtection="0"/>
    <xf numFmtId="0" fontId="39" fillId="27" borderId="62" applyNumberFormat="0" applyAlignment="0" applyProtection="0"/>
    <xf numFmtId="0" fontId="39" fillId="27" borderId="62" applyNumberFormat="0" applyAlignment="0" applyProtection="0"/>
    <xf numFmtId="0" fontId="39" fillId="27" borderId="62" applyNumberFormat="0" applyAlignment="0" applyProtection="0"/>
    <xf numFmtId="0" fontId="39" fillId="27" borderId="62" applyNumberFormat="0" applyAlignment="0" applyProtection="0"/>
    <xf numFmtId="0" fontId="39" fillId="27" borderId="62" applyNumberFormat="0" applyAlignment="0" applyProtection="0"/>
    <xf numFmtId="0" fontId="39" fillId="27" borderId="62" applyNumberFormat="0" applyAlignment="0" applyProtection="0"/>
    <xf numFmtId="9" fontId="15" fillId="0" borderId="0" applyFont="0" applyFill="0" applyBorder="0" applyAlignment="0" applyProtection="0"/>
    <xf numFmtId="9" fontId="14" fillId="0" borderId="0" applyFont="0" applyFill="0" applyBorder="0" applyAlignment="0" applyProtection="0"/>
    <xf numFmtId="9" fontId="22" fillId="0" borderId="0" applyFont="0" applyFill="0" applyBorder="0" applyAlignment="0" applyProtection="0"/>
    <xf numFmtId="0" fontId="40" fillId="0" borderId="0" applyNumberFormat="0" applyFill="0" applyBorder="0" applyAlignment="0" applyProtection="0"/>
    <xf numFmtId="0" fontId="41" fillId="0" borderId="63" applyNumberFormat="0" applyFill="0" applyAlignment="0" applyProtection="0"/>
    <xf numFmtId="0" fontId="41" fillId="0" borderId="63" applyNumberFormat="0" applyFill="0" applyAlignment="0" applyProtection="0"/>
    <xf numFmtId="0" fontId="41" fillId="0" borderId="63" applyNumberFormat="0" applyFill="0" applyAlignment="0" applyProtection="0"/>
    <xf numFmtId="0" fontId="41" fillId="0" borderId="63" applyNumberFormat="0" applyFill="0" applyAlignment="0" applyProtection="0"/>
    <xf numFmtId="0" fontId="41" fillId="0" borderId="63" applyNumberFormat="0" applyFill="0" applyAlignment="0" applyProtection="0"/>
    <xf numFmtId="0" fontId="41" fillId="0" borderId="63" applyNumberFormat="0" applyFill="0" applyAlignment="0" applyProtection="0"/>
    <xf numFmtId="0" fontId="41" fillId="0" borderId="63" applyNumberFormat="0" applyFill="0" applyAlignment="0" applyProtection="0"/>
    <xf numFmtId="0" fontId="41" fillId="0" borderId="63" applyNumberFormat="0" applyFill="0" applyAlignment="0" applyProtection="0"/>
    <xf numFmtId="0" fontId="41" fillId="0" borderId="63" applyNumberFormat="0" applyFill="0" applyAlignment="0" applyProtection="0"/>
    <xf numFmtId="0" fontId="41" fillId="0" borderId="63" applyNumberFormat="0" applyFill="0" applyAlignment="0" applyProtection="0"/>
    <xf numFmtId="0" fontId="41" fillId="0" borderId="63" applyNumberFormat="0" applyFill="0" applyAlignment="0" applyProtection="0"/>
    <xf numFmtId="0" fontId="41" fillId="0" borderId="63" applyNumberFormat="0" applyFill="0" applyAlignment="0" applyProtection="0"/>
    <xf numFmtId="0" fontId="41" fillId="0" borderId="63" applyNumberFormat="0" applyFill="0" applyAlignment="0" applyProtection="0"/>
    <xf numFmtId="0" fontId="41" fillId="0" borderId="63"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0" fontId="9" fillId="0" borderId="0"/>
    <xf numFmtId="0" fontId="9" fillId="0" borderId="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55" fillId="0" borderId="0" applyFont="0" applyFill="0" applyBorder="0" applyAlignment="0" applyProtection="0"/>
    <xf numFmtId="43" fontId="10" fillId="0" borderId="0" applyFont="0" applyFill="0" applyBorder="0" applyAlignment="0" applyProtection="0"/>
    <xf numFmtId="165" fontId="9"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0" fontId="10" fillId="0" borderId="0"/>
    <xf numFmtId="0" fontId="9" fillId="0" borderId="0"/>
    <xf numFmtId="0" fontId="9" fillId="0" borderId="0"/>
    <xf numFmtId="0" fontId="10" fillId="0" borderId="0"/>
    <xf numFmtId="0" fontId="9" fillId="0" borderId="0"/>
    <xf numFmtId="0" fontId="10" fillId="0" borderId="0"/>
    <xf numFmtId="0" fontId="10" fillId="0" borderId="0"/>
    <xf numFmtId="0" fontId="55" fillId="0" borderId="0"/>
    <xf numFmtId="0" fontId="10" fillId="0" borderId="0"/>
    <xf numFmtId="9" fontId="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55" fillId="36" borderId="1" applyNumberFormat="0" applyProtection="0">
      <alignment horizontal="left" vertical="center"/>
    </xf>
    <xf numFmtId="0" fontId="10" fillId="36" borderId="1" applyNumberFormat="0" applyProtection="0">
      <alignment horizontal="left" vertical="center"/>
    </xf>
    <xf numFmtId="9" fontId="9"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7" fillId="0" borderId="0"/>
    <xf numFmtId="0" fontId="7" fillId="0" borderId="0"/>
    <xf numFmtId="165"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0" fontId="6" fillId="0" borderId="0"/>
    <xf numFmtId="0" fontId="57"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0" fontId="5" fillId="0" borderId="0"/>
    <xf numFmtId="165" fontId="5" fillId="0" borderId="0" applyFont="0" applyFill="0" applyBorder="0" applyAlignment="0" applyProtection="0"/>
    <xf numFmtId="9" fontId="5" fillId="0" borderId="0" applyFont="0" applyFill="0" applyBorder="0" applyAlignment="0" applyProtection="0"/>
    <xf numFmtId="0" fontId="14" fillId="0" borderId="0"/>
    <xf numFmtId="165" fontId="14" fillId="0" borderId="0" applyFont="0" applyFill="0" applyBorder="0" applyAlignment="0" applyProtection="0"/>
    <xf numFmtId="0" fontId="5" fillId="0" borderId="0"/>
    <xf numFmtId="0" fontId="5" fillId="0" borderId="0"/>
    <xf numFmtId="9" fontId="14"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22" fillId="37" borderId="0" applyNumberFormat="0" applyBorder="0" applyAlignment="0" applyProtection="0"/>
    <xf numFmtId="0" fontId="22" fillId="38" borderId="0" applyNumberFormat="0" applyBorder="0" applyAlignment="0" applyProtection="0"/>
    <xf numFmtId="0" fontId="22" fillId="39"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22" fillId="40" borderId="0" applyNumberFormat="0" applyBorder="0" applyAlignment="0" applyProtection="0"/>
    <xf numFmtId="0" fontId="22" fillId="43" borderId="0" applyNumberFormat="0" applyBorder="0" applyAlignment="0" applyProtection="0"/>
    <xf numFmtId="0" fontId="22" fillId="46" borderId="0" applyNumberFormat="0" applyBorder="0" applyAlignment="0" applyProtection="0"/>
    <xf numFmtId="0" fontId="85" fillId="47" borderId="0" applyNumberFormat="0" applyBorder="0" applyAlignment="0" applyProtection="0"/>
    <xf numFmtId="0" fontId="85" fillId="44" borderId="0" applyNumberFormat="0" applyBorder="0" applyAlignment="0" applyProtection="0"/>
    <xf numFmtId="0" fontId="85" fillId="45" borderId="0" applyNumberFormat="0" applyBorder="0" applyAlignment="0" applyProtection="0"/>
    <xf numFmtId="0" fontId="85" fillId="48" borderId="0" applyNumberFormat="0" applyBorder="0" applyAlignment="0" applyProtection="0"/>
    <xf numFmtId="0" fontId="85" fillId="49" borderId="0" applyNumberFormat="0" applyBorder="0" applyAlignment="0" applyProtection="0"/>
    <xf numFmtId="0" fontId="85" fillId="50" borderId="0" applyNumberFormat="0" applyBorder="0" applyAlignment="0" applyProtection="0"/>
    <xf numFmtId="0" fontId="85" fillId="51" borderId="0" applyNumberFormat="0" applyBorder="0" applyAlignment="0" applyProtection="0"/>
    <xf numFmtId="0" fontId="85" fillId="52" borderId="0" applyNumberFormat="0" applyBorder="0" applyAlignment="0" applyProtection="0"/>
    <xf numFmtId="0" fontId="85" fillId="53" borderId="0" applyNumberFormat="0" applyBorder="0" applyAlignment="0" applyProtection="0"/>
    <xf numFmtId="0" fontId="87" fillId="55" borderId="79" applyNumberFormat="0" applyAlignment="0" applyProtection="0"/>
    <xf numFmtId="0" fontId="83" fillId="0" borderId="0" applyNumberFormat="0" applyFill="0" applyBorder="0" applyAlignment="0" applyProtection="0">
      <alignment vertical="top"/>
      <protection locked="0"/>
    </xf>
    <xf numFmtId="0" fontId="96" fillId="57" borderId="0" applyNumberFormat="0" applyBorder="0" applyAlignment="0" applyProtection="0"/>
    <xf numFmtId="0" fontId="98" fillId="0" borderId="0" applyNumberFormat="0" applyFill="0" applyBorder="0" applyAlignment="0" applyProtection="0"/>
    <xf numFmtId="0" fontId="99" fillId="0" borderId="87" applyNumberFormat="0" applyFill="0" applyAlignment="0" applyProtection="0"/>
    <xf numFmtId="0" fontId="100" fillId="0" borderId="0" applyNumberFormat="0" applyFill="0" applyBorder="0" applyAlignment="0" applyProtection="0"/>
    <xf numFmtId="0" fontId="10" fillId="0" borderId="0"/>
    <xf numFmtId="0" fontId="40" fillId="0" borderId="0" applyNumberFormat="0" applyFill="0" applyBorder="0" applyAlignment="0" applyProtection="0"/>
    <xf numFmtId="0" fontId="65" fillId="0" borderId="58" applyNumberFormat="0" applyFill="0" applyAlignment="0" applyProtection="0"/>
    <xf numFmtId="0" fontId="64" fillId="0" borderId="57" applyNumberFormat="0" applyFill="0" applyAlignment="0" applyProtection="0"/>
    <xf numFmtId="0" fontId="4" fillId="0" borderId="0"/>
    <xf numFmtId="0" fontId="66" fillId="0" borderId="59" applyNumberFormat="0" applyFill="0" applyAlignment="0" applyProtection="0"/>
    <xf numFmtId="0" fontId="66" fillId="0" borderId="0" applyNumberFormat="0" applyFill="0" applyBorder="0" applyAlignment="0" applyProtection="0"/>
    <xf numFmtId="0" fontId="67" fillId="29" borderId="0" applyNumberFormat="0" applyBorder="0" applyAlignment="0" applyProtection="0"/>
    <xf numFmtId="0" fontId="68" fillId="26" borderId="0" applyNumberFormat="0" applyBorder="0" applyAlignment="0" applyProtection="0"/>
    <xf numFmtId="0" fontId="69" fillId="31" borderId="0" applyNumberFormat="0" applyBorder="0" applyAlignment="0" applyProtection="0"/>
    <xf numFmtId="0" fontId="70" fillId="30" borderId="55" applyNumberFormat="0" applyAlignment="0" applyProtection="0"/>
    <xf numFmtId="0" fontId="71" fillId="27" borderId="62" applyNumberFormat="0" applyAlignment="0" applyProtection="0"/>
    <xf numFmtId="0" fontId="72" fillId="27" borderId="55" applyNumberFormat="0" applyAlignment="0" applyProtection="0"/>
    <xf numFmtId="0" fontId="73" fillId="0" borderId="60" applyNumberFormat="0" applyFill="0" applyAlignment="0" applyProtection="0"/>
    <xf numFmtId="0" fontId="74" fillId="28" borderId="56" applyNumberFormat="0" applyAlignment="0" applyProtection="0"/>
    <xf numFmtId="0" fontId="75" fillId="0" borderId="0" applyNumberFormat="0" applyFill="0" applyBorder="0" applyAlignment="0" applyProtection="0"/>
    <xf numFmtId="0" fontId="4" fillId="32" borderId="61" applyNumberFormat="0" applyFont="0" applyAlignment="0" applyProtection="0"/>
    <xf numFmtId="0" fontId="76" fillId="0" borderId="0" applyNumberFormat="0" applyFill="0" applyBorder="0" applyAlignment="0" applyProtection="0"/>
    <xf numFmtId="0" fontId="77" fillId="0" borderId="63" applyNumberFormat="0" applyFill="0" applyAlignment="0" applyProtection="0"/>
    <xf numFmtId="0" fontId="78" fillId="20" borderId="0" applyNumberFormat="0" applyBorder="0" applyAlignment="0" applyProtection="0"/>
    <xf numFmtId="0" fontId="4" fillId="2" borderId="0" applyNumberFormat="0" applyBorder="0" applyAlignment="0" applyProtection="0"/>
    <xf numFmtId="0" fontId="4" fillId="8" borderId="0" applyNumberFormat="0" applyBorder="0" applyAlignment="0" applyProtection="0"/>
    <xf numFmtId="0" fontId="78" fillId="14" borderId="0" applyNumberFormat="0" applyBorder="0" applyAlignment="0" applyProtection="0"/>
    <xf numFmtId="0" fontId="78" fillId="21"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78" fillId="15" borderId="0" applyNumberFormat="0" applyBorder="0" applyAlignment="0" applyProtection="0"/>
    <xf numFmtId="0" fontId="78" fillId="22"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78" fillId="16" borderId="0" applyNumberFormat="0" applyBorder="0" applyAlignment="0" applyProtection="0"/>
    <xf numFmtId="0" fontId="78" fillId="23"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78" fillId="17" borderId="0" applyNumberFormat="0" applyBorder="0" applyAlignment="0" applyProtection="0"/>
    <xf numFmtId="0" fontId="78" fillId="24"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78" fillId="18" borderId="0" applyNumberFormat="0" applyBorder="0" applyAlignment="0" applyProtection="0"/>
    <xf numFmtId="0" fontId="78" fillId="25"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78" fillId="19" borderId="0" applyNumberFormat="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0" fontId="4" fillId="0" borderId="0"/>
    <xf numFmtId="177" fontId="10" fillId="0" borderId="0"/>
    <xf numFmtId="178" fontId="10" fillId="0" borderId="0"/>
    <xf numFmtId="177" fontId="10" fillId="0" borderId="0"/>
    <xf numFmtId="177" fontId="10" fillId="0" borderId="0"/>
    <xf numFmtId="177" fontId="10" fillId="0" borderId="0"/>
    <xf numFmtId="177" fontId="10" fillId="0" borderId="0"/>
    <xf numFmtId="179" fontId="10" fillId="0" borderId="0"/>
    <xf numFmtId="180" fontId="10" fillId="0" borderId="0"/>
    <xf numFmtId="179" fontId="10" fillId="0" borderId="0"/>
    <xf numFmtId="3" fontId="10" fillId="0" borderId="0" applyFont="0" applyFill="0" applyBorder="0" applyAlignment="0" applyProtection="0"/>
    <xf numFmtId="5" fontId="10" fillId="0" borderId="0" applyFont="0" applyFill="0" applyBorder="0" applyAlignment="0" applyProtection="0"/>
    <xf numFmtId="14" fontId="10" fillId="0" borderId="0" applyFont="0" applyFill="0" applyBorder="0" applyAlignment="0" applyProtection="0"/>
    <xf numFmtId="2" fontId="10" fillId="0" borderId="0" applyFont="0" applyFill="0" applyBorder="0" applyAlignment="0" applyProtection="0"/>
    <xf numFmtId="38" fontId="84" fillId="59" borderId="0" applyNumberFormat="0" applyBorder="0" applyAlignment="0" applyProtection="0"/>
    <xf numFmtId="10" fontId="84" fillId="61" borderId="1" applyNumberFormat="0" applyBorder="0" applyAlignment="0" applyProtection="0"/>
    <xf numFmtId="181" fontId="10" fillId="0" borderId="0"/>
    <xf numFmtId="181" fontId="10" fillId="0" borderId="0"/>
    <xf numFmtId="181" fontId="10" fillId="0" borderId="0"/>
    <xf numFmtId="181" fontId="10" fillId="0" borderId="0"/>
    <xf numFmtId="181" fontId="10" fillId="0" borderId="0"/>
    <xf numFmtId="183" fontId="10" fillId="0" borderId="0"/>
    <xf numFmtId="10" fontId="10"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164" fontId="10" fillId="0" borderId="0" applyFont="0" applyFill="0" applyBorder="0" applyAlignment="0" applyProtection="0"/>
    <xf numFmtId="0" fontId="4" fillId="0" borderId="0"/>
    <xf numFmtId="0" fontId="4" fillId="0" borderId="0"/>
    <xf numFmtId="182" fontId="10" fillId="0" borderId="0"/>
    <xf numFmtId="0" fontId="97" fillId="55" borderId="86" applyNumberFormat="0" applyAlignment="0" applyProtection="0"/>
    <xf numFmtId="0" fontId="88" fillId="56" borderId="80" applyNumberFormat="0" applyAlignment="0" applyProtection="0"/>
    <xf numFmtId="0" fontId="94" fillId="42" borderId="79" applyNumberFormat="0" applyAlignment="0" applyProtection="0"/>
    <xf numFmtId="0" fontId="10" fillId="58" borderId="85" applyNumberFormat="0" applyFont="0" applyAlignment="0" applyProtection="0"/>
    <xf numFmtId="0" fontId="90" fillId="39" borderId="0" applyNumberFormat="0" applyBorder="0" applyAlignment="0" applyProtection="0"/>
    <xf numFmtId="0" fontId="86" fillId="38" borderId="0" applyNumberFormat="0" applyBorder="0" applyAlignment="0" applyProtection="0"/>
    <xf numFmtId="0" fontId="93" fillId="0" borderId="83" applyNumberFormat="0" applyFill="0" applyAlignment="0" applyProtection="0"/>
    <xf numFmtId="0" fontId="92" fillId="0" borderId="82" applyNumberFormat="0" applyFill="0" applyAlignment="0" applyProtection="0"/>
    <xf numFmtId="0" fontId="89" fillId="0" borderId="0" applyNumberFormat="0" applyFill="0" applyBorder="0" applyAlignment="0" applyProtection="0"/>
    <xf numFmtId="0" fontId="91" fillId="0" borderId="81" applyNumberFormat="0" applyFill="0" applyAlignment="0" applyProtection="0"/>
    <xf numFmtId="0" fontId="80" fillId="0" borderId="0" applyNumberFormat="0" applyFill="0" applyBorder="0" applyAlignment="0" applyProtection="0"/>
    <xf numFmtId="0" fontId="4" fillId="0" borderId="0"/>
    <xf numFmtId="0" fontId="4" fillId="0" borderId="0"/>
    <xf numFmtId="165"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85" fillId="49" borderId="0" applyNumberFormat="0" applyBorder="0" applyAlignment="0" applyProtection="0"/>
    <xf numFmtId="0" fontId="4" fillId="0" borderId="0"/>
    <xf numFmtId="0" fontId="4" fillId="0" borderId="0"/>
    <xf numFmtId="0" fontId="4" fillId="0" borderId="0"/>
    <xf numFmtId="0" fontId="85" fillId="54" borderId="0" applyNumberFormat="0" applyBorder="0" applyAlignment="0" applyProtection="0"/>
    <xf numFmtId="0" fontId="85" fillId="48" borderId="0" applyNumberFormat="0" applyBorder="0" applyAlignment="0" applyProtection="0"/>
    <xf numFmtId="165"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14" fillId="0" borderId="0"/>
    <xf numFmtId="0" fontId="95" fillId="0" borderId="84" applyNumberFormat="0" applyFill="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93" fillId="0" borderId="0" applyNumberForma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10" fillId="0" borderId="0"/>
    <xf numFmtId="0" fontId="10" fillId="0" borderId="0"/>
    <xf numFmtId="0" fontId="94" fillId="42" borderId="79" applyNumberFormat="0" applyAlignment="0" applyProtection="0"/>
    <xf numFmtId="0" fontId="94" fillId="42" borderId="79" applyNumberFormat="0" applyAlignment="0" applyProtection="0"/>
    <xf numFmtId="0" fontId="94" fillId="42" borderId="79" applyNumberFormat="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9" fontId="10" fillId="0" borderId="0" applyFont="0" applyFill="0" applyBorder="0" applyAlignment="0" applyProtection="0"/>
    <xf numFmtId="0" fontId="94" fillId="42" borderId="79" applyNumberFormat="0" applyAlignment="0" applyProtection="0"/>
    <xf numFmtId="0" fontId="10" fillId="0" borderId="0"/>
    <xf numFmtId="0" fontId="14" fillId="0" borderId="0"/>
    <xf numFmtId="0" fontId="3" fillId="0" borderId="0"/>
    <xf numFmtId="0" fontId="3" fillId="0" borderId="0"/>
    <xf numFmtId="9" fontId="14"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2" fillId="0" borderId="0"/>
    <xf numFmtId="0" fontId="10" fillId="0" borderId="0"/>
    <xf numFmtId="9" fontId="14" fillId="0" borderId="0" applyFont="0" applyFill="0" applyBorder="0" applyAlignment="0" applyProtection="0"/>
    <xf numFmtId="0" fontId="14" fillId="0" borderId="0"/>
    <xf numFmtId="9" fontId="10" fillId="0" borderId="0" applyFont="0" applyFill="0" applyBorder="0" applyAlignment="0" applyProtection="0"/>
    <xf numFmtId="0" fontId="10"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44" fontId="10" fillId="0" borderId="0" applyFont="0" applyFill="0" applyBorder="0" applyAlignment="0" applyProtection="0"/>
    <xf numFmtId="43" fontId="2" fillId="0" borderId="0" applyFont="0" applyFill="0" applyBorder="0" applyAlignment="0" applyProtection="0"/>
    <xf numFmtId="0" fontId="10" fillId="0" borderId="0"/>
    <xf numFmtId="0" fontId="2" fillId="0" borderId="0"/>
    <xf numFmtId="0" fontId="2"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98" fillId="0" borderId="0" applyNumberFormat="0" applyFill="0" applyBorder="0" applyAlignment="0" applyProtection="0"/>
    <xf numFmtId="0" fontId="2" fillId="0" borderId="0"/>
    <xf numFmtId="164" fontId="1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103" fillId="0" borderId="0" applyNumberForma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2" fillId="0" borderId="0"/>
    <xf numFmtId="0" fontId="14" fillId="0" borderId="0"/>
    <xf numFmtId="165" fontId="14" fillId="0" borderId="0" applyFont="0" applyFill="0" applyBorder="0" applyAlignment="0" applyProtection="0"/>
    <xf numFmtId="0" fontId="2" fillId="0" borderId="0"/>
    <xf numFmtId="0" fontId="2" fillId="0" borderId="0"/>
    <xf numFmtId="9" fontId="14"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14" fillId="0" borderId="0"/>
    <xf numFmtId="9" fontId="14" fillId="0" borderId="0" applyFont="0" applyFill="0" applyBorder="0" applyAlignment="0" applyProtection="0"/>
    <xf numFmtId="9" fontId="10" fillId="0" borderId="0" applyFont="0" applyFill="0" applyBorder="0" applyAlignment="0" applyProtection="0"/>
    <xf numFmtId="9" fontId="14" fillId="0" borderId="0" applyFont="0" applyFill="0" applyBorder="0" applyAlignment="0" applyProtection="0"/>
    <xf numFmtId="9" fontId="10"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 fillId="0" borderId="0"/>
    <xf numFmtId="0" fontId="80" fillId="0" borderId="0" applyNumberFormat="0" applyFill="0" applyBorder="0" applyAlignment="0" applyProtection="0"/>
    <xf numFmtId="44" fontId="127" fillId="0" borderId="0" applyFont="0" applyFill="0" applyBorder="0" applyAlignment="0" applyProtection="0"/>
  </cellStyleXfs>
  <cellXfs count="951">
    <xf numFmtId="0" fontId="0" fillId="0" borderId="0" xfId="0"/>
    <xf numFmtId="0" fontId="10" fillId="0" borderId="0" xfId="0" applyFont="1"/>
    <xf numFmtId="1" fontId="10" fillId="33" borderId="2" xfId="379" applyNumberFormat="1" applyFont="1" applyFill="1" applyBorder="1" applyAlignment="1">
      <alignment horizontal="center"/>
    </xf>
    <xf numFmtId="0" fontId="43" fillId="0" borderId="0" xfId="0" applyFont="1" applyBorder="1" applyAlignment="1">
      <alignment horizontal="left" vertical="center"/>
    </xf>
    <xf numFmtId="49" fontId="10" fillId="0" borderId="2" xfId="0" applyNumberFormat="1" applyFont="1" applyBorder="1" applyAlignment="1">
      <alignment horizontal="center"/>
    </xf>
    <xf numFmtId="166" fontId="10" fillId="0" borderId="1" xfId="0" applyNumberFormat="1" applyFont="1" applyBorder="1" applyAlignment="1">
      <alignment horizontal="center"/>
    </xf>
    <xf numFmtId="166" fontId="10" fillId="0" borderId="8" xfId="0" applyNumberFormat="1" applyFont="1" applyBorder="1" applyAlignment="1">
      <alignment horizontal="center"/>
    </xf>
    <xf numFmtId="1" fontId="10" fillId="0" borderId="1" xfId="0" applyNumberFormat="1" applyFont="1" applyFill="1" applyBorder="1" applyAlignment="1">
      <alignment horizontal="center"/>
    </xf>
    <xf numFmtId="0" fontId="10" fillId="0" borderId="1" xfId="0" applyFont="1" applyFill="1" applyBorder="1" applyAlignment="1">
      <alignment horizontal="center"/>
    </xf>
    <xf numFmtId="0" fontId="10" fillId="0" borderId="8" xfId="0" applyFont="1" applyFill="1" applyBorder="1" applyAlignment="1">
      <alignment horizontal="center"/>
    </xf>
    <xf numFmtId="49" fontId="10" fillId="0" borderId="9" xfId="0" applyNumberFormat="1" applyFont="1" applyBorder="1" applyAlignment="1">
      <alignment horizontal="center"/>
    </xf>
    <xf numFmtId="0" fontId="10" fillId="0" borderId="10" xfId="0" applyFont="1" applyFill="1" applyBorder="1" applyAlignment="1">
      <alignment horizontal="center"/>
    </xf>
    <xf numFmtId="0" fontId="10" fillId="0" borderId="11" xfId="0" applyFont="1" applyFill="1" applyBorder="1" applyAlignment="1">
      <alignment horizontal="center"/>
    </xf>
    <xf numFmtId="0" fontId="10" fillId="0" borderId="12" xfId="0" applyFont="1" applyFill="1" applyBorder="1"/>
    <xf numFmtId="0" fontId="10" fillId="0" borderId="13" xfId="0" applyFont="1" applyFill="1" applyBorder="1"/>
    <xf numFmtId="1" fontId="10" fillId="33" borderId="1" xfId="0" applyNumberFormat="1" applyFont="1" applyFill="1" applyBorder="1" applyAlignment="1">
      <alignment horizontal="center"/>
    </xf>
    <xf numFmtId="1" fontId="10" fillId="33" borderId="10" xfId="0" applyNumberFormat="1" applyFont="1" applyFill="1" applyBorder="1" applyAlignment="1">
      <alignment horizontal="center"/>
    </xf>
    <xf numFmtId="0" fontId="10" fillId="0" borderId="0" xfId="0" applyFont="1" applyFill="1" applyBorder="1"/>
    <xf numFmtId="2" fontId="42" fillId="0" borderId="0" xfId="0" applyNumberFormat="1" applyFont="1" applyFill="1" applyBorder="1" applyAlignment="1">
      <alignment horizontal="center"/>
    </xf>
    <xf numFmtId="0" fontId="10" fillId="0" borderId="0" xfId="0" applyFont="1" applyFill="1" applyBorder="1" applyAlignment="1">
      <alignment horizontal="center"/>
    </xf>
    <xf numFmtId="0" fontId="10" fillId="0" borderId="14" xfId="0" applyFont="1" applyFill="1" applyBorder="1" applyAlignment="1">
      <alignment horizontal="center"/>
    </xf>
    <xf numFmtId="0" fontId="10" fillId="0" borderId="15" xfId="0" applyFont="1" applyFill="1" applyBorder="1" applyAlignment="1">
      <alignment horizontal="center"/>
    </xf>
    <xf numFmtId="0" fontId="10" fillId="0" borderId="2" xfId="0" applyFont="1" applyFill="1" applyBorder="1" applyAlignment="1">
      <alignment horizontal="center"/>
    </xf>
    <xf numFmtId="0" fontId="10" fillId="0" borderId="16" xfId="0" applyFont="1" applyFill="1" applyBorder="1" applyAlignment="1">
      <alignment horizontal="center"/>
    </xf>
    <xf numFmtId="0" fontId="10" fillId="0" borderId="9" xfId="0" applyFont="1" applyFill="1" applyBorder="1" applyAlignment="1">
      <alignment horizontal="center"/>
    </xf>
    <xf numFmtId="0" fontId="10" fillId="0" borderId="17" xfId="0" applyFont="1" applyFill="1" applyBorder="1" applyAlignment="1">
      <alignment horizontal="center"/>
    </xf>
    <xf numFmtId="17" fontId="10" fillId="0" borderId="15" xfId="0" applyNumberFormat="1" applyFont="1" applyFill="1" applyBorder="1" applyAlignment="1">
      <alignment horizontal="center"/>
    </xf>
    <xf numFmtId="1" fontId="10" fillId="33" borderId="2" xfId="0" applyNumberFormat="1" applyFont="1" applyFill="1" applyBorder="1" applyAlignment="1">
      <alignment horizontal="center"/>
    </xf>
    <xf numFmtId="1" fontId="42" fillId="33" borderId="8" xfId="0" applyNumberFormat="1" applyFont="1" applyFill="1" applyBorder="1" applyAlignment="1">
      <alignment horizontal="center"/>
    </xf>
    <xf numFmtId="1" fontId="10" fillId="33" borderId="1" xfId="379" applyNumberFormat="1" applyFont="1" applyFill="1" applyBorder="1" applyAlignment="1">
      <alignment horizontal="center"/>
    </xf>
    <xf numFmtId="1" fontId="10" fillId="33" borderId="2" xfId="379" applyNumberFormat="1" applyFont="1" applyFill="1" applyBorder="1" applyAlignment="1">
      <alignment horizontal="center" vertical="center"/>
    </xf>
    <xf numFmtId="1" fontId="44" fillId="33" borderId="2" xfId="0" applyNumberFormat="1" applyFont="1" applyFill="1" applyBorder="1" applyAlignment="1">
      <alignment horizontal="center"/>
    </xf>
    <xf numFmtId="1" fontId="25" fillId="33" borderId="2" xfId="0" applyNumberFormat="1" applyFont="1" applyFill="1" applyBorder="1" applyAlignment="1">
      <alignment horizontal="center"/>
    </xf>
    <xf numFmtId="1" fontId="10" fillId="33" borderId="9" xfId="0" applyNumberFormat="1" applyFont="1" applyFill="1" applyBorder="1" applyAlignment="1">
      <alignment horizontal="center"/>
    </xf>
    <xf numFmtId="1" fontId="42" fillId="33" borderId="11" xfId="0" applyNumberFormat="1" applyFont="1" applyFill="1" applyBorder="1" applyAlignment="1">
      <alignment horizontal="center"/>
    </xf>
    <xf numFmtId="1" fontId="10" fillId="33" borderId="10" xfId="379" applyNumberFormat="1" applyFont="1" applyFill="1" applyBorder="1" applyAlignment="1">
      <alignment horizontal="center"/>
    </xf>
    <xf numFmtId="1" fontId="10" fillId="33" borderId="22" xfId="0" applyNumberFormat="1" applyFont="1" applyFill="1" applyBorder="1" applyAlignment="1">
      <alignment horizontal="center"/>
    </xf>
    <xf numFmtId="3" fontId="10" fillId="0" borderId="0" xfId="0" applyNumberFormat="1" applyFont="1" applyFill="1" applyBorder="1" applyAlignment="1">
      <alignment horizontal="center"/>
    </xf>
    <xf numFmtId="0" fontId="10" fillId="0" borderId="0" xfId="0" applyFont="1" applyAlignment="1">
      <alignment horizontal="center"/>
    </xf>
    <xf numFmtId="17" fontId="10" fillId="0" borderId="0" xfId="0" applyNumberFormat="1" applyFont="1" applyBorder="1"/>
    <xf numFmtId="0" fontId="10" fillId="0" borderId="0" xfId="0" applyFont="1" applyAlignment="1">
      <alignment horizontal="left"/>
    </xf>
    <xf numFmtId="0" fontId="10" fillId="0" borderId="0" xfId="0" applyFont="1" applyFill="1"/>
    <xf numFmtId="0" fontId="45" fillId="0" borderId="0" xfId="0" applyFont="1" applyBorder="1" applyAlignment="1">
      <alignment horizontal="left" vertical="center"/>
    </xf>
    <xf numFmtId="0" fontId="10" fillId="0" borderId="0" xfId="0" applyFont="1" applyBorder="1"/>
    <xf numFmtId="0" fontId="44" fillId="0" borderId="27" xfId="0" applyFont="1" applyBorder="1" applyAlignment="1">
      <alignment horizontal="center" vertical="center" wrapText="1"/>
    </xf>
    <xf numFmtId="0" fontId="44" fillId="0" borderId="28" xfId="0" applyFont="1" applyBorder="1" applyAlignment="1">
      <alignment horizontal="center" vertical="center" wrapText="1"/>
    </xf>
    <xf numFmtId="0" fontId="46" fillId="0" borderId="28" xfId="0" applyFont="1" applyBorder="1" applyAlignment="1">
      <alignment horizontal="center" vertical="center" wrapText="1"/>
    </xf>
    <xf numFmtId="0" fontId="44" fillId="0" borderId="29" xfId="0" applyFont="1" applyFill="1" applyBorder="1" applyAlignment="1">
      <alignment horizontal="center" vertical="center" wrapText="1"/>
    </xf>
    <xf numFmtId="0" fontId="44" fillId="0" borderId="7" xfId="0" applyFont="1" applyBorder="1" applyAlignment="1">
      <alignment horizontal="center" vertical="center" wrapText="1"/>
    </xf>
    <xf numFmtId="3" fontId="44" fillId="0" borderId="23" xfId="0"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10" fontId="44" fillId="0" borderId="1" xfId="0" applyNumberFormat="1"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Border="1" applyAlignment="1">
      <alignment horizontal="center" vertical="center" wrapText="1"/>
    </xf>
    <xf numFmtId="3" fontId="42" fillId="0" borderId="0" xfId="0" applyNumberFormat="1" applyFont="1" applyBorder="1" applyAlignment="1">
      <alignment horizontal="center" vertical="center" wrapText="1"/>
    </xf>
    <xf numFmtId="0" fontId="44" fillId="0" borderId="30" xfId="0" applyFont="1" applyFill="1" applyBorder="1" applyAlignment="1">
      <alignment horizontal="center" vertical="center" wrapText="1"/>
    </xf>
    <xf numFmtId="3" fontId="44" fillId="0" borderId="0" xfId="0" applyNumberFormat="1" applyFont="1" applyBorder="1" applyAlignment="1">
      <alignment horizontal="center" vertical="center" wrapText="1"/>
    </xf>
    <xf numFmtId="168" fontId="44" fillId="0" borderId="8" xfId="0" applyNumberFormat="1" applyFont="1" applyBorder="1" applyAlignment="1">
      <alignment horizontal="center" vertical="center" wrapText="1"/>
    </xf>
    <xf numFmtId="3" fontId="42" fillId="0" borderId="8" xfId="0" applyNumberFormat="1" applyFont="1" applyBorder="1" applyAlignment="1">
      <alignment horizontal="center" vertical="center" wrapText="1"/>
    </xf>
    <xf numFmtId="0" fontId="44" fillId="0" borderId="31" xfId="0" applyFont="1" applyBorder="1" applyAlignment="1">
      <alignment horizontal="center" vertical="center" wrapText="1"/>
    </xf>
    <xf numFmtId="0" fontId="44" fillId="0" borderId="36" xfId="0" applyFont="1" applyBorder="1" applyAlignment="1">
      <alignment horizontal="center" vertical="center" wrapText="1"/>
    </xf>
    <xf numFmtId="0" fontId="44" fillId="0" borderId="15" xfId="0" applyFont="1" applyBorder="1" applyAlignment="1">
      <alignment horizontal="center" vertical="center" wrapText="1"/>
    </xf>
    <xf numFmtId="0" fontId="10" fillId="0" borderId="23" xfId="0" applyFont="1" applyBorder="1"/>
    <xf numFmtId="0" fontId="10" fillId="0" borderId="9" xfId="0" applyFont="1" applyBorder="1"/>
    <xf numFmtId="0" fontId="10" fillId="0" borderId="10" xfId="0" applyFont="1" applyBorder="1"/>
    <xf numFmtId="0" fontId="44" fillId="0" borderId="2"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44" fillId="0" borderId="8" xfId="0" applyFont="1" applyFill="1" applyBorder="1" applyAlignment="1">
      <alignment horizontal="center" vertical="center" wrapText="1"/>
    </xf>
    <xf numFmtId="3" fontId="44" fillId="0" borderId="1" xfId="0" applyNumberFormat="1" applyFont="1" applyFill="1" applyBorder="1" applyAlignment="1">
      <alignment horizontal="center" vertical="center" wrapText="1"/>
    </xf>
    <xf numFmtId="3" fontId="44" fillId="0" borderId="10" xfId="0" applyNumberFormat="1" applyFont="1" applyFill="1" applyBorder="1" applyAlignment="1">
      <alignment horizontal="center" vertical="center" wrapText="1"/>
    </xf>
    <xf numFmtId="0" fontId="19" fillId="0" borderId="0" xfId="0" applyFont="1" applyFill="1" applyAlignment="1">
      <alignment horizontal="center"/>
    </xf>
    <xf numFmtId="0" fontId="19" fillId="0" borderId="0" xfId="0" applyFont="1" applyFill="1" applyAlignment="1">
      <alignment horizontal="left"/>
    </xf>
    <xf numFmtId="0" fontId="20" fillId="0" borderId="0" xfId="0" applyFont="1" applyFill="1" applyAlignment="1">
      <alignment horizontal="left"/>
    </xf>
    <xf numFmtId="0" fontId="10" fillId="0" borderId="0" xfId="521" applyFont="1"/>
    <xf numFmtId="0" fontId="10" fillId="0" borderId="0" xfId="521" applyFont="1" applyFill="1" applyBorder="1"/>
    <xf numFmtId="1" fontId="42" fillId="0" borderId="0" xfId="521" applyNumberFormat="1" applyFont="1" applyFill="1" applyBorder="1" applyAlignment="1">
      <alignment horizontal="center"/>
    </xf>
    <xf numFmtId="0" fontId="10" fillId="0" borderId="0" xfId="521" applyFont="1" applyFill="1"/>
    <xf numFmtId="0" fontId="10" fillId="0" borderId="0" xfId="521" applyFont="1" applyFill="1" applyBorder="1" applyAlignment="1">
      <alignment horizontal="center"/>
    </xf>
    <xf numFmtId="0" fontId="49" fillId="0" borderId="0" xfId="521" applyFont="1" applyFill="1" applyBorder="1" applyAlignment="1">
      <alignment horizontal="left" vertical="center"/>
    </xf>
    <xf numFmtId="0" fontId="50" fillId="0" borderId="0" xfId="0" applyFont="1" applyBorder="1" applyAlignment="1">
      <alignment horizontal="left" vertical="center"/>
    </xf>
    <xf numFmtId="0" fontId="44" fillId="0" borderId="0" xfId="0" applyFont="1" applyFill="1" applyBorder="1" applyAlignment="1">
      <alignment vertical="top"/>
    </xf>
    <xf numFmtId="0" fontId="10" fillId="0" borderId="0" xfId="0" applyFont="1" applyProtection="1"/>
    <xf numFmtId="0" fontId="0" fillId="0" borderId="0" xfId="0" applyAlignment="1">
      <alignment horizontal="center"/>
    </xf>
    <xf numFmtId="0" fontId="23" fillId="0" borderId="0" xfId="0" applyFont="1" applyAlignment="1">
      <alignment horizontal="center" vertical="top"/>
    </xf>
    <xf numFmtId="0" fontId="10" fillId="0" borderId="0" xfId="0" applyFont="1" applyBorder="1" applyAlignment="1" applyProtection="1">
      <alignment vertical="center"/>
    </xf>
    <xf numFmtId="0" fontId="10" fillId="0" borderId="0" xfId="0" applyFont="1" applyFill="1" applyBorder="1" applyAlignment="1" applyProtection="1">
      <alignment vertical="center"/>
    </xf>
    <xf numFmtId="171" fontId="10" fillId="0" borderId="0" xfId="383" applyNumberFormat="1" applyFont="1" applyFill="1" applyBorder="1" applyAlignment="1">
      <alignment horizontal="left"/>
    </xf>
    <xf numFmtId="0" fontId="10" fillId="0" borderId="0" xfId="0" applyFont="1" applyBorder="1" applyProtection="1"/>
    <xf numFmtId="0" fontId="10" fillId="0" borderId="0" xfId="0" applyFont="1" applyAlignment="1" applyProtection="1">
      <alignment vertical="center"/>
    </xf>
    <xf numFmtId="0" fontId="10" fillId="0" borderId="0" xfId="0" applyFont="1" applyFill="1" applyAlignment="1" applyProtection="1">
      <alignment vertical="center"/>
    </xf>
    <xf numFmtId="0" fontId="10" fillId="33" borderId="0" xfId="0" applyFont="1" applyFill="1" applyBorder="1" applyAlignment="1" applyProtection="1">
      <alignment vertical="center"/>
    </xf>
    <xf numFmtId="1" fontId="10" fillId="33" borderId="9" xfId="379" applyNumberFormat="1" applyFont="1" applyFill="1" applyBorder="1" applyAlignment="1">
      <alignment horizontal="center"/>
    </xf>
    <xf numFmtId="0" fontId="10" fillId="0" borderId="0" xfId="0" applyFont="1" applyBorder="1" applyAlignment="1">
      <alignment horizontal="center"/>
    </xf>
    <xf numFmtId="0" fontId="44" fillId="0" borderId="0" xfId="0" applyFont="1" applyFill="1" applyBorder="1" applyAlignment="1">
      <alignment horizontal="center" vertical="center" wrapText="1"/>
    </xf>
    <xf numFmtId="3" fontId="47" fillId="0" borderId="0" xfId="0" applyNumberFormat="1" applyFont="1" applyBorder="1" applyAlignment="1">
      <alignment horizontal="center" vertical="center" wrapText="1"/>
    </xf>
    <xf numFmtId="0" fontId="42" fillId="34" borderId="0" xfId="0" applyFont="1" applyFill="1" applyBorder="1" applyAlignment="1">
      <alignment horizontal="center" vertical="center" wrapText="1"/>
    </xf>
    <xf numFmtId="3" fontId="42" fillId="34" borderId="0" xfId="0" applyNumberFormat="1" applyFont="1" applyFill="1" applyBorder="1" applyAlignment="1">
      <alignment horizontal="center" vertical="center" wrapText="1"/>
    </xf>
    <xf numFmtId="10" fontId="42" fillId="34" borderId="0" xfId="0" applyNumberFormat="1" applyFont="1" applyFill="1" applyBorder="1" applyAlignment="1">
      <alignment horizontal="center" vertical="center" wrapText="1"/>
    </xf>
    <xf numFmtId="3" fontId="42" fillId="34" borderId="0" xfId="0" applyNumberFormat="1" applyFont="1" applyFill="1" applyBorder="1" applyAlignment="1">
      <alignment horizontal="left" vertical="center"/>
    </xf>
    <xf numFmtId="0" fontId="10" fillId="34" borderId="0" xfId="0" applyFont="1" applyFill="1"/>
    <xf numFmtId="0" fontId="10" fillId="34" borderId="0" xfId="0" applyFont="1" applyFill="1" applyBorder="1"/>
    <xf numFmtId="0" fontId="50" fillId="0" borderId="0" xfId="0" applyFont="1" applyFill="1" applyBorder="1" applyAlignment="1">
      <alignment horizontal="left" vertical="center"/>
    </xf>
    <xf numFmtId="0" fontId="48" fillId="0" borderId="0" xfId="0" applyFont="1" applyAlignment="1" applyProtection="1">
      <alignment horizontal="left" vertical="center"/>
    </xf>
    <xf numFmtId="0" fontId="10" fillId="0" borderId="0" xfId="0" applyFont="1" applyAlignment="1" applyProtection="1">
      <alignment horizontal="left" vertical="center"/>
    </xf>
    <xf numFmtId="0" fontId="10" fillId="0" borderId="0" xfId="0" applyFont="1" applyAlignment="1" applyProtection="1">
      <alignment horizontal="left"/>
    </xf>
    <xf numFmtId="0" fontId="10" fillId="0" borderId="0" xfId="0" applyFont="1" applyAlignment="1">
      <alignment horizontal="left" indent="1"/>
    </xf>
    <xf numFmtId="49" fontId="10" fillId="33" borderId="0" xfId="383" applyNumberFormat="1" applyFont="1" applyFill="1" applyBorder="1" applyAlignment="1">
      <alignment horizontal="center"/>
    </xf>
    <xf numFmtId="49" fontId="10" fillId="0" borderId="0" xfId="383" applyNumberFormat="1" applyFont="1" applyFill="1" applyBorder="1" applyAlignment="1">
      <alignment horizontal="center"/>
    </xf>
    <xf numFmtId="0" fontId="10" fillId="0" borderId="0" xfId="0" applyFont="1" applyFill="1" applyAlignment="1">
      <alignment horizontal="center"/>
    </xf>
    <xf numFmtId="0" fontId="24" fillId="0" borderId="0" xfId="0" applyFont="1" applyAlignment="1">
      <alignment horizontal="left" vertical="top"/>
    </xf>
    <xf numFmtId="0" fontId="10" fillId="0" borderId="36" xfId="0" applyFont="1" applyFill="1" applyBorder="1" applyAlignment="1">
      <alignment horizontal="center"/>
    </xf>
    <xf numFmtId="49" fontId="10" fillId="0" borderId="15" xfId="0" applyNumberFormat="1" applyFont="1" applyFill="1" applyBorder="1" applyAlignment="1">
      <alignment horizontal="center"/>
    </xf>
    <xf numFmtId="49" fontId="17" fillId="0" borderId="9" xfId="516" applyNumberFormat="1" applyFont="1" applyFill="1" applyBorder="1" applyAlignment="1">
      <alignment horizontal="center"/>
    </xf>
    <xf numFmtId="49" fontId="17" fillId="0" borderId="2" xfId="516" applyNumberFormat="1" applyFont="1" applyFill="1" applyBorder="1" applyAlignment="1">
      <alignment horizontal="center"/>
    </xf>
    <xf numFmtId="166" fontId="10" fillId="0" borderId="1" xfId="0" applyNumberFormat="1" applyFont="1" applyFill="1" applyBorder="1" applyAlignment="1">
      <alignment horizontal="center"/>
    </xf>
    <xf numFmtId="166" fontId="10" fillId="0" borderId="8" xfId="0" applyNumberFormat="1" applyFont="1" applyFill="1" applyBorder="1" applyAlignment="1">
      <alignment horizontal="center"/>
    </xf>
    <xf numFmtId="17" fontId="10" fillId="0" borderId="23" xfId="0" applyNumberFormat="1" applyFont="1" applyBorder="1" applyAlignment="1">
      <alignment horizontal="center"/>
    </xf>
    <xf numFmtId="17" fontId="10" fillId="0" borderId="0" xfId="0" applyNumberFormat="1" applyFont="1" applyBorder="1" applyAlignment="1">
      <alignment horizontal="center"/>
    </xf>
    <xf numFmtId="0" fontId="17" fillId="0" borderId="0" xfId="0" applyFont="1"/>
    <xf numFmtId="49" fontId="44" fillId="0" borderId="7" xfId="0" applyNumberFormat="1" applyFont="1" applyBorder="1" applyAlignment="1">
      <alignment horizontal="center" vertical="center" wrapText="1"/>
    </xf>
    <xf numFmtId="1" fontId="10" fillId="0" borderId="0" xfId="0" applyNumberFormat="1" applyFont="1"/>
    <xf numFmtId="168" fontId="44" fillId="0" borderId="0" xfId="0" applyNumberFormat="1" applyFont="1" applyBorder="1" applyAlignment="1">
      <alignment horizontal="center" vertical="center" wrapText="1"/>
    </xf>
    <xf numFmtId="168" fontId="16" fillId="0" borderId="0" xfId="0" applyNumberFormat="1" applyFont="1" applyBorder="1" applyAlignment="1">
      <alignment horizontal="center" vertical="center" wrapText="1"/>
    </xf>
    <xf numFmtId="0" fontId="51" fillId="0" borderId="0" xfId="0" applyFont="1" applyBorder="1" applyAlignment="1">
      <alignment horizontal="center" vertical="center" wrapText="1"/>
    </xf>
    <xf numFmtId="0" fontId="51" fillId="0" borderId="0" xfId="0" applyFont="1" applyFill="1" applyBorder="1" applyAlignment="1">
      <alignment horizontal="center" vertical="center" wrapText="1"/>
    </xf>
    <xf numFmtId="0" fontId="44" fillId="0" borderId="44" xfId="0" applyFont="1" applyBorder="1" applyAlignment="1">
      <alignment horizontal="center" vertical="center" wrapText="1"/>
    </xf>
    <xf numFmtId="3" fontId="16" fillId="0" borderId="1" xfId="0" applyNumberFormat="1" applyFont="1" applyBorder="1" applyAlignment="1">
      <alignment horizontal="center" vertical="center" wrapText="1"/>
    </xf>
    <xf numFmtId="49" fontId="44" fillId="0" borderId="2" xfId="0" applyNumberFormat="1" applyFont="1" applyBorder="1" applyAlignment="1">
      <alignment horizontal="center" vertical="center" wrapText="1"/>
    </xf>
    <xf numFmtId="168" fontId="16" fillId="0" borderId="8" xfId="0" applyNumberFormat="1" applyFont="1" applyBorder="1" applyAlignment="1">
      <alignment horizontal="center" vertical="center" wrapText="1"/>
    </xf>
    <xf numFmtId="0" fontId="10" fillId="0" borderId="9" xfId="0" applyFont="1" applyBorder="1" applyAlignment="1">
      <alignment horizontal="center"/>
    </xf>
    <xf numFmtId="0" fontId="10" fillId="0" borderId="10" xfId="0" applyFont="1" applyBorder="1" applyAlignment="1">
      <alignment horizontal="center"/>
    </xf>
    <xf numFmtId="0" fontId="10" fillId="0" borderId="11" xfId="0" applyFont="1" applyBorder="1"/>
    <xf numFmtId="0" fontId="10" fillId="0" borderId="19" xfId="0" applyFont="1" applyFill="1" applyBorder="1"/>
    <xf numFmtId="49" fontId="10" fillId="0" borderId="2" xfId="0" applyNumberFormat="1" applyFont="1" applyFill="1" applyBorder="1" applyAlignment="1">
      <alignment horizontal="center" vertical="center" wrapText="1"/>
    </xf>
    <xf numFmtId="49" fontId="42" fillId="0" borderId="2" xfId="0" applyNumberFormat="1" applyFont="1" applyFill="1" applyBorder="1" applyAlignment="1">
      <alignment horizontal="center" vertical="center" wrapText="1"/>
    </xf>
    <xf numFmtId="49" fontId="42" fillId="0" borderId="9" xfId="0" applyNumberFormat="1" applyFont="1" applyFill="1" applyBorder="1" applyAlignment="1">
      <alignment horizontal="center" vertical="center" wrapText="1"/>
    </xf>
    <xf numFmtId="0" fontId="42" fillId="0" borderId="0" xfId="0" applyFont="1"/>
    <xf numFmtId="0" fontId="26" fillId="0" borderId="0" xfId="0" applyFont="1" applyFill="1" applyBorder="1"/>
    <xf numFmtId="0" fontId="44" fillId="0" borderId="28" xfId="0" applyFont="1" applyBorder="1" applyAlignment="1">
      <alignment horizontal="center" wrapText="1"/>
    </xf>
    <xf numFmtId="165" fontId="10" fillId="0" borderId="1" xfId="379" applyFont="1" applyFill="1" applyBorder="1"/>
    <xf numFmtId="1" fontId="42" fillId="33" borderId="8" xfId="0" applyNumberFormat="1" applyFont="1" applyFill="1" applyBorder="1" applyAlignment="1">
      <alignment horizontal="center"/>
    </xf>
    <xf numFmtId="1" fontId="10" fillId="33" borderId="21" xfId="0" applyNumberFormat="1" applyFont="1" applyFill="1" applyBorder="1" applyAlignment="1">
      <alignment horizontal="center"/>
    </xf>
    <xf numFmtId="3" fontId="44" fillId="0" borderId="1" xfId="0" applyNumberFormat="1" applyFont="1" applyBorder="1" applyAlignment="1">
      <alignment horizontal="center" vertical="center" wrapText="1"/>
    </xf>
    <xf numFmtId="173" fontId="25" fillId="0" borderId="0" xfId="524" applyNumberFormat="1" applyFont="1"/>
    <xf numFmtId="174" fontId="25" fillId="0" borderId="0" xfId="524" applyNumberFormat="1" applyFont="1"/>
    <xf numFmtId="175" fontId="25" fillId="0" borderId="0" xfId="379" applyNumberFormat="1" applyFont="1"/>
    <xf numFmtId="0" fontId="16" fillId="0" borderId="2" xfId="0" quotePrefix="1" applyFont="1" applyBorder="1" applyAlignment="1">
      <alignment horizontal="center" vertical="center" wrapText="1"/>
    </xf>
    <xf numFmtId="169" fontId="10" fillId="0" borderId="0" xfId="379" applyNumberFormat="1" applyFont="1" applyAlignment="1">
      <alignment horizontal="center"/>
    </xf>
    <xf numFmtId="169" fontId="10" fillId="0" borderId="0" xfId="379" applyNumberFormat="1" applyFont="1"/>
    <xf numFmtId="166" fontId="10" fillId="0" borderId="50" xfId="0" applyNumberFormat="1" applyFont="1" applyFill="1" applyBorder="1" applyAlignment="1">
      <alignment horizontal="center"/>
    </xf>
    <xf numFmtId="0" fontId="10" fillId="0" borderId="8" xfId="0" applyFont="1" applyBorder="1"/>
    <xf numFmtId="166" fontId="10" fillId="0" borderId="11" xfId="0" applyNumberFormat="1" applyFont="1" applyFill="1" applyBorder="1" applyAlignment="1">
      <alignment horizontal="center"/>
    </xf>
    <xf numFmtId="0" fontId="17" fillId="0" borderId="1" xfId="0" applyFont="1" applyFill="1" applyBorder="1" applyAlignment="1" applyProtection="1">
      <alignment horizontal="center" wrapText="1"/>
      <protection locked="0"/>
    </xf>
    <xf numFmtId="0" fontId="10" fillId="0" borderId="0" xfId="0" applyFont="1" applyProtection="1">
      <protection locked="0"/>
    </xf>
    <xf numFmtId="0" fontId="10" fillId="0" borderId="0" xfId="0" applyFont="1" applyAlignment="1" applyProtection="1">
      <alignment horizontal="center"/>
      <protection locked="0"/>
    </xf>
    <xf numFmtId="0" fontId="24" fillId="0" borderId="0" xfId="0" applyFont="1" applyAlignment="1" applyProtection="1">
      <alignment horizontal="left"/>
      <protection locked="0"/>
    </xf>
    <xf numFmtId="0" fontId="10" fillId="0" borderId="1" xfId="0" applyFont="1" applyBorder="1" applyAlignment="1" applyProtection="1">
      <alignment horizontal="center"/>
      <protection locked="0"/>
    </xf>
    <xf numFmtId="49" fontId="10" fillId="0" borderId="1" xfId="0" applyNumberFormat="1" applyFont="1" applyBorder="1" applyAlignment="1" applyProtection="1">
      <alignment horizontal="center"/>
      <protection locked="0"/>
    </xf>
    <xf numFmtId="17" fontId="10" fillId="0" borderId="0" xfId="0" applyNumberFormat="1" applyFont="1" applyBorder="1" applyAlignment="1" applyProtection="1">
      <alignment horizontal="center"/>
      <protection locked="0"/>
    </xf>
    <xf numFmtId="49" fontId="10" fillId="0" borderId="1" xfId="0" applyNumberFormat="1" applyFont="1" applyBorder="1" applyAlignment="1" applyProtection="1">
      <alignment horizontal="center" wrapText="1"/>
      <protection locked="0"/>
    </xf>
    <xf numFmtId="0" fontId="17" fillId="33" borderId="1" xfId="0" applyFont="1" applyFill="1" applyBorder="1" applyAlignment="1" applyProtection="1">
      <alignment horizontal="center" wrapText="1"/>
      <protection locked="0"/>
    </xf>
    <xf numFmtId="166" fontId="10" fillId="0" borderId="30" xfId="0" applyNumberFormat="1" applyFont="1" applyBorder="1" applyAlignment="1">
      <alignment horizontal="center"/>
    </xf>
    <xf numFmtId="166" fontId="10" fillId="0" borderId="29" xfId="0" applyNumberFormat="1" applyFont="1" applyBorder="1" applyAlignment="1">
      <alignment horizontal="center"/>
    </xf>
    <xf numFmtId="0" fontId="0" fillId="0" borderId="0" xfId="0" applyProtection="1">
      <protection locked="0"/>
    </xf>
    <xf numFmtId="0" fontId="50" fillId="0" borderId="0" xfId="0" applyFont="1" applyBorder="1" applyAlignment="1" applyProtection="1">
      <alignment horizontal="left" vertical="center"/>
      <protection locked="0"/>
    </xf>
    <xf numFmtId="0" fontId="10" fillId="0" borderId="0" xfId="0" applyFont="1" applyFill="1" applyProtection="1">
      <protection locked="0"/>
    </xf>
    <xf numFmtId="17" fontId="10" fillId="0" borderId="23" xfId="0" applyNumberFormat="1" applyFont="1" applyBorder="1" applyAlignment="1" applyProtection="1">
      <alignment horizontal="center"/>
      <protection locked="0"/>
    </xf>
    <xf numFmtId="169" fontId="10" fillId="0" borderId="23" xfId="379" applyNumberFormat="1" applyFont="1" applyFill="1" applyBorder="1" applyAlignment="1" applyProtection="1">
      <alignment horizontal="center"/>
      <protection locked="0"/>
    </xf>
    <xf numFmtId="165" fontId="10" fillId="0" borderId="1" xfId="379" applyFont="1" applyFill="1" applyBorder="1" applyProtection="1">
      <protection locked="0"/>
    </xf>
    <xf numFmtId="0" fontId="14" fillId="0" borderId="0" xfId="0" applyFont="1" applyProtection="1">
      <protection locked="0"/>
    </xf>
    <xf numFmtId="165" fontId="10" fillId="0" borderId="1" xfId="379" applyFont="1" applyBorder="1" applyAlignment="1" applyProtection="1">
      <alignment horizontal="center"/>
      <protection locked="0"/>
    </xf>
    <xf numFmtId="0" fontId="18" fillId="0" borderId="0" xfId="0" applyFont="1" applyAlignment="1" applyProtection="1">
      <alignment horizontal="center"/>
      <protection locked="0"/>
    </xf>
    <xf numFmtId="0" fontId="18" fillId="0" borderId="0" xfId="0" quotePrefix="1" applyFont="1" applyAlignment="1" applyProtection="1">
      <alignment horizontal="center"/>
      <protection locked="0"/>
    </xf>
    <xf numFmtId="0" fontId="17" fillId="0" borderId="0" xfId="0" applyFont="1" applyProtection="1">
      <protection locked="0"/>
    </xf>
    <xf numFmtId="10" fontId="17" fillId="0" borderId="0" xfId="0" applyNumberFormat="1" applyFont="1" applyAlignment="1" applyProtection="1">
      <alignment horizontal="center"/>
      <protection locked="0"/>
    </xf>
    <xf numFmtId="17" fontId="10" fillId="0" borderId="0" xfId="0" applyNumberFormat="1" applyFont="1" applyBorder="1" applyProtection="1">
      <protection locked="0"/>
    </xf>
    <xf numFmtId="172" fontId="10" fillId="0" borderId="0" xfId="379" applyNumberFormat="1" applyFont="1" applyBorder="1" applyProtection="1">
      <protection locked="0"/>
    </xf>
    <xf numFmtId="9" fontId="10" fillId="0" borderId="0" xfId="0" applyNumberFormat="1" applyFont="1" applyProtection="1">
      <protection locked="0"/>
    </xf>
    <xf numFmtId="0" fontId="17" fillId="0" borderId="19" xfId="0" applyFont="1" applyFill="1" applyBorder="1" applyAlignment="1">
      <alignment horizontal="center"/>
    </xf>
    <xf numFmtId="0" fontId="44" fillId="0" borderId="23" xfId="0" applyFont="1" applyBorder="1" applyAlignment="1">
      <alignment horizontal="center" vertical="center" wrapText="1"/>
    </xf>
    <xf numFmtId="3" fontId="42" fillId="0" borderId="1" xfId="0" applyNumberFormat="1" applyFont="1" applyBorder="1" applyAlignment="1">
      <alignment horizontal="center" vertical="center" wrapText="1"/>
    </xf>
    <xf numFmtId="0" fontId="10" fillId="0" borderId="37" xfId="0" applyFont="1" applyFill="1" applyBorder="1" applyAlignment="1">
      <alignment horizontal="left"/>
    </xf>
    <xf numFmtId="2" fontId="42" fillId="0" borderId="40" xfId="0" applyNumberFormat="1" applyFont="1" applyFill="1" applyBorder="1" applyAlignment="1">
      <alignment horizontal="center"/>
    </xf>
    <xf numFmtId="0" fontId="10" fillId="0" borderId="64" xfId="0" applyFont="1" applyFill="1" applyBorder="1" applyAlignment="1">
      <alignment horizontal="left"/>
    </xf>
    <xf numFmtId="0" fontId="10" fillId="0" borderId="26" xfId="0" applyFont="1" applyFill="1" applyBorder="1" applyAlignment="1">
      <alignment horizontal="center"/>
    </xf>
    <xf numFmtId="0" fontId="17" fillId="35" borderId="70" xfId="0" applyFont="1" applyFill="1" applyBorder="1" applyAlignment="1">
      <alignment horizontal="center"/>
    </xf>
    <xf numFmtId="0" fontId="17" fillId="35" borderId="71" xfId="0" applyFont="1" applyFill="1" applyBorder="1" applyAlignment="1">
      <alignment horizontal="center"/>
    </xf>
    <xf numFmtId="49" fontId="10" fillId="35" borderId="69" xfId="0" applyNumberFormat="1" applyFont="1" applyFill="1" applyBorder="1" applyAlignment="1">
      <alignment wrapText="1"/>
    </xf>
    <xf numFmtId="166" fontId="10" fillId="0" borderId="10" xfId="0" applyNumberFormat="1" applyFont="1" applyFill="1" applyBorder="1" applyAlignment="1">
      <alignment horizontal="center"/>
    </xf>
    <xf numFmtId="169" fontId="10" fillId="0" borderId="10" xfId="379" applyNumberFormat="1" applyFont="1" applyFill="1" applyBorder="1" applyAlignment="1">
      <alignment horizontal="center"/>
    </xf>
    <xf numFmtId="169" fontId="10" fillId="0" borderId="0" xfId="0" applyNumberFormat="1" applyFont="1"/>
    <xf numFmtId="0" fontId="0" fillId="0" borderId="66" xfId="0" applyBorder="1"/>
    <xf numFmtId="0" fontId="17" fillId="0" borderId="0" xfId="0" applyFont="1" applyFill="1" applyAlignment="1" applyProtection="1">
      <alignment horizontal="center" vertical="center"/>
      <protection locked="0"/>
    </xf>
    <xf numFmtId="0" fontId="53" fillId="0" borderId="1" xfId="0" applyFont="1" applyBorder="1" applyAlignment="1">
      <alignment horizontal="center"/>
    </xf>
    <xf numFmtId="0" fontId="53" fillId="0" borderId="15" xfId="0" applyFont="1" applyBorder="1" applyAlignment="1"/>
    <xf numFmtId="0" fontId="53" fillId="0" borderId="16" xfId="0" applyFont="1" applyBorder="1" applyAlignment="1"/>
    <xf numFmtId="0" fontId="10" fillId="0" borderId="0" xfId="0" applyFont="1" applyAlignment="1">
      <alignment horizontal="center" wrapText="1"/>
    </xf>
    <xf numFmtId="0" fontId="79" fillId="0" borderId="0" xfId="0" applyFont="1" applyAlignment="1">
      <alignment horizontal="left"/>
    </xf>
    <xf numFmtId="171" fontId="10" fillId="0" borderId="0" xfId="383" applyNumberFormat="1" applyFont="1" applyFill="1" applyBorder="1" applyAlignment="1"/>
    <xf numFmtId="0" fontId="53" fillId="0" borderId="37" xfId="0" applyFont="1" applyBorder="1" applyAlignment="1">
      <alignment horizontal="center" wrapText="1"/>
    </xf>
    <xf numFmtId="0" fontId="53" fillId="0" borderId="40" xfId="0" applyFont="1" applyBorder="1" applyAlignment="1">
      <alignment horizontal="center" wrapText="1"/>
    </xf>
    <xf numFmtId="3" fontId="53" fillId="0" borderId="30" xfId="0" applyNumberFormat="1" applyFont="1" applyBorder="1" applyAlignment="1">
      <alignment horizontal="center" vertical="center" wrapText="1"/>
    </xf>
    <xf numFmtId="3" fontId="53" fillId="0" borderId="8" xfId="0" applyNumberFormat="1" applyFont="1" applyBorder="1" applyAlignment="1">
      <alignment horizontal="center" vertical="center" wrapText="1"/>
    </xf>
    <xf numFmtId="0" fontId="53" fillId="0" borderId="49" xfId="0" applyFont="1" applyBorder="1" applyAlignment="1"/>
    <xf numFmtId="0" fontId="53" fillId="0" borderId="65" xfId="0" applyFont="1" applyBorder="1" applyAlignment="1"/>
    <xf numFmtId="3" fontId="53" fillId="0" borderId="53" xfId="0" applyNumberFormat="1" applyFont="1" applyBorder="1" applyAlignment="1">
      <alignment horizontal="center" vertical="center" wrapText="1"/>
    </xf>
    <xf numFmtId="3" fontId="53" fillId="0" borderId="21" xfId="0" applyNumberFormat="1" applyFont="1" applyBorder="1" applyAlignment="1">
      <alignment horizontal="center" vertical="center" wrapText="1"/>
    </xf>
    <xf numFmtId="3" fontId="53" fillId="0" borderId="22" xfId="0" applyNumberFormat="1" applyFont="1" applyBorder="1" applyAlignment="1">
      <alignment horizontal="center" vertical="center" wrapText="1"/>
    </xf>
    <xf numFmtId="49" fontId="53" fillId="0" borderId="1" xfId="0" applyNumberFormat="1" applyFont="1" applyBorder="1" applyAlignment="1">
      <alignment horizontal="center"/>
    </xf>
    <xf numFmtId="0" fontId="44" fillId="0" borderId="48" xfId="0" applyFont="1" applyFill="1" applyBorder="1" applyAlignment="1">
      <alignment horizontal="center" vertical="center" wrapText="1"/>
    </xf>
    <xf numFmtId="3" fontId="16" fillId="0" borderId="48" xfId="0" applyNumberFormat="1" applyFont="1" applyBorder="1" applyAlignment="1">
      <alignment horizontal="center" vertical="center" wrapText="1"/>
    </xf>
    <xf numFmtId="0" fontId="10" fillId="0" borderId="54" xfId="0" applyFont="1" applyBorder="1" applyAlignment="1">
      <alignment horizontal="center"/>
    </xf>
    <xf numFmtId="49" fontId="53" fillId="0" borderId="53" xfId="0" applyNumberFormat="1" applyFont="1" applyBorder="1" applyAlignment="1">
      <alignment horizontal="center"/>
    </xf>
    <xf numFmtId="49" fontId="53" fillId="0" borderId="21" xfId="0" applyNumberFormat="1" applyFont="1" applyBorder="1" applyAlignment="1">
      <alignment horizontal="center"/>
    </xf>
    <xf numFmtId="49" fontId="53" fillId="0" borderId="17" xfId="0" applyNumberFormat="1" applyFont="1" applyBorder="1" applyAlignment="1">
      <alignment horizontal="center"/>
    </xf>
    <xf numFmtId="0" fontId="51" fillId="0" borderId="35" xfId="636" applyFont="1" applyFill="1" applyBorder="1" applyAlignment="1">
      <alignment horizontal="center" vertical="center" wrapText="1"/>
    </xf>
    <xf numFmtId="165" fontId="16" fillId="0" borderId="1" xfId="379" applyFont="1" applyBorder="1" applyAlignment="1">
      <alignment horizontal="center" vertical="center" wrapText="1"/>
    </xf>
    <xf numFmtId="1" fontId="10" fillId="0" borderId="10" xfId="0" applyNumberFormat="1" applyFont="1" applyBorder="1" applyAlignment="1">
      <alignment horizontal="center"/>
    </xf>
    <xf numFmtId="3" fontId="53" fillId="0" borderId="54" xfId="0" applyNumberFormat="1" applyFont="1" applyBorder="1" applyAlignment="1">
      <alignment horizontal="center" vertical="center" wrapText="1"/>
    </xf>
    <xf numFmtId="3" fontId="53" fillId="0" borderId="48" xfId="0" applyNumberFormat="1" applyFont="1" applyBorder="1" applyAlignment="1">
      <alignment horizontal="center" vertical="center" wrapText="1"/>
    </xf>
    <xf numFmtId="172" fontId="10" fillId="0" borderId="8" xfId="379" applyNumberFormat="1" applyFont="1" applyFill="1" applyBorder="1" applyAlignment="1"/>
    <xf numFmtId="1" fontId="10" fillId="0" borderId="1" xfId="0" applyNumberFormat="1" applyFont="1" applyBorder="1" applyAlignment="1">
      <alignment horizontal="center"/>
    </xf>
    <xf numFmtId="165" fontId="10" fillId="0" borderId="1" xfId="0" applyNumberFormat="1" applyFont="1" applyBorder="1" applyAlignment="1">
      <alignment horizontal="center"/>
    </xf>
    <xf numFmtId="169" fontId="10" fillId="0" borderId="8" xfId="379" applyNumberFormat="1" applyFont="1" applyBorder="1" applyAlignment="1">
      <alignment horizontal="center"/>
    </xf>
    <xf numFmtId="169" fontId="10" fillId="0" borderId="11" xfId="379" applyNumberFormat="1" applyFont="1" applyBorder="1" applyAlignment="1">
      <alignment horizontal="center"/>
    </xf>
    <xf numFmtId="0" fontId="10" fillId="0" borderId="19" xfId="0" applyFont="1" applyBorder="1" applyAlignment="1">
      <alignment horizontal="center" wrapText="1"/>
    </xf>
    <xf numFmtId="0" fontId="10" fillId="0" borderId="12" xfId="0" applyFont="1" applyBorder="1" applyAlignment="1">
      <alignment horizontal="center" wrapText="1"/>
    </xf>
    <xf numFmtId="0" fontId="10" fillId="0" borderId="13" xfId="0" applyFont="1" applyBorder="1" applyAlignment="1">
      <alignment horizontal="center" wrapText="1"/>
    </xf>
    <xf numFmtId="175" fontId="10" fillId="0" borderId="48" xfId="0" applyNumberFormat="1" applyFont="1" applyBorder="1" applyAlignment="1">
      <alignment horizontal="center"/>
    </xf>
    <xf numFmtId="175" fontId="10" fillId="0" borderId="54" xfId="0" applyNumberFormat="1" applyFont="1" applyBorder="1" applyAlignment="1">
      <alignment horizontal="center"/>
    </xf>
    <xf numFmtId="169" fontId="10" fillId="0" borderId="21" xfId="379" applyNumberFormat="1" applyFont="1" applyBorder="1" applyAlignment="1">
      <alignment horizontal="center"/>
    </xf>
    <xf numFmtId="169" fontId="10" fillId="0" borderId="22" xfId="379" applyNumberFormat="1" applyFont="1" applyBorder="1" applyAlignment="1">
      <alignment horizontal="center"/>
    </xf>
    <xf numFmtId="0" fontId="10" fillId="0" borderId="34" xfId="0" applyFont="1" applyBorder="1" applyAlignment="1">
      <alignment horizontal="center" wrapText="1"/>
    </xf>
    <xf numFmtId="3" fontId="10" fillId="0" borderId="0" xfId="0" applyNumberFormat="1" applyFont="1" applyAlignment="1">
      <alignment horizontal="center"/>
    </xf>
    <xf numFmtId="0" fontId="82" fillId="0" borderId="0" xfId="0" applyFont="1" applyAlignment="1">
      <alignment horizontal="left"/>
    </xf>
    <xf numFmtId="1" fontId="44" fillId="0" borderId="2" xfId="0" applyNumberFormat="1" applyFont="1" applyBorder="1" applyAlignment="1">
      <alignment horizontal="center" vertical="center" wrapText="1"/>
    </xf>
    <xf numFmtId="0" fontId="51" fillId="0" borderId="34" xfId="636" applyFont="1" applyFill="1" applyBorder="1" applyAlignment="1">
      <alignment horizontal="center" vertical="center" wrapText="1"/>
    </xf>
    <xf numFmtId="165" fontId="44" fillId="0" borderId="48" xfId="379" applyFont="1" applyBorder="1" applyAlignment="1">
      <alignment horizontal="center" vertical="center" wrapText="1"/>
    </xf>
    <xf numFmtId="171" fontId="10" fillId="0" borderId="8" xfId="383" applyNumberFormat="1" applyFont="1" applyFill="1" applyBorder="1" applyAlignment="1"/>
    <xf numFmtId="165" fontId="10" fillId="0" borderId="10" xfId="0" applyNumberFormat="1" applyFont="1" applyBorder="1" applyAlignment="1">
      <alignment horizontal="center"/>
    </xf>
    <xf numFmtId="175" fontId="44" fillId="0" borderId="1" xfId="379" applyNumberFormat="1" applyFont="1" applyBorder="1" applyAlignment="1">
      <alignment horizontal="center" vertical="center" wrapText="1"/>
    </xf>
    <xf numFmtId="0" fontId="51" fillId="0" borderId="33" xfId="636" applyFont="1" applyBorder="1" applyAlignment="1">
      <alignment horizontal="center" vertical="center" wrapText="1"/>
    </xf>
    <xf numFmtId="171" fontId="10" fillId="0" borderId="11" xfId="383" applyNumberFormat="1" applyFont="1" applyFill="1" applyBorder="1" applyAlignment="1"/>
    <xf numFmtId="176" fontId="16" fillId="0" borderId="1" xfId="0" applyNumberFormat="1" applyFont="1" applyBorder="1" applyAlignment="1">
      <alignment horizontal="center" vertical="center" wrapText="1"/>
    </xf>
    <xf numFmtId="0" fontId="25" fillId="0" borderId="0" xfId="524" applyFont="1"/>
    <xf numFmtId="169" fontId="10" fillId="0" borderId="1" xfId="379" applyNumberFormat="1" applyFont="1" applyFill="1" applyBorder="1" applyAlignment="1">
      <alignment horizontal="center"/>
    </xf>
    <xf numFmtId="169" fontId="10" fillId="0" borderId="8" xfId="379" applyNumberFormat="1" applyFont="1" applyFill="1" applyBorder="1" applyAlignment="1">
      <alignment horizontal="center"/>
    </xf>
    <xf numFmtId="169" fontId="10" fillId="0" borderId="2" xfId="379" applyNumberFormat="1" applyFont="1" applyBorder="1"/>
    <xf numFmtId="169" fontId="10" fillId="0" borderId="9" xfId="379" applyNumberFormat="1" applyFont="1" applyBorder="1"/>
    <xf numFmtId="0" fontId="51" fillId="0" borderId="12" xfId="636" applyFont="1" applyFill="1" applyBorder="1" applyAlignment="1">
      <alignment horizontal="center" vertical="center" wrapText="1"/>
    </xf>
    <xf numFmtId="0" fontId="51" fillId="0" borderId="13" xfId="636" applyFont="1" applyFill="1" applyBorder="1" applyAlignment="1">
      <alignment horizontal="center" vertical="center" wrapText="1"/>
    </xf>
    <xf numFmtId="0" fontId="51" fillId="0" borderId="19" xfId="636" applyFont="1" applyBorder="1" applyAlignment="1">
      <alignment horizontal="center" vertical="center" wrapText="1"/>
    </xf>
    <xf numFmtId="169" fontId="10" fillId="0" borderId="11" xfId="379" applyNumberFormat="1" applyFont="1" applyFill="1" applyBorder="1" applyAlignment="1">
      <alignment horizontal="center"/>
    </xf>
    <xf numFmtId="169" fontId="10" fillId="33" borderId="1" xfId="379" applyNumberFormat="1" applyFont="1" applyFill="1" applyBorder="1"/>
    <xf numFmtId="165" fontId="101" fillId="62" borderId="4" xfId="379" applyFont="1" applyFill="1" applyBorder="1" applyAlignment="1">
      <alignment horizontal="center" vertical="center"/>
    </xf>
    <xf numFmtId="0" fontId="14" fillId="0" borderId="0" xfId="0" applyFont="1" applyAlignment="1">
      <alignment horizontal="center" vertical="center"/>
    </xf>
    <xf numFmtId="0" fontId="10" fillId="0" borderId="27" xfId="521" applyFont="1" applyBorder="1"/>
    <xf numFmtId="0" fontId="10" fillId="0" borderId="74" xfId="521" applyFont="1" applyBorder="1"/>
    <xf numFmtId="0" fontId="10" fillId="0" borderId="28" xfId="521" applyFont="1" applyBorder="1" applyAlignment="1">
      <alignment horizontal="center"/>
    </xf>
    <xf numFmtId="169" fontId="10" fillId="0" borderId="29" xfId="379" applyNumberFormat="1" applyFont="1" applyFill="1" applyBorder="1" applyAlignment="1">
      <alignment horizontal="center"/>
    </xf>
    <xf numFmtId="3" fontId="10" fillId="0" borderId="73" xfId="379" applyNumberFormat="1" applyFont="1" applyFill="1" applyBorder="1" applyAlignment="1">
      <alignment horizontal="center"/>
    </xf>
    <xf numFmtId="3" fontId="10" fillId="0" borderId="29" xfId="379" applyNumberFormat="1" applyFont="1" applyFill="1" applyBorder="1" applyAlignment="1">
      <alignment horizontal="center"/>
    </xf>
    <xf numFmtId="0" fontId="10" fillId="0" borderId="22" xfId="0" applyFont="1" applyBorder="1"/>
    <xf numFmtId="3" fontId="44" fillId="0" borderId="23" xfId="0" applyNumberFormat="1" applyFont="1" applyFill="1" applyBorder="1" applyAlignment="1">
      <alignment horizontal="center" vertical="center" wrapText="1"/>
    </xf>
    <xf numFmtId="3" fontId="44" fillId="0" borderId="30" xfId="0" applyNumberFormat="1" applyFont="1" applyFill="1" applyBorder="1" applyAlignment="1">
      <alignment horizontal="center" vertical="center" wrapText="1"/>
    </xf>
    <xf numFmtId="0" fontId="44" fillId="0" borderId="37" xfId="0" applyFont="1" applyBorder="1" applyAlignment="1">
      <alignment horizontal="center" vertical="center" wrapText="1"/>
    </xf>
    <xf numFmtId="0" fontId="44" fillId="0" borderId="26" xfId="0" applyFont="1" applyBorder="1" applyAlignment="1">
      <alignment horizontal="center" vertical="center" wrapText="1"/>
    </xf>
    <xf numFmtId="0" fontId="44" fillId="0" borderId="26" xfId="0" applyFont="1" applyFill="1" applyBorder="1" applyAlignment="1">
      <alignment horizontal="center" vertical="center" wrapText="1"/>
    </xf>
    <xf numFmtId="0" fontId="44" fillId="0" borderId="40" xfId="0" applyFont="1" applyBorder="1" applyAlignment="1">
      <alignment horizontal="center" vertical="center" wrapText="1"/>
    </xf>
    <xf numFmtId="0" fontId="44" fillId="0" borderId="28" xfId="0" applyFont="1" applyFill="1" applyBorder="1" applyAlignment="1">
      <alignment horizontal="center" vertical="center" wrapText="1"/>
    </xf>
    <xf numFmtId="0" fontId="44" fillId="0" borderId="29" xfId="0" applyFont="1" applyBorder="1" applyAlignment="1">
      <alignment horizontal="center" vertical="center" wrapText="1"/>
    </xf>
    <xf numFmtId="0" fontId="51" fillId="0" borderId="20" xfId="636" applyFont="1" applyBorder="1" applyAlignment="1">
      <alignment horizontal="center" vertical="center" wrapText="1"/>
    </xf>
    <xf numFmtId="0" fontId="44" fillId="0" borderId="21" xfId="0" applyFont="1" applyFill="1" applyBorder="1" applyAlignment="1">
      <alignment horizontal="center" vertical="center" wrapText="1"/>
    </xf>
    <xf numFmtId="0" fontId="42" fillId="0" borderId="21" xfId="0" applyFont="1" applyBorder="1" applyAlignment="1">
      <alignment horizontal="center" vertical="center" wrapText="1"/>
    </xf>
    <xf numFmtId="0" fontId="16" fillId="0" borderId="53" xfId="0" quotePrefix="1" applyFont="1" applyBorder="1" applyAlignment="1">
      <alignment horizontal="center" vertical="center" wrapText="1"/>
    </xf>
    <xf numFmtId="0" fontId="10" fillId="0" borderId="22" xfId="0" applyFont="1" applyBorder="1" applyAlignment="1">
      <alignment horizontal="center"/>
    </xf>
    <xf numFmtId="0" fontId="10" fillId="0" borderId="20" xfId="0" applyFont="1" applyBorder="1" applyAlignment="1">
      <alignment horizontal="center" wrapText="1"/>
    </xf>
    <xf numFmtId="49" fontId="10" fillId="0" borderId="21" xfId="0" applyNumberFormat="1" applyFont="1" applyBorder="1" applyAlignment="1">
      <alignment horizontal="center"/>
    </xf>
    <xf numFmtId="49" fontId="10" fillId="0" borderId="22" xfId="0" applyNumberFormat="1" applyFont="1" applyBorder="1" applyAlignment="1">
      <alignment horizontal="center"/>
    </xf>
    <xf numFmtId="0" fontId="16" fillId="0" borderId="21" xfId="0" quotePrefix="1" applyFont="1" applyBorder="1" applyAlignment="1">
      <alignment horizontal="center" vertical="center" wrapText="1"/>
    </xf>
    <xf numFmtId="49" fontId="10" fillId="35" borderId="97" xfId="0" applyNumberFormat="1" applyFont="1" applyFill="1" applyBorder="1" applyAlignment="1">
      <alignment wrapText="1"/>
    </xf>
    <xf numFmtId="0" fontId="17" fillId="35" borderId="98" xfId="0" applyFont="1" applyFill="1" applyBorder="1" applyAlignment="1">
      <alignment horizontal="center"/>
    </xf>
    <xf numFmtId="0" fontId="17" fillId="35" borderId="99" xfId="0" applyFont="1" applyFill="1" applyBorder="1" applyAlignment="1">
      <alignment horizontal="center"/>
    </xf>
    <xf numFmtId="0" fontId="59" fillId="0" borderId="0" xfId="0" applyFont="1" applyAlignment="1">
      <alignment vertical="center" wrapText="1"/>
    </xf>
    <xf numFmtId="0" fontId="23" fillId="0" borderId="0" xfId="0" applyFont="1" applyAlignment="1">
      <alignment horizontal="center" vertical="top"/>
    </xf>
    <xf numFmtId="0" fontId="14" fillId="0" borderId="0" xfId="0" applyFont="1"/>
    <xf numFmtId="17" fontId="10" fillId="62" borderId="23" xfId="0" applyNumberFormat="1" applyFont="1" applyFill="1" applyBorder="1" applyAlignment="1" applyProtection="1">
      <alignment horizontal="center"/>
      <protection locked="0"/>
    </xf>
    <xf numFmtId="3" fontId="10" fillId="33" borderId="2" xfId="0" applyNumberFormat="1" applyFont="1" applyFill="1" applyBorder="1" applyAlignment="1">
      <alignment horizontal="center"/>
    </xf>
    <xf numFmtId="165" fontId="10" fillId="33" borderId="1" xfId="379" applyNumberFormat="1" applyFont="1" applyFill="1" applyBorder="1" applyAlignment="1">
      <alignment horizontal="center"/>
    </xf>
    <xf numFmtId="3" fontId="10" fillId="33" borderId="23" xfId="379" applyNumberFormat="1" applyFont="1" applyFill="1" applyBorder="1" applyAlignment="1">
      <alignment horizontal="center" vertical="center"/>
    </xf>
    <xf numFmtId="169" fontId="10" fillId="33" borderId="1" xfId="379" applyNumberFormat="1" applyFont="1" applyFill="1" applyBorder="1" applyAlignment="1">
      <alignment horizontal="center"/>
    </xf>
    <xf numFmtId="169" fontId="10" fillId="33" borderId="1" xfId="379" applyNumberFormat="1" applyFont="1" applyFill="1" applyBorder="1" applyAlignment="1">
      <alignment horizontal="center"/>
    </xf>
    <xf numFmtId="165" fontId="10" fillId="0" borderId="1" xfId="379" applyFont="1" applyBorder="1" applyAlignment="1">
      <alignment horizontal="center"/>
    </xf>
    <xf numFmtId="10" fontId="10" fillId="0" borderId="1" xfId="933" applyNumberFormat="1" applyFont="1" applyBorder="1" applyAlignment="1">
      <alignment horizontal="center"/>
    </xf>
    <xf numFmtId="0" fontId="17" fillId="0" borderId="1" xfId="1413" applyFont="1" applyBorder="1" applyAlignment="1">
      <alignment horizontal="center"/>
    </xf>
    <xf numFmtId="0" fontId="17" fillId="0" borderId="1" xfId="521" applyFont="1" applyBorder="1" applyAlignment="1">
      <alignment horizontal="center"/>
    </xf>
    <xf numFmtId="0" fontId="10" fillId="0" borderId="0" xfId="0" applyFont="1"/>
    <xf numFmtId="0" fontId="10" fillId="0" borderId="0" xfId="0" applyFont="1" applyFill="1" applyBorder="1" applyAlignment="1">
      <alignment horizontal="center"/>
    </xf>
    <xf numFmtId="3" fontId="44" fillId="0" borderId="1" xfId="0" applyNumberFormat="1" applyFont="1" applyBorder="1" applyAlignment="1">
      <alignment horizontal="center" vertical="center" wrapText="1"/>
    </xf>
    <xf numFmtId="3" fontId="42" fillId="33" borderId="8" xfId="0" applyNumberFormat="1" applyFont="1" applyFill="1" applyBorder="1" applyAlignment="1">
      <alignment horizontal="center"/>
    </xf>
    <xf numFmtId="3" fontId="10" fillId="33" borderId="1" xfId="0" applyNumberFormat="1" applyFont="1" applyFill="1" applyBorder="1" applyAlignment="1">
      <alignment horizontal="center"/>
    </xf>
    <xf numFmtId="3" fontId="10" fillId="33" borderId="2" xfId="379" applyNumberFormat="1" applyFont="1" applyFill="1" applyBorder="1" applyAlignment="1">
      <alignment horizontal="center"/>
    </xf>
    <xf numFmtId="3" fontId="10" fillId="33" borderId="21" xfId="0" applyNumberFormat="1" applyFont="1" applyFill="1" applyBorder="1" applyAlignment="1">
      <alignment horizontal="center"/>
    </xf>
    <xf numFmtId="0" fontId="0" fillId="0" borderId="0" xfId="0" applyFill="1" applyBorder="1" applyAlignment="1"/>
    <xf numFmtId="0" fontId="0" fillId="0" borderId="25" xfId="0" applyFill="1" applyBorder="1" applyAlignment="1"/>
    <xf numFmtId="0" fontId="17" fillId="0" borderId="77" xfId="0" applyFont="1" applyBorder="1" applyAlignment="1" applyProtection="1">
      <alignment horizontal="center" wrapText="1"/>
      <protection locked="0"/>
    </xf>
    <xf numFmtId="0" fontId="17" fillId="0" borderId="77" xfId="0" applyFont="1" applyFill="1" applyBorder="1" applyAlignment="1" applyProtection="1">
      <alignment horizontal="center" wrapText="1"/>
      <protection locked="0"/>
    </xf>
    <xf numFmtId="0" fontId="58" fillId="0" borderId="77" xfId="0" applyFont="1" applyFill="1" applyBorder="1" applyAlignment="1" applyProtection="1">
      <alignment vertical="center" wrapText="1"/>
      <protection locked="0"/>
    </xf>
    <xf numFmtId="17" fontId="10" fillId="0" borderId="1" xfId="0" applyNumberFormat="1" applyFont="1" applyBorder="1" applyAlignment="1" applyProtection="1">
      <alignment horizontal="center"/>
      <protection locked="0"/>
    </xf>
    <xf numFmtId="0" fontId="17" fillId="0" borderId="1" xfId="0" applyFont="1" applyBorder="1" applyAlignment="1" applyProtection="1">
      <alignment horizontal="center" wrapText="1"/>
      <protection locked="0"/>
    </xf>
    <xf numFmtId="0" fontId="10" fillId="0" borderId="77" xfId="0" applyFont="1" applyBorder="1" applyAlignment="1" applyProtection="1">
      <alignment horizontal="center"/>
      <protection locked="0"/>
    </xf>
    <xf numFmtId="0" fontId="0" fillId="0" borderId="0" xfId="0" applyBorder="1" applyProtection="1">
      <protection locked="0"/>
    </xf>
    <xf numFmtId="169" fontId="10" fillId="0" borderId="1" xfId="379" applyNumberFormat="1" applyFont="1" applyFill="1" applyBorder="1" applyAlignment="1" applyProtection="1">
      <alignment horizontal="center"/>
      <protection locked="0"/>
    </xf>
    <xf numFmtId="0" fontId="105" fillId="0" borderId="0" xfId="0" applyFont="1" applyProtection="1">
      <protection locked="0"/>
    </xf>
    <xf numFmtId="0" fontId="17" fillId="0" borderId="42" xfId="0" applyFont="1" applyBorder="1" applyAlignment="1" applyProtection="1">
      <alignment horizontal="center"/>
      <protection locked="0"/>
    </xf>
    <xf numFmtId="2" fontId="17" fillId="33" borderId="23" xfId="379" applyNumberFormat="1" applyFont="1" applyFill="1" applyBorder="1" applyAlignment="1" applyProtection="1">
      <alignment horizontal="center" wrapText="1"/>
      <protection locked="0"/>
    </xf>
    <xf numFmtId="2" fontId="17" fillId="33" borderId="1" xfId="379" applyNumberFormat="1" applyFont="1" applyFill="1" applyBorder="1" applyAlignment="1" applyProtection="1">
      <alignment horizontal="center" wrapText="1"/>
      <protection locked="0"/>
    </xf>
    <xf numFmtId="0" fontId="17" fillId="0" borderId="66" xfId="0" applyFont="1" applyBorder="1" applyProtection="1">
      <protection locked="0"/>
    </xf>
    <xf numFmtId="0" fontId="17" fillId="0" borderId="0" xfId="0" applyFont="1" applyFill="1" applyProtection="1">
      <protection locked="0"/>
    </xf>
    <xf numFmtId="0" fontId="17" fillId="0" borderId="0" xfId="0" applyFont="1" applyAlignment="1" applyProtection="1">
      <alignment horizontal="center"/>
      <protection locked="0"/>
    </xf>
    <xf numFmtId="2" fontId="20" fillId="33" borderId="4" xfId="379" applyNumberFormat="1" applyFont="1" applyFill="1" applyBorder="1" applyAlignment="1" applyProtection="1">
      <alignment horizontal="center"/>
      <protection locked="0"/>
    </xf>
    <xf numFmtId="0" fontId="53" fillId="0" borderId="0" xfId="0" applyFont="1" applyBorder="1" applyAlignment="1">
      <alignment horizontal="center"/>
    </xf>
    <xf numFmtId="0" fontId="53" fillId="0" borderId="0" xfId="0" applyFont="1" applyBorder="1" applyAlignment="1"/>
    <xf numFmtId="1" fontId="10" fillId="33" borderId="23" xfId="634" applyNumberFormat="1" applyFont="1" applyFill="1" applyBorder="1" applyAlignment="1">
      <alignment horizontal="center"/>
    </xf>
    <xf numFmtId="165" fontId="10" fillId="62" borderId="23" xfId="379" applyFont="1" applyFill="1" applyBorder="1" applyAlignment="1" applyProtection="1">
      <alignment horizontal="center"/>
      <protection locked="0"/>
    </xf>
    <xf numFmtId="1" fontId="10" fillId="33" borderId="1" xfId="379" applyNumberFormat="1" applyFont="1" applyFill="1" applyBorder="1" applyAlignment="1" applyProtection="1">
      <alignment horizontal="center"/>
      <protection locked="0"/>
    </xf>
    <xf numFmtId="1" fontId="10" fillId="33" borderId="1" xfId="0" applyNumberFormat="1" applyFont="1" applyFill="1" applyBorder="1" applyProtection="1">
      <protection locked="0"/>
    </xf>
    <xf numFmtId="1" fontId="10" fillId="33" borderId="23" xfId="379" applyNumberFormat="1" applyFont="1" applyFill="1" applyBorder="1" applyAlignment="1" applyProtection="1">
      <alignment horizontal="center"/>
      <protection locked="0"/>
    </xf>
    <xf numFmtId="1" fontId="10" fillId="33" borderId="23" xfId="0" applyNumberFormat="1" applyFont="1" applyFill="1" applyBorder="1" applyProtection="1">
      <protection locked="0"/>
    </xf>
    <xf numFmtId="1" fontId="10" fillId="62" borderId="23" xfId="379" applyNumberFormat="1" applyFont="1" applyFill="1" applyBorder="1" applyAlignment="1" applyProtection="1">
      <alignment horizontal="center"/>
      <protection locked="0"/>
    </xf>
    <xf numFmtId="1" fontId="10" fillId="62" borderId="23" xfId="0" applyNumberFormat="1" applyFont="1" applyFill="1" applyBorder="1" applyProtection="1">
      <protection locked="0"/>
    </xf>
    <xf numFmtId="0" fontId="104" fillId="0" borderId="0" xfId="0" applyFont="1" applyFill="1" applyBorder="1" applyAlignment="1" applyProtection="1">
      <alignment horizontal="left" vertical="center" wrapText="1"/>
      <protection locked="0"/>
    </xf>
    <xf numFmtId="165" fontId="10" fillId="0" borderId="0" xfId="379" applyFont="1" applyAlignment="1">
      <alignment horizontal="center"/>
    </xf>
    <xf numFmtId="165" fontId="10" fillId="0" borderId="0" xfId="379" applyFont="1" applyAlignment="1" applyProtection="1">
      <alignment horizontal="center"/>
      <protection locked="0"/>
    </xf>
    <xf numFmtId="165" fontId="50" fillId="0" borderId="0" xfId="379" applyFont="1" applyBorder="1" applyAlignment="1" applyProtection="1">
      <alignment horizontal="left" vertical="center"/>
      <protection locked="0"/>
    </xf>
    <xf numFmtId="165" fontId="17" fillId="0" borderId="0" xfId="379" applyFont="1" applyAlignment="1" applyProtection="1">
      <alignment horizontal="center"/>
      <protection locked="0"/>
    </xf>
    <xf numFmtId="165" fontId="17" fillId="0" borderId="42" xfId="379" applyFont="1" applyBorder="1" applyAlignment="1" applyProtection="1">
      <alignment horizontal="center" wrapText="1"/>
      <protection locked="0"/>
    </xf>
    <xf numFmtId="165" fontId="17" fillId="0" borderId="77" xfId="379" applyFont="1" applyBorder="1" applyAlignment="1" applyProtection="1">
      <alignment horizontal="center" wrapText="1"/>
      <protection locked="0"/>
    </xf>
    <xf numFmtId="165" fontId="10" fillId="33" borderId="1" xfId="379" applyFont="1" applyFill="1" applyBorder="1" applyAlignment="1" applyProtection="1">
      <alignment horizontal="center"/>
      <protection locked="0"/>
    </xf>
    <xf numFmtId="165" fontId="10" fillId="0" borderId="0" xfId="379" applyFont="1" applyBorder="1" applyProtection="1">
      <protection locked="0"/>
    </xf>
    <xf numFmtId="165" fontId="10" fillId="0" borderId="0" xfId="379" applyFont="1" applyBorder="1"/>
    <xf numFmtId="165" fontId="63" fillId="0" borderId="17" xfId="379" applyFont="1" applyBorder="1" applyAlignment="1">
      <alignment horizontal="center"/>
    </xf>
    <xf numFmtId="165" fontId="63" fillId="0" borderId="21" xfId="379" applyFont="1" applyBorder="1" applyAlignment="1">
      <alignment horizontal="center"/>
    </xf>
    <xf numFmtId="165" fontId="63" fillId="0" borderId="53" xfId="379" applyFont="1" applyBorder="1" applyAlignment="1">
      <alignment horizontal="center"/>
    </xf>
    <xf numFmtId="165" fontId="63" fillId="0" borderId="1" xfId="379" applyFont="1" applyBorder="1" applyAlignment="1">
      <alignment horizontal="center"/>
    </xf>
    <xf numFmtId="165" fontId="102" fillId="0" borderId="1" xfId="379" applyFont="1" applyBorder="1"/>
    <xf numFmtId="0" fontId="10" fillId="0" borderId="0" xfId="0" applyFont="1" applyAlignment="1"/>
    <xf numFmtId="0" fontId="10" fillId="0" borderId="0" xfId="0" applyFont="1" applyAlignment="1" applyProtection="1">
      <protection locked="0"/>
    </xf>
    <xf numFmtId="2" fontId="10" fillId="0" borderId="23" xfId="379" applyNumberFormat="1" applyFont="1" applyFill="1" applyBorder="1" applyAlignment="1" applyProtection="1">
      <protection locked="0"/>
    </xf>
    <xf numFmtId="165" fontId="10" fillId="0" borderId="0" xfId="0" applyNumberFormat="1" applyFont="1" applyAlignment="1"/>
    <xf numFmtId="165" fontId="63" fillId="0" borderId="0" xfId="379" applyFont="1" applyBorder="1" applyAlignment="1">
      <alignment horizontal="center"/>
    </xf>
    <xf numFmtId="49" fontId="10" fillId="0" borderId="0" xfId="0" applyNumberFormat="1" applyFont="1" applyBorder="1" applyAlignment="1" applyProtection="1">
      <alignment horizontal="center"/>
      <protection locked="0"/>
    </xf>
    <xf numFmtId="165" fontId="10" fillId="0" borderId="0" xfId="379" applyFont="1" applyBorder="1" applyAlignment="1" applyProtection="1">
      <alignment horizontal="center"/>
      <protection locked="0"/>
    </xf>
    <xf numFmtId="0" fontId="0" fillId="0" borderId="0" xfId="0" applyBorder="1" applyAlignment="1">
      <alignment vertical="center"/>
    </xf>
    <xf numFmtId="0" fontId="10" fillId="35" borderId="2" xfId="0" applyFont="1" applyFill="1" applyBorder="1" applyAlignment="1">
      <alignment wrapText="1"/>
    </xf>
    <xf numFmtId="0" fontId="10" fillId="35" borderId="9" xfId="0" applyFont="1" applyFill="1" applyBorder="1" applyAlignment="1">
      <alignment wrapText="1"/>
    </xf>
    <xf numFmtId="0" fontId="10" fillId="35" borderId="19" xfId="0" applyFont="1" applyFill="1" applyBorder="1" applyAlignment="1">
      <alignment wrapText="1"/>
    </xf>
    <xf numFmtId="49" fontId="10" fillId="35" borderId="2" xfId="0" applyNumberFormat="1" applyFont="1" applyFill="1" applyBorder="1" applyAlignment="1">
      <alignment wrapText="1"/>
    </xf>
    <xf numFmtId="0" fontId="17" fillId="0" borderId="100" xfId="0" applyFont="1" applyBorder="1" applyAlignment="1">
      <alignment wrapText="1"/>
    </xf>
    <xf numFmtId="0" fontId="17" fillId="0" borderId="101" xfId="0" applyFont="1" applyBorder="1" applyAlignment="1">
      <alignment horizontal="center" wrapText="1"/>
    </xf>
    <xf numFmtId="0" fontId="17" fillId="0" borderId="102" xfId="0" applyFont="1" applyBorder="1" applyAlignment="1">
      <alignment horizontal="center" wrapText="1"/>
    </xf>
    <xf numFmtId="49" fontId="10" fillId="35" borderId="41" xfId="0" applyNumberFormat="1" applyFont="1" applyFill="1" applyBorder="1" applyAlignment="1">
      <alignment wrapText="1"/>
    </xf>
    <xf numFmtId="0" fontId="10" fillId="35" borderId="37" xfId="0" applyFont="1" applyFill="1" applyBorder="1" applyAlignment="1">
      <alignment wrapText="1"/>
    </xf>
    <xf numFmtId="2" fontId="10" fillId="0" borderId="1" xfId="379" applyNumberFormat="1" applyFont="1" applyBorder="1" applyAlignment="1" applyProtection="1">
      <protection locked="0"/>
    </xf>
    <xf numFmtId="0" fontId="106" fillId="0" borderId="0" xfId="0" applyFont="1" applyFill="1" applyBorder="1" applyAlignment="1" applyProtection="1">
      <alignment horizontal="center" vertical="center" wrapText="1"/>
      <protection locked="0"/>
    </xf>
    <xf numFmtId="0" fontId="19" fillId="0" borderId="0" xfId="0" applyFont="1" applyAlignment="1" applyProtection="1">
      <alignment horizontal="left"/>
      <protection locked="0"/>
    </xf>
    <xf numFmtId="0" fontId="107" fillId="0" borderId="0" xfId="0" applyFont="1" applyBorder="1" applyAlignment="1"/>
    <xf numFmtId="0" fontId="10" fillId="33" borderId="0" xfId="0" applyFont="1" applyFill="1"/>
    <xf numFmtId="2" fontId="10" fillId="63" borderId="23" xfId="379" applyNumberFormat="1" applyFont="1" applyFill="1" applyBorder="1" applyAlignment="1" applyProtection="1">
      <alignment horizontal="center"/>
      <protection locked="0"/>
    </xf>
    <xf numFmtId="0" fontId="10" fillId="63" borderId="0" xfId="0" applyFont="1" applyFill="1"/>
    <xf numFmtId="0" fontId="17" fillId="64" borderId="1" xfId="0" applyFont="1" applyFill="1" applyBorder="1" applyAlignment="1">
      <alignment horizontal="center"/>
    </xf>
    <xf numFmtId="0" fontId="17" fillId="64" borderId="8" xfId="0" applyFont="1" applyFill="1" applyBorder="1" applyAlignment="1">
      <alignment horizontal="center"/>
    </xf>
    <xf numFmtId="0" fontId="17" fillId="64" borderId="10" xfId="0" applyFont="1" applyFill="1" applyBorder="1" applyAlignment="1">
      <alignment horizontal="center"/>
    </xf>
    <xf numFmtId="0" fontId="17" fillId="64" borderId="11" xfId="0" applyFont="1" applyFill="1" applyBorder="1" applyAlignment="1">
      <alignment horizontal="center"/>
    </xf>
    <xf numFmtId="0" fontId="17" fillId="64" borderId="12" xfId="0" applyFont="1" applyFill="1" applyBorder="1" applyAlignment="1">
      <alignment horizontal="center"/>
    </xf>
    <xf numFmtId="0" fontId="17" fillId="64" borderId="13" xfId="0" applyFont="1" applyFill="1" applyBorder="1" applyAlignment="1">
      <alignment horizontal="center"/>
    </xf>
    <xf numFmtId="0" fontId="17" fillId="64" borderId="42" xfId="0" applyFont="1" applyFill="1" applyBorder="1" applyAlignment="1">
      <alignment horizontal="center"/>
    </xf>
    <xf numFmtId="0" fontId="17" fillId="64" borderId="18" xfId="0" applyFont="1" applyFill="1" applyBorder="1" applyAlignment="1">
      <alignment horizontal="center"/>
    </xf>
    <xf numFmtId="0" fontId="17" fillId="64" borderId="26" xfId="0" applyFont="1" applyFill="1" applyBorder="1" applyAlignment="1">
      <alignment horizontal="center"/>
    </xf>
    <xf numFmtId="0" fontId="17" fillId="64" borderId="40" xfId="0" applyFont="1" applyFill="1" applyBorder="1" applyAlignment="1">
      <alignment horizontal="center"/>
    </xf>
    <xf numFmtId="0" fontId="17" fillId="63" borderId="1" xfId="0" applyFont="1" applyFill="1" applyBorder="1" applyAlignment="1" applyProtection="1">
      <alignment horizontal="center" wrapText="1"/>
    </xf>
    <xf numFmtId="0" fontId="17" fillId="63" borderId="42" xfId="0" applyFont="1" applyFill="1" applyBorder="1" applyAlignment="1" applyProtection="1">
      <alignment horizontal="center" wrapText="1"/>
    </xf>
    <xf numFmtId="2" fontId="10" fillId="63" borderId="1" xfId="379" applyNumberFormat="1" applyFont="1" applyFill="1" applyBorder="1" applyAlignment="1" applyProtection="1">
      <alignment horizontal="center"/>
      <protection locked="0"/>
    </xf>
    <xf numFmtId="0" fontId="0" fillId="0" borderId="0" xfId="0" applyAlignment="1">
      <alignment horizontal="left" wrapText="1"/>
    </xf>
    <xf numFmtId="0" fontId="10" fillId="0" borderId="0" xfId="0" applyFont="1" applyAlignment="1">
      <alignment horizontal="left" wrapText="1"/>
    </xf>
    <xf numFmtId="0" fontId="17" fillId="0" borderId="42" xfId="0" applyFont="1" applyBorder="1" applyAlignment="1">
      <alignment horizontal="center" vertical="top"/>
    </xf>
    <xf numFmtId="0" fontId="0" fillId="0" borderId="32" xfId="0" applyBorder="1"/>
    <xf numFmtId="0" fontId="0" fillId="0" borderId="78" xfId="0" applyBorder="1"/>
    <xf numFmtId="0" fontId="0" fillId="0" borderId="0" xfId="0" applyBorder="1"/>
    <xf numFmtId="0" fontId="17" fillId="0" borderId="78" xfId="0" applyFont="1" applyBorder="1" applyAlignment="1">
      <alignment horizontal="center" vertical="top" wrapText="1"/>
    </xf>
    <xf numFmtId="0" fontId="17" fillId="0" borderId="0" xfId="0" applyFont="1" applyBorder="1" applyAlignment="1">
      <alignment horizontal="center" vertical="top"/>
    </xf>
    <xf numFmtId="0" fontId="17" fillId="0" borderId="66" xfId="0" applyFont="1" applyBorder="1" applyAlignment="1">
      <alignment horizontal="center" vertical="top"/>
    </xf>
    <xf numFmtId="0" fontId="0" fillId="0" borderId="0" xfId="0" applyAlignment="1">
      <alignment horizontal="center" vertical="top"/>
    </xf>
    <xf numFmtId="0" fontId="0" fillId="0" borderId="78" xfId="0" applyBorder="1" applyAlignment="1">
      <alignment horizontal="center" vertical="top" wrapText="1"/>
    </xf>
    <xf numFmtId="0" fontId="0" fillId="0" borderId="0" xfId="0" applyBorder="1" applyAlignment="1">
      <alignment horizontal="center" vertical="top"/>
    </xf>
    <xf numFmtId="0" fontId="0" fillId="0" borderId="66" xfId="0" applyBorder="1" applyAlignment="1">
      <alignment horizontal="center" vertical="top"/>
    </xf>
    <xf numFmtId="184" fontId="10" fillId="0" borderId="32" xfId="599" applyNumberFormat="1" applyFont="1" applyFill="1" applyBorder="1" applyAlignment="1" applyProtection="1">
      <alignment vertical="top"/>
    </xf>
    <xf numFmtId="169" fontId="0" fillId="33" borderId="78" xfId="796" applyNumberFormat="1" applyFont="1" applyFill="1" applyBorder="1" applyAlignment="1" applyProtection="1">
      <alignment vertical="top"/>
      <protection locked="0"/>
    </xf>
    <xf numFmtId="169" fontId="0" fillId="33" borderId="0" xfId="796" applyNumberFormat="1" applyFont="1" applyFill="1" applyBorder="1" applyAlignment="1" applyProtection="1">
      <alignment vertical="top"/>
      <protection locked="0"/>
    </xf>
    <xf numFmtId="169" fontId="0" fillId="33" borderId="66" xfId="796" applyNumberFormat="1" applyFont="1" applyFill="1" applyBorder="1" applyAlignment="1" applyProtection="1">
      <alignment vertical="top"/>
      <protection locked="0"/>
    </xf>
    <xf numFmtId="184" fontId="10" fillId="33" borderId="32" xfId="599" applyNumberFormat="1" applyFont="1" applyFill="1" applyBorder="1" applyAlignment="1" applyProtection="1">
      <alignment vertical="top"/>
      <protection locked="0"/>
    </xf>
    <xf numFmtId="184" fontId="0" fillId="33" borderId="32" xfId="599" applyNumberFormat="1" applyFont="1" applyFill="1" applyBorder="1" applyAlignment="1" applyProtection="1">
      <alignment vertical="top"/>
      <protection locked="0"/>
    </xf>
    <xf numFmtId="184" fontId="0" fillId="33" borderId="23" xfId="599" applyNumberFormat="1" applyFont="1" applyFill="1" applyBorder="1" applyAlignment="1" applyProtection="1">
      <alignment vertical="top"/>
      <protection locked="0"/>
    </xf>
    <xf numFmtId="169" fontId="0" fillId="33" borderId="52" xfId="796" applyNumberFormat="1" applyFont="1" applyFill="1" applyBorder="1" applyAlignment="1" applyProtection="1">
      <alignment vertical="top"/>
      <protection locked="0"/>
    </xf>
    <xf numFmtId="0" fontId="0" fillId="0" borderId="68" xfId="0" applyBorder="1"/>
    <xf numFmtId="169" fontId="0" fillId="33" borderId="68" xfId="796" applyNumberFormat="1" applyFont="1" applyFill="1" applyBorder="1" applyAlignment="1" applyProtection="1">
      <alignment vertical="top"/>
      <protection locked="0"/>
    </xf>
    <xf numFmtId="169" fontId="0" fillId="33" borderId="53" xfId="796" applyNumberFormat="1" applyFont="1" applyFill="1" applyBorder="1" applyAlignment="1" applyProtection="1">
      <alignment vertical="top"/>
      <protection locked="0"/>
    </xf>
    <xf numFmtId="169" fontId="17" fillId="0" borderId="0" xfId="0" applyNumberFormat="1" applyFont="1"/>
    <xf numFmtId="0" fontId="108" fillId="0" borderId="0" xfId="0" quotePrefix="1" applyFont="1"/>
    <xf numFmtId="0" fontId="111" fillId="0" borderId="0" xfId="1446" applyFont="1" applyFill="1" applyBorder="1" applyProtection="1">
      <protection locked="0"/>
    </xf>
    <xf numFmtId="0" fontId="111" fillId="0" borderId="0" xfId="1446" applyFont="1" applyFill="1" applyBorder="1" applyAlignment="1" applyProtection="1">
      <alignment horizontal="left" vertical="top" wrapText="1"/>
      <protection locked="0"/>
    </xf>
    <xf numFmtId="0" fontId="111" fillId="0" borderId="0" xfId="1446" applyFont="1" applyFill="1" applyBorder="1" applyAlignment="1" applyProtection="1">
      <alignment wrapText="1"/>
      <protection locked="0"/>
    </xf>
    <xf numFmtId="0" fontId="114" fillId="0" borderId="0" xfId="1446" applyFont="1" applyFill="1" applyBorder="1" applyProtection="1">
      <protection locked="0"/>
    </xf>
    <xf numFmtId="165" fontId="114" fillId="0" borderId="0" xfId="768" applyNumberFormat="1" applyFont="1" applyFill="1" applyBorder="1" applyProtection="1">
      <protection locked="0"/>
    </xf>
    <xf numFmtId="0" fontId="114" fillId="65" borderId="43" xfId="1446" applyFont="1" applyFill="1" applyBorder="1" applyAlignment="1" applyProtection="1">
      <alignment horizontal="right"/>
      <protection locked="0"/>
    </xf>
    <xf numFmtId="0" fontId="114" fillId="65" borderId="0" xfId="1446" applyFont="1" applyFill="1" applyBorder="1" applyAlignment="1" applyProtection="1">
      <alignment horizontal="right"/>
      <protection locked="0"/>
    </xf>
    <xf numFmtId="0" fontId="114" fillId="65" borderId="39" xfId="1446" applyFont="1" applyFill="1" applyBorder="1" applyAlignment="1" applyProtection="1">
      <alignment horizontal="right"/>
      <protection locked="0"/>
    </xf>
    <xf numFmtId="0" fontId="111" fillId="0" borderId="43" xfId="1446" applyFont="1" applyFill="1" applyBorder="1" applyProtection="1">
      <protection locked="0"/>
    </xf>
    <xf numFmtId="10" fontId="112" fillId="0" borderId="39" xfId="769" applyNumberFormat="1" applyFont="1" applyFill="1" applyBorder="1" applyProtection="1">
      <protection locked="0"/>
    </xf>
    <xf numFmtId="0" fontId="111" fillId="68" borderId="0" xfId="1446" applyFont="1" applyFill="1" applyBorder="1" applyProtection="1">
      <protection locked="0"/>
    </xf>
    <xf numFmtId="10" fontId="112" fillId="68" borderId="0" xfId="769" applyNumberFormat="1" applyFont="1" applyFill="1" applyBorder="1" applyProtection="1">
      <protection locked="0"/>
    </xf>
    <xf numFmtId="0" fontId="111" fillId="0" borderId="88" xfId="1446" applyFont="1" applyFill="1" applyBorder="1" applyProtection="1">
      <protection locked="0"/>
    </xf>
    <xf numFmtId="0" fontId="111" fillId="68" borderId="90" xfId="1446" applyFont="1" applyFill="1" applyBorder="1" applyProtection="1">
      <protection locked="0"/>
    </xf>
    <xf numFmtId="10" fontId="112" fillId="0" borderId="89" xfId="769" applyNumberFormat="1" applyFont="1" applyFill="1" applyBorder="1" applyProtection="1">
      <protection locked="0"/>
    </xf>
    <xf numFmtId="0" fontId="114" fillId="0" borderId="93" xfId="1446" applyFont="1" applyFill="1" applyBorder="1" applyProtection="1">
      <protection locked="0"/>
    </xf>
    <xf numFmtId="10" fontId="116" fillId="0" borderId="95" xfId="1446" applyNumberFormat="1" applyFont="1" applyFill="1" applyBorder="1" applyProtection="1">
      <protection locked="0"/>
    </xf>
    <xf numFmtId="10" fontId="114" fillId="0" borderId="96" xfId="1446" applyNumberFormat="1" applyFont="1" applyFill="1" applyBorder="1" applyProtection="1">
      <protection locked="0"/>
    </xf>
    <xf numFmtId="185" fontId="112" fillId="0" borderId="39" xfId="768" applyNumberFormat="1" applyFont="1" applyFill="1" applyBorder="1" applyProtection="1">
      <protection locked="0"/>
    </xf>
    <xf numFmtId="185" fontId="112" fillId="68" borderId="0" xfId="768" applyNumberFormat="1" applyFont="1" applyFill="1" applyBorder="1" applyProtection="1">
      <protection locked="0"/>
    </xf>
    <xf numFmtId="185" fontId="117" fillId="68" borderId="0" xfId="768" applyNumberFormat="1" applyFont="1" applyFill="1" applyBorder="1" applyProtection="1">
      <protection locked="0"/>
    </xf>
    <xf numFmtId="185" fontId="112" fillId="68" borderId="90" xfId="768" applyNumberFormat="1" applyFont="1" applyFill="1" applyBorder="1" applyProtection="1">
      <protection locked="0"/>
    </xf>
    <xf numFmtId="185" fontId="117" fillId="68" borderId="90" xfId="768" applyNumberFormat="1" applyFont="1" applyFill="1" applyBorder="1" applyProtection="1">
      <protection locked="0"/>
    </xf>
    <xf numFmtId="0" fontId="114" fillId="0" borderId="44" xfId="1446" applyFont="1" applyFill="1" applyBorder="1" applyProtection="1">
      <protection locked="0"/>
    </xf>
    <xf numFmtId="185" fontId="118" fillId="0" borderId="25" xfId="768" applyNumberFormat="1" applyFont="1" applyFill="1" applyBorder="1" applyProtection="1">
      <protection locked="0"/>
    </xf>
    <xf numFmtId="185" fontId="114" fillId="0" borderId="92" xfId="768" applyNumberFormat="1" applyFont="1" applyFill="1" applyBorder="1" applyProtection="1">
      <protection locked="0"/>
    </xf>
    <xf numFmtId="0" fontId="111" fillId="0" borderId="0" xfId="1446" applyFont="1" applyFill="1" applyBorder="1" applyAlignment="1" applyProtection="1">
      <alignment horizontal="center" wrapText="1"/>
      <protection locked="0"/>
    </xf>
    <xf numFmtId="10" fontId="120" fillId="0" borderId="38" xfId="769" applyNumberFormat="1" applyFont="1" applyFill="1" applyBorder="1" applyProtection="1">
      <protection locked="0"/>
    </xf>
    <xf numFmtId="0" fontId="114" fillId="0" borderId="0" xfId="1446" applyFont="1" applyFill="1" applyBorder="1" applyAlignment="1" applyProtection="1">
      <alignment vertical="top" wrapText="1"/>
      <protection locked="0"/>
    </xf>
    <xf numFmtId="10" fontId="120" fillId="0" borderId="0" xfId="769" applyNumberFormat="1" applyFont="1" applyFill="1" applyBorder="1" applyProtection="1">
      <protection locked="0"/>
    </xf>
    <xf numFmtId="0" fontId="114" fillId="0" borderId="45" xfId="1446" applyFont="1" applyFill="1" applyBorder="1" applyAlignment="1" applyProtection="1">
      <alignment vertical="top" wrapText="1"/>
      <protection locked="0"/>
    </xf>
    <xf numFmtId="0" fontId="114" fillId="0" borderId="46" xfId="1446" applyFont="1" applyFill="1" applyBorder="1" applyAlignment="1" applyProtection="1">
      <alignment horizontal="center" vertical="center" wrapText="1"/>
      <protection locked="0"/>
    </xf>
    <xf numFmtId="0" fontId="116" fillId="0" borderId="46" xfId="768" applyNumberFormat="1" applyFont="1" applyFill="1" applyBorder="1" applyAlignment="1" applyProtection="1">
      <alignment horizontal="center" vertical="center"/>
      <protection locked="0"/>
    </xf>
    <xf numFmtId="0" fontId="111" fillId="0" borderId="47" xfId="1446" applyFont="1" applyFill="1" applyBorder="1" applyProtection="1">
      <protection locked="0"/>
    </xf>
    <xf numFmtId="0" fontId="116" fillId="0" borderId="43" xfId="1446" applyFont="1" applyFill="1" applyBorder="1" applyAlignment="1" applyProtection="1">
      <alignment horizontal="left" vertical="center" wrapText="1"/>
      <protection locked="0"/>
    </xf>
    <xf numFmtId="0" fontId="114" fillId="0" borderId="1" xfId="1446" applyFont="1" applyFill="1" applyBorder="1" applyAlignment="1" applyProtection="1">
      <alignment horizontal="center" vertical="center" wrapText="1"/>
      <protection locked="0"/>
    </xf>
    <xf numFmtId="0" fontId="114" fillId="69" borderId="1" xfId="1446" applyFont="1" applyFill="1" applyBorder="1" applyAlignment="1" applyProtection="1">
      <alignment horizontal="center" vertical="center" wrapText="1"/>
      <protection locked="0"/>
    </xf>
    <xf numFmtId="10" fontId="120" fillId="0" borderId="39" xfId="769" applyNumberFormat="1" applyFont="1" applyFill="1" applyBorder="1" applyAlignment="1" applyProtection="1">
      <alignment horizontal="center" vertical="center" wrapText="1"/>
      <protection locked="0"/>
    </xf>
    <xf numFmtId="0" fontId="121" fillId="0" borderId="44" xfId="1446" applyFont="1" applyFill="1" applyBorder="1" applyAlignment="1" applyProtection="1">
      <alignment horizontal="left" vertical="top" wrapText="1"/>
      <protection locked="0"/>
    </xf>
    <xf numFmtId="0" fontId="122" fillId="70" borderId="25" xfId="1446" applyFont="1" applyFill="1" applyBorder="1" applyAlignment="1" applyProtection="1">
      <alignment vertical="top" wrapText="1"/>
      <protection locked="0"/>
    </xf>
    <xf numFmtId="0" fontId="123" fillId="70" borderId="25" xfId="1446" applyFont="1" applyFill="1" applyBorder="1" applyAlignment="1" applyProtection="1">
      <alignment vertical="top" wrapText="1"/>
      <protection locked="0"/>
    </xf>
    <xf numFmtId="0" fontId="122" fillId="0" borderId="25" xfId="1446" applyFont="1" applyFill="1" applyBorder="1" applyAlignment="1" applyProtection="1">
      <alignment vertical="top" wrapText="1"/>
      <protection locked="0"/>
    </xf>
    <xf numFmtId="0" fontId="123" fillId="0" borderId="25" xfId="1446" applyFont="1" applyFill="1" applyBorder="1" applyAlignment="1" applyProtection="1">
      <alignment vertical="top" wrapText="1"/>
      <protection locked="0"/>
    </xf>
    <xf numFmtId="0" fontId="123" fillId="70" borderId="65" xfId="1446" applyFont="1" applyFill="1" applyBorder="1" applyAlignment="1" applyProtection="1">
      <alignment horizontal="left" vertical="top" wrapText="1"/>
      <protection locked="0"/>
    </xf>
    <xf numFmtId="0" fontId="122" fillId="70" borderId="65" xfId="1446" applyFont="1" applyFill="1" applyBorder="1" applyAlignment="1" applyProtection="1">
      <alignment horizontal="left" vertical="top" wrapText="1"/>
      <protection locked="0"/>
    </xf>
    <xf numFmtId="0" fontId="121" fillId="0" borderId="0" xfId="1446" applyFont="1" applyFill="1" applyBorder="1" applyAlignment="1" applyProtection="1">
      <alignment horizontal="left" vertical="top" wrapText="1"/>
      <protection locked="0"/>
    </xf>
    <xf numFmtId="0" fontId="122" fillId="0" borderId="0" xfId="1446" applyFont="1" applyFill="1" applyBorder="1" applyAlignment="1" applyProtection="1">
      <alignment vertical="top" wrapText="1"/>
      <protection locked="0"/>
    </xf>
    <xf numFmtId="0" fontId="119" fillId="0" borderId="0" xfId="1446" applyFont="1" applyFill="1" applyBorder="1" applyAlignment="1" applyProtection="1">
      <alignment horizontal="center" vertical="top" wrapText="1"/>
      <protection locked="0"/>
    </xf>
    <xf numFmtId="0" fontId="111" fillId="0" borderId="33" xfId="1446" applyFont="1" applyFill="1" applyBorder="1" applyProtection="1">
      <protection locked="0"/>
    </xf>
    <xf numFmtId="0" fontId="114" fillId="67" borderId="46" xfId="1446" applyFont="1" applyFill="1" applyBorder="1" applyAlignment="1" applyProtection="1">
      <alignment horizontal="center" vertical="center"/>
      <protection locked="0"/>
    </xf>
    <xf numFmtId="0" fontId="114" fillId="67" borderId="46" xfId="1446" applyFont="1" applyFill="1" applyBorder="1" applyAlignment="1" applyProtection="1">
      <alignment horizontal="center"/>
      <protection locked="0"/>
    </xf>
    <xf numFmtId="0" fontId="114" fillId="67" borderId="24" xfId="1446" applyFont="1" applyFill="1" applyBorder="1" applyAlignment="1" applyProtection="1">
      <alignment horizontal="center"/>
      <protection locked="0"/>
    </xf>
    <xf numFmtId="0" fontId="114" fillId="67" borderId="47" xfId="1446" applyFont="1" applyFill="1" applyBorder="1" applyAlignment="1" applyProtection="1">
      <alignment horizontal="center" vertical="center"/>
      <protection locked="0"/>
    </xf>
    <xf numFmtId="165" fontId="120" fillId="0" borderId="0" xfId="768" applyNumberFormat="1" applyFont="1" applyFill="1" applyBorder="1" applyAlignment="1" applyProtection="1">
      <alignment horizontal="center" vertical="center"/>
      <protection locked="0"/>
    </xf>
    <xf numFmtId="185" fontId="112" fillId="71" borderId="0" xfId="768" applyNumberFormat="1" applyFont="1" applyFill="1" applyBorder="1" applyProtection="1">
      <protection locked="0"/>
    </xf>
    <xf numFmtId="185" fontId="112" fillId="71" borderId="103" xfId="768" applyNumberFormat="1" applyFont="1" applyFill="1" applyBorder="1" applyProtection="1">
      <protection locked="0"/>
    </xf>
    <xf numFmtId="0" fontId="10" fillId="0" borderId="47" xfId="0" applyFont="1" applyBorder="1" applyAlignment="1">
      <alignment horizontal="center"/>
    </xf>
    <xf numFmtId="3" fontId="42" fillId="0" borderId="1" xfId="0" applyNumberFormat="1" applyFont="1" applyBorder="1" applyAlignment="1">
      <alignment horizontal="center" vertical="center" wrapText="1"/>
    </xf>
    <xf numFmtId="3" fontId="42" fillId="0" borderId="48" xfId="0" applyNumberFormat="1" applyFont="1" applyBorder="1" applyAlignment="1">
      <alignment horizontal="center" vertical="center" wrapText="1"/>
    </xf>
    <xf numFmtId="2" fontId="10" fillId="0" borderId="8" xfId="0" applyNumberFormat="1" applyFont="1" applyFill="1" applyBorder="1" applyAlignment="1">
      <alignment horizontal="center"/>
    </xf>
    <xf numFmtId="2" fontId="10" fillId="0" borderId="11" xfId="0" applyNumberFormat="1" applyFont="1" applyFill="1" applyBorder="1" applyAlignment="1">
      <alignment horizontal="center"/>
    </xf>
    <xf numFmtId="2" fontId="10" fillId="0" borderId="40" xfId="0" applyNumberFormat="1" applyFont="1" applyFill="1" applyBorder="1" applyAlignment="1">
      <alignment horizontal="center"/>
    </xf>
    <xf numFmtId="3" fontId="10" fillId="33" borderId="8" xfId="0" applyNumberFormat="1" applyFont="1" applyFill="1" applyBorder="1" applyAlignment="1">
      <alignment horizontal="center"/>
    </xf>
    <xf numFmtId="2" fontId="10" fillId="0" borderId="18" xfId="0" applyNumberFormat="1" applyFont="1" applyFill="1" applyBorder="1" applyAlignment="1">
      <alignment horizontal="center"/>
    </xf>
    <xf numFmtId="165" fontId="10" fillId="33" borderId="1" xfId="379" applyFont="1" applyFill="1" applyBorder="1" applyAlignment="1">
      <alignment horizontal="center"/>
    </xf>
    <xf numFmtId="49" fontId="17" fillId="0" borderId="27" xfId="0" applyNumberFormat="1" applyFont="1" applyBorder="1" applyAlignment="1">
      <alignment horizontal="center"/>
    </xf>
    <xf numFmtId="49" fontId="17" fillId="0" borderId="37" xfId="0" applyNumberFormat="1" applyFont="1" applyBorder="1" applyAlignment="1">
      <alignment horizontal="center"/>
    </xf>
    <xf numFmtId="1" fontId="10" fillId="0" borderId="10" xfId="0" applyNumberFormat="1" applyFont="1" applyFill="1" applyBorder="1" applyAlignment="1">
      <alignment horizontal="center"/>
    </xf>
    <xf numFmtId="169" fontId="10" fillId="72" borderId="1" xfId="379" applyNumberFormat="1" applyFont="1" applyFill="1" applyBorder="1" applyAlignment="1">
      <alignment horizontal="center"/>
    </xf>
    <xf numFmtId="169" fontId="10" fillId="72" borderId="10" xfId="379" applyNumberFormat="1" applyFont="1" applyFill="1" applyBorder="1" applyAlignment="1">
      <alignment horizontal="center"/>
    </xf>
    <xf numFmtId="169" fontId="10" fillId="0" borderId="28" xfId="379" applyNumberFormat="1" applyFont="1" applyFill="1" applyBorder="1"/>
    <xf numFmtId="166" fontId="10" fillId="0" borderId="28" xfId="0" applyNumberFormat="1" applyFont="1" applyFill="1" applyBorder="1"/>
    <xf numFmtId="169" fontId="10" fillId="0" borderId="26" xfId="379" applyNumberFormat="1" applyFont="1" applyFill="1" applyBorder="1"/>
    <xf numFmtId="166" fontId="10" fillId="0" borderId="26" xfId="0" applyNumberFormat="1" applyFont="1" applyFill="1" applyBorder="1"/>
    <xf numFmtId="4" fontId="10" fillId="33" borderId="23" xfId="379" applyNumberFormat="1" applyFont="1" applyFill="1" applyBorder="1" applyAlignment="1">
      <alignment horizontal="center" vertical="center"/>
    </xf>
    <xf numFmtId="3" fontId="10" fillId="0" borderId="0" xfId="0" applyNumberFormat="1" applyFont="1" applyFill="1" applyBorder="1"/>
    <xf numFmtId="2" fontId="10" fillId="33" borderId="23" xfId="634" applyNumberFormat="1" applyFont="1" applyFill="1" applyBorder="1" applyAlignment="1">
      <alignment horizontal="center"/>
    </xf>
    <xf numFmtId="165" fontId="10" fillId="33" borderId="1" xfId="379" applyFont="1" applyFill="1" applyBorder="1" applyProtection="1">
      <protection locked="0"/>
    </xf>
    <xf numFmtId="0" fontId="105" fillId="0" borderId="0" xfId="0" applyFont="1" applyFill="1"/>
    <xf numFmtId="0" fontId="0" fillId="0" borderId="0" xfId="0" applyFill="1"/>
    <xf numFmtId="10" fontId="10" fillId="0" borderId="1" xfId="863" applyNumberFormat="1" applyFont="1" applyBorder="1" applyAlignment="1" applyProtection="1">
      <alignment horizontal="center"/>
      <protection locked="0"/>
    </xf>
    <xf numFmtId="10" fontId="10" fillId="0" borderId="0" xfId="863" applyNumberFormat="1" applyFont="1" applyBorder="1" applyAlignment="1" applyProtection="1">
      <alignment horizontal="center"/>
      <protection locked="0"/>
    </xf>
    <xf numFmtId="9" fontId="10" fillId="0" borderId="0" xfId="863" applyFont="1" applyProtection="1">
      <protection locked="0"/>
    </xf>
    <xf numFmtId="49" fontId="10" fillId="72" borderId="1" xfId="1413" applyNumberFormat="1" applyFont="1" applyFill="1" applyBorder="1" applyAlignment="1">
      <alignment horizontal="center"/>
    </xf>
    <xf numFmtId="1" fontId="10" fillId="0" borderId="1" xfId="0" applyNumberFormat="1" applyFont="1" applyBorder="1" applyAlignment="1" applyProtection="1">
      <alignment horizontal="center"/>
      <protection locked="0"/>
    </xf>
    <xf numFmtId="2" fontId="125" fillId="0" borderId="104" xfId="0" applyNumberFormat="1" applyFont="1" applyFill="1" applyBorder="1" applyProtection="1">
      <protection locked="0"/>
    </xf>
    <xf numFmtId="0" fontId="10" fillId="0" borderId="14" xfId="0" applyFont="1" applyBorder="1" applyAlignment="1">
      <alignment horizontal="center"/>
    </xf>
    <xf numFmtId="165" fontId="10" fillId="0" borderId="24" xfId="379" applyFont="1" applyBorder="1" applyAlignment="1">
      <alignment horizontal="center"/>
    </xf>
    <xf numFmtId="0" fontId="62" fillId="0" borderId="43" xfId="0" applyFont="1" applyBorder="1"/>
    <xf numFmtId="0" fontId="10" fillId="0" borderId="39" xfId="0" applyFont="1" applyBorder="1" applyAlignment="1">
      <alignment horizontal="center"/>
    </xf>
    <xf numFmtId="0" fontId="63" fillId="0" borderId="15" xfId="0" applyFont="1" applyBorder="1"/>
    <xf numFmtId="0" fontId="63" fillId="0" borderId="36" xfId="0" applyFont="1" applyFill="1" applyBorder="1"/>
    <xf numFmtId="0" fontId="63" fillId="0" borderId="15" xfId="0" applyFont="1" applyBorder="1" applyAlignment="1">
      <alignment horizontal="left"/>
    </xf>
    <xf numFmtId="0" fontId="63" fillId="0" borderId="43" xfId="0" applyFont="1" applyBorder="1" applyAlignment="1">
      <alignment horizontal="center"/>
    </xf>
    <xf numFmtId="0" fontId="63" fillId="0" borderId="39" xfId="0" applyFont="1" applyBorder="1" applyAlignment="1">
      <alignment horizontal="center"/>
    </xf>
    <xf numFmtId="0" fontId="63" fillId="0" borderId="2" xfId="860" applyFont="1" applyBorder="1"/>
    <xf numFmtId="0" fontId="63" fillId="0" borderId="8" xfId="860" applyFont="1" applyBorder="1" applyAlignment="1">
      <alignment horizontal="center"/>
    </xf>
    <xf numFmtId="0" fontId="63" fillId="0" borderId="44" xfId="0" applyFont="1" applyBorder="1" applyAlignment="1">
      <alignment horizontal="center"/>
    </xf>
    <xf numFmtId="165" fontId="63" fillId="0" borderId="25" xfId="379" applyFont="1" applyBorder="1" applyAlignment="1">
      <alignment horizontal="center"/>
    </xf>
    <xf numFmtId="0" fontId="63" fillId="0" borderId="38" xfId="0" applyFont="1" applyBorder="1" applyAlignment="1">
      <alignment horizontal="center"/>
    </xf>
    <xf numFmtId="172" fontId="102" fillId="0" borderId="8" xfId="890" applyNumberFormat="1" applyFont="1" applyBorder="1"/>
    <xf numFmtId="2" fontId="125" fillId="72" borderId="104" xfId="0" applyNumberFormat="1" applyFont="1" applyFill="1" applyBorder="1" applyProtection="1">
      <protection locked="0"/>
    </xf>
    <xf numFmtId="2" fontId="10" fillId="0" borderId="0" xfId="0" applyNumberFormat="1" applyFont="1" applyProtection="1">
      <protection locked="0"/>
    </xf>
    <xf numFmtId="2" fontId="10" fillId="0" borderId="0" xfId="0" applyNumberFormat="1" applyFont="1"/>
    <xf numFmtId="49" fontId="10" fillId="0" borderId="7" xfId="0" applyNumberFormat="1" applyFont="1" applyBorder="1" applyAlignment="1">
      <alignment horizontal="center" vertical="center" wrapText="1"/>
    </xf>
    <xf numFmtId="0" fontId="10" fillId="0" borderId="1" xfId="0" applyFont="1" applyBorder="1" applyAlignment="1">
      <alignment horizontal="center" vertical="center" wrapText="1"/>
    </xf>
    <xf numFmtId="3" fontId="10" fillId="0" borderId="1" xfId="0" applyNumberFormat="1" applyFont="1" applyBorder="1" applyAlignment="1">
      <alignment horizontal="center" vertical="center" wrapText="1"/>
    </xf>
    <xf numFmtId="10" fontId="10" fillId="0" borderId="1" xfId="0" applyNumberFormat="1" applyFont="1" applyBorder="1" applyAlignment="1">
      <alignment horizontal="center" vertical="center" wrapText="1"/>
    </xf>
    <xf numFmtId="3" fontId="10" fillId="72" borderId="23" xfId="0" applyNumberFormat="1" applyFont="1" applyFill="1" applyBorder="1" applyAlignment="1">
      <alignment horizontal="center" vertical="center" wrapText="1"/>
    </xf>
    <xf numFmtId="49" fontId="10" fillId="0" borderId="27" xfId="0" applyNumberFormat="1" applyFont="1" applyBorder="1" applyAlignment="1">
      <alignment horizontal="center" vertical="center" wrapText="1"/>
    </xf>
    <xf numFmtId="0" fontId="10" fillId="0" borderId="10" xfId="0" applyFont="1" applyBorder="1" applyAlignment="1">
      <alignment horizontal="center" vertical="center" wrapText="1"/>
    </xf>
    <xf numFmtId="3" fontId="10" fillId="0" borderId="10" xfId="0" applyNumberFormat="1" applyFont="1" applyBorder="1" applyAlignment="1">
      <alignment horizontal="center" vertical="center" wrapText="1"/>
    </xf>
    <xf numFmtId="10" fontId="10" fillId="0" borderId="10"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3" fontId="17" fillId="0" borderId="8" xfId="0" applyNumberFormat="1" applyFont="1" applyBorder="1" applyAlignment="1">
      <alignment horizontal="center" vertical="center" wrapText="1"/>
    </xf>
    <xf numFmtId="49" fontId="10" fillId="0" borderId="9" xfId="0" applyNumberFormat="1" applyFont="1" applyBorder="1" applyAlignment="1">
      <alignment horizontal="center" vertical="center" wrapText="1"/>
    </xf>
    <xf numFmtId="3" fontId="10" fillId="72" borderId="10" xfId="0" applyNumberFormat="1" applyFont="1" applyFill="1" applyBorder="1" applyAlignment="1">
      <alignment horizontal="center" vertical="center" wrapText="1"/>
    </xf>
    <xf numFmtId="3" fontId="17" fillId="0" borderId="11" xfId="0" applyNumberFormat="1" applyFont="1" applyBorder="1" applyAlignment="1">
      <alignment horizontal="center" vertical="center" wrapText="1"/>
    </xf>
    <xf numFmtId="3" fontId="10" fillId="34" borderId="0" xfId="0" applyNumberFormat="1" applyFont="1" applyFill="1" applyBorder="1" applyAlignment="1">
      <alignment horizontal="left" vertical="center"/>
    </xf>
    <xf numFmtId="0" fontId="10" fillId="0" borderId="0" xfId="0" applyFont="1" applyBorder="1" applyAlignment="1">
      <alignment horizontal="center" vertical="center" wrapText="1"/>
    </xf>
    <xf numFmtId="3" fontId="10" fillId="0" borderId="0" xfId="0" applyNumberFormat="1" applyFont="1" applyBorder="1" applyAlignment="1">
      <alignment horizontal="center" vertical="center" wrapText="1"/>
    </xf>
    <xf numFmtId="0" fontId="10" fillId="0" borderId="7"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30" xfId="0" applyFont="1" applyFill="1" applyBorder="1" applyAlignment="1">
      <alignment horizontal="center" vertical="center" wrapText="1"/>
    </xf>
    <xf numFmtId="172" fontId="16" fillId="0" borderId="8" xfId="379" applyNumberFormat="1" applyFont="1" applyBorder="1" applyAlignment="1">
      <alignment horizontal="center" vertical="center" wrapText="1"/>
    </xf>
    <xf numFmtId="169" fontId="10" fillId="0" borderId="2" xfId="379" applyNumberFormat="1" applyFont="1" applyFill="1" applyBorder="1" applyAlignment="1">
      <alignment horizontal="center"/>
    </xf>
    <xf numFmtId="169" fontId="10" fillId="0" borderId="9" xfId="379" applyNumberFormat="1" applyFont="1" applyFill="1" applyBorder="1" applyAlignment="1">
      <alignment horizontal="center"/>
    </xf>
    <xf numFmtId="0" fontId="44" fillId="0" borderId="73" xfId="0" applyFont="1" applyBorder="1" applyAlignment="1">
      <alignment horizontal="center" vertical="center" wrapText="1"/>
    </xf>
    <xf numFmtId="3" fontId="10" fillId="0" borderId="23" xfId="0" applyNumberFormat="1" applyFont="1" applyBorder="1" applyAlignment="1">
      <alignment horizontal="center" vertical="center" wrapText="1"/>
    </xf>
    <xf numFmtId="0" fontId="52" fillId="0" borderId="68" xfId="0" applyFont="1" applyBorder="1" applyAlignment="1">
      <alignment horizontal="center" vertical="center"/>
    </xf>
    <xf numFmtId="3" fontId="10" fillId="0" borderId="49" xfId="0" applyNumberFormat="1" applyFont="1" applyBorder="1" applyAlignment="1">
      <alignment horizontal="center" vertical="center" wrapText="1"/>
    </xf>
    <xf numFmtId="3" fontId="10" fillId="0" borderId="25" xfId="0" applyNumberFormat="1" applyFont="1" applyBorder="1" applyAlignment="1">
      <alignment horizontal="center" vertical="center" wrapText="1"/>
    </xf>
    <xf numFmtId="0" fontId="58" fillId="0" borderId="68" xfId="0" applyFont="1" applyBorder="1" applyAlignment="1">
      <alignment horizontal="center" vertical="center" wrapText="1"/>
    </xf>
    <xf numFmtId="2" fontId="20" fillId="0" borderId="0" xfId="379" applyNumberFormat="1" applyFont="1" applyFill="1" applyBorder="1" applyAlignment="1" applyProtection="1">
      <alignment horizontal="center"/>
      <protection locked="0"/>
    </xf>
    <xf numFmtId="4" fontId="16" fillId="73" borderId="1" xfId="636" applyNumberFormat="1" applyFont="1" applyFill="1" applyBorder="1" applyAlignment="1">
      <alignment horizontal="center" vertical="center" wrapText="1"/>
    </xf>
    <xf numFmtId="185" fontId="112" fillId="71" borderId="91" xfId="768" applyNumberFormat="1" applyFont="1" applyFill="1" applyBorder="1" applyProtection="1">
      <protection locked="0"/>
    </xf>
    <xf numFmtId="185" fontId="116" fillId="0" borderId="38" xfId="768" applyNumberFormat="1" applyFont="1" applyFill="1" applyBorder="1" applyProtection="1">
      <protection locked="0"/>
    </xf>
    <xf numFmtId="165" fontId="12" fillId="59" borderId="1" xfId="767" applyNumberFormat="1" applyFont="1" applyFill="1" applyBorder="1" applyAlignment="1">
      <alignment horizontal="center" vertical="center"/>
    </xf>
    <xf numFmtId="10" fontId="112" fillId="0" borderId="0" xfId="769" applyNumberFormat="1" applyFont="1" applyFill="1" applyBorder="1" applyProtection="1">
      <protection locked="0"/>
    </xf>
    <xf numFmtId="10" fontId="116" fillId="0" borderId="94" xfId="1446" applyNumberFormat="1" applyFont="1" applyFill="1" applyBorder="1" applyProtection="1">
      <protection locked="0"/>
    </xf>
    <xf numFmtId="9" fontId="10" fillId="0" borderId="12" xfId="557" applyFont="1" applyFill="1" applyBorder="1" applyAlignment="1">
      <alignment horizontal="center"/>
    </xf>
    <xf numFmtId="0" fontId="44" fillId="0" borderId="9" xfId="0" applyFont="1" applyBorder="1" applyAlignment="1">
      <alignment horizontal="center" vertical="center" wrapText="1"/>
    </xf>
    <xf numFmtId="187" fontId="44" fillId="0" borderId="1" xfId="557" applyNumberFormat="1" applyFont="1" applyFill="1" applyBorder="1" applyAlignment="1">
      <alignment horizontal="center" vertical="center" wrapText="1"/>
    </xf>
    <xf numFmtId="187" fontId="44" fillId="0" borderId="10" xfId="557" applyNumberFormat="1" applyFont="1" applyFill="1" applyBorder="1" applyAlignment="1">
      <alignment horizontal="center" vertical="center" wrapText="1"/>
    </xf>
    <xf numFmtId="3" fontId="44" fillId="60" borderId="23" xfId="0" applyNumberFormat="1" applyFont="1" applyFill="1" applyBorder="1" applyAlignment="1">
      <alignment horizontal="center" vertical="center" wrapText="1"/>
    </xf>
    <xf numFmtId="3" fontId="44" fillId="60" borderId="1" xfId="0" applyNumberFormat="1" applyFont="1" applyFill="1" applyBorder="1" applyAlignment="1">
      <alignment horizontal="center" vertical="center" wrapText="1"/>
    </xf>
    <xf numFmtId="3" fontId="44" fillId="60" borderId="10" xfId="0" applyNumberFormat="1" applyFont="1" applyFill="1" applyBorder="1" applyAlignment="1">
      <alignment horizontal="center" vertical="center" wrapText="1"/>
    </xf>
    <xf numFmtId="0" fontId="44" fillId="0" borderId="16" xfId="0" applyFont="1" applyBorder="1" applyAlignment="1">
      <alignment horizontal="center" vertical="center" wrapText="1"/>
    </xf>
    <xf numFmtId="0" fontId="44" fillId="0" borderId="14" xfId="0" applyFont="1" applyBorder="1" applyAlignment="1">
      <alignment horizontal="center" vertical="center" wrapText="1"/>
    </xf>
    <xf numFmtId="3" fontId="44" fillId="0" borderId="12" xfId="0" applyNumberFormat="1" applyFont="1" applyFill="1" applyBorder="1" applyAlignment="1">
      <alignment horizontal="center" vertical="center" wrapText="1"/>
    </xf>
    <xf numFmtId="3" fontId="44" fillId="0" borderId="13" xfId="0" applyNumberFormat="1" applyFont="1" applyFill="1" applyBorder="1" applyAlignment="1">
      <alignment horizontal="center" vertical="center" wrapText="1"/>
    </xf>
    <xf numFmtId="187" fontId="44" fillId="0" borderId="8" xfId="557" applyNumberFormat="1" applyFont="1" applyFill="1" applyBorder="1" applyAlignment="1">
      <alignment horizontal="center" vertical="center" wrapText="1"/>
    </xf>
    <xf numFmtId="187" fontId="44" fillId="0" borderId="11" xfId="557" applyNumberFormat="1" applyFont="1" applyFill="1" applyBorder="1" applyAlignment="1">
      <alignment horizontal="center" vertical="center" wrapText="1"/>
    </xf>
    <xf numFmtId="0" fontId="10" fillId="75" borderId="33" xfId="0" applyFont="1" applyFill="1" applyBorder="1"/>
    <xf numFmtId="0" fontId="10" fillId="75" borderId="34" xfId="0" applyFont="1" applyFill="1" applyBorder="1" applyAlignment="1">
      <alignment horizontal="center"/>
    </xf>
    <xf numFmtId="49" fontId="10" fillId="75" borderId="34" xfId="0" applyNumberFormat="1" applyFont="1" applyFill="1" applyBorder="1" applyAlignment="1">
      <alignment horizontal="center"/>
    </xf>
    <xf numFmtId="49" fontId="10" fillId="75" borderId="35" xfId="0" applyNumberFormat="1" applyFont="1" applyFill="1" applyBorder="1" applyAlignment="1">
      <alignment horizontal="center"/>
    </xf>
    <xf numFmtId="169" fontId="10" fillId="0" borderId="0" xfId="379" applyNumberFormat="1" applyFont="1" applyFill="1" applyBorder="1" applyAlignment="1">
      <alignment horizontal="center"/>
    </xf>
    <xf numFmtId="169" fontId="42" fillId="0" borderId="0" xfId="379" applyNumberFormat="1" applyFont="1" applyFill="1" applyBorder="1" applyAlignment="1">
      <alignment horizontal="center"/>
    </xf>
    <xf numFmtId="0" fontId="17" fillId="0" borderId="0" xfId="0" applyFont="1" applyBorder="1"/>
    <xf numFmtId="169" fontId="17" fillId="0" borderId="0" xfId="379" applyNumberFormat="1" applyFont="1" applyFill="1" applyBorder="1" applyAlignment="1">
      <alignment horizontal="center"/>
    </xf>
    <xf numFmtId="2" fontId="10" fillId="0" borderId="45" xfId="0" applyNumberFormat="1" applyFont="1" applyBorder="1"/>
    <xf numFmtId="0" fontId="10" fillId="0" borderId="46" xfId="0" applyFont="1" applyBorder="1"/>
    <xf numFmtId="169" fontId="10" fillId="0" borderId="46" xfId="379" applyNumberFormat="1" applyFont="1" applyFill="1" applyBorder="1" applyAlignment="1">
      <alignment horizontal="center"/>
    </xf>
    <xf numFmtId="169" fontId="10" fillId="0" borderId="47" xfId="379" applyNumberFormat="1" applyFont="1" applyFill="1" applyBorder="1" applyAlignment="1">
      <alignment horizontal="center"/>
    </xf>
    <xf numFmtId="0" fontId="10" fillId="0" borderId="43" xfId="0" applyFont="1" applyBorder="1"/>
    <xf numFmtId="169" fontId="10" fillId="0" borderId="39" xfId="379" applyNumberFormat="1" applyFont="1" applyFill="1" applyBorder="1" applyAlignment="1">
      <alignment horizontal="center"/>
    </xf>
    <xf numFmtId="2" fontId="10" fillId="0" borderId="43" xfId="0" applyNumberFormat="1" applyFont="1" applyBorder="1"/>
    <xf numFmtId="49" fontId="10" fillId="0" borderId="43" xfId="0" applyNumberFormat="1" applyFont="1" applyBorder="1"/>
    <xf numFmtId="0" fontId="17" fillId="0" borderId="43" xfId="0" applyFont="1" applyBorder="1"/>
    <xf numFmtId="169" fontId="17" fillId="0" borderId="39" xfId="379" applyNumberFormat="1" applyFont="1" applyFill="1" applyBorder="1" applyAlignment="1">
      <alignment horizontal="center"/>
    </xf>
    <xf numFmtId="0" fontId="17" fillId="0" borderId="44" xfId="0" applyFont="1" applyBorder="1"/>
    <xf numFmtId="0" fontId="17" fillId="0" borderId="25" xfId="0" applyFont="1" applyBorder="1"/>
    <xf numFmtId="169" fontId="17" fillId="0" borderId="25" xfId="379" applyNumberFormat="1" applyFont="1" applyFill="1" applyBorder="1" applyAlignment="1">
      <alignment horizontal="center"/>
    </xf>
    <xf numFmtId="169" fontId="17" fillId="0" borderId="38" xfId="379" applyNumberFormat="1" applyFont="1" applyFill="1" applyBorder="1" applyAlignment="1">
      <alignment horizontal="center"/>
    </xf>
    <xf numFmtId="0" fontId="10" fillId="75" borderId="3" xfId="0" applyFont="1" applyFill="1" applyBorder="1" applyAlignment="1">
      <alignment horizontal="center"/>
    </xf>
    <xf numFmtId="0" fontId="10" fillId="0" borderId="4" xfId="0" applyFont="1" applyFill="1" applyBorder="1" applyAlignment="1">
      <alignment horizontal="center"/>
    </xf>
    <xf numFmtId="0" fontId="10" fillId="0" borderId="4" xfId="0" applyFont="1" applyFill="1" applyBorder="1" applyAlignment="1">
      <alignment horizontal="center" wrapText="1"/>
    </xf>
    <xf numFmtId="0" fontId="10" fillId="0" borderId="5" xfId="0" applyFont="1" applyFill="1" applyBorder="1" applyAlignment="1">
      <alignment horizontal="center"/>
    </xf>
    <xf numFmtId="0" fontId="10" fillId="0" borderId="6" xfId="0" applyFont="1" applyFill="1" applyBorder="1" applyAlignment="1">
      <alignment horizontal="center"/>
    </xf>
    <xf numFmtId="49" fontId="10" fillId="0" borderId="7" xfId="0" applyNumberFormat="1" applyFont="1" applyFill="1" applyBorder="1" applyAlignment="1">
      <alignment horizontal="center"/>
    </xf>
    <xf numFmtId="169" fontId="10" fillId="0" borderId="2" xfId="379" applyNumberFormat="1" applyFont="1" applyFill="1" applyBorder="1"/>
    <xf numFmtId="14" fontId="10" fillId="0" borderId="2" xfId="0" applyNumberFormat="1" applyFont="1" applyFill="1" applyBorder="1" applyAlignment="1">
      <alignment horizontal="center"/>
    </xf>
    <xf numFmtId="0" fontId="10" fillId="0" borderId="8" xfId="0" applyFont="1" applyFill="1" applyBorder="1"/>
    <xf numFmtId="14" fontId="16" fillId="0" borderId="2" xfId="0" applyNumberFormat="1" applyFont="1" applyFill="1" applyBorder="1" applyAlignment="1">
      <alignment horizontal="center"/>
    </xf>
    <xf numFmtId="166" fontId="16" fillId="0" borderId="1" xfId="0" applyNumberFormat="1" applyFont="1" applyFill="1" applyBorder="1" applyAlignment="1">
      <alignment horizontal="center"/>
    </xf>
    <xf numFmtId="169" fontId="16" fillId="0" borderId="1" xfId="379" applyNumberFormat="1" applyFont="1" applyFill="1" applyBorder="1" applyAlignment="1">
      <alignment horizontal="center"/>
    </xf>
    <xf numFmtId="0" fontId="16" fillId="0" borderId="1" xfId="0" applyFont="1" applyFill="1" applyBorder="1" applyAlignment="1">
      <alignment horizontal="center"/>
    </xf>
    <xf numFmtId="166" fontId="16" fillId="0" borderId="8" xfId="0" applyNumberFormat="1" applyFont="1" applyFill="1" applyBorder="1" applyAlignment="1">
      <alignment horizontal="center"/>
    </xf>
    <xf numFmtId="49" fontId="10" fillId="0" borderId="2" xfId="0" applyNumberFormat="1" applyFont="1" applyFill="1" applyBorder="1" applyAlignment="1">
      <alignment horizontal="center"/>
    </xf>
    <xf numFmtId="49" fontId="10" fillId="0" borderId="9" xfId="0" applyNumberFormat="1" applyFont="1" applyFill="1" applyBorder="1" applyAlignment="1">
      <alignment horizontal="center"/>
    </xf>
    <xf numFmtId="0" fontId="10" fillId="0" borderId="11" xfId="0" applyFont="1" applyFill="1" applyBorder="1"/>
    <xf numFmtId="0" fontId="17" fillId="0" borderId="0" xfId="0" applyFont="1" applyAlignment="1">
      <alignment horizontal="center"/>
    </xf>
    <xf numFmtId="188" fontId="10" fillId="0" borderId="0" xfId="1448" applyNumberFormat="1" applyFont="1"/>
    <xf numFmtId="44" fontId="10" fillId="0" borderId="0" xfId="0" applyNumberFormat="1" applyFont="1"/>
    <xf numFmtId="189" fontId="10" fillId="0" borderId="0" xfId="0" applyNumberFormat="1" applyFont="1"/>
    <xf numFmtId="189" fontId="10" fillId="0" borderId="77" xfId="0" applyNumberFormat="1" applyFont="1" applyBorder="1"/>
    <xf numFmtId="44" fontId="10" fillId="0" borderId="0" xfId="1448" applyNumberFormat="1" applyFont="1"/>
    <xf numFmtId="189" fontId="10" fillId="0" borderId="105" xfId="0" applyNumberFormat="1" applyFont="1" applyBorder="1"/>
    <xf numFmtId="0" fontId="17" fillId="75" borderId="0" xfId="0" applyFont="1" applyFill="1" applyAlignment="1">
      <alignment horizontal="center" wrapText="1"/>
    </xf>
    <xf numFmtId="0" fontId="17" fillId="75" borderId="0" xfId="0" applyFont="1" applyFill="1" applyAlignment="1">
      <alignment horizontal="center"/>
    </xf>
    <xf numFmtId="0" fontId="10" fillId="0" borderId="76" xfId="0" applyFont="1" applyBorder="1" applyAlignment="1">
      <alignment horizontal="center"/>
    </xf>
    <xf numFmtId="169" fontId="10" fillId="0" borderId="77" xfId="379" applyNumberFormat="1" applyFont="1" applyBorder="1" applyAlignment="1"/>
    <xf numFmtId="0" fontId="10" fillId="0" borderId="77" xfId="0" applyFont="1" applyBorder="1" applyAlignment="1">
      <alignment horizontal="center"/>
    </xf>
    <xf numFmtId="0" fontId="10" fillId="0" borderId="17" xfId="0" applyFont="1" applyBorder="1" applyAlignment="1">
      <alignment horizontal="center"/>
    </xf>
    <xf numFmtId="0" fontId="10" fillId="0" borderId="78" xfId="0" applyFont="1" applyBorder="1" applyAlignment="1">
      <alignment horizontal="center"/>
    </xf>
    <xf numFmtId="169" fontId="10" fillId="0" borderId="0" xfId="379" applyNumberFormat="1" applyFont="1" applyBorder="1" applyAlignment="1"/>
    <xf numFmtId="166" fontId="10" fillId="0" borderId="0" xfId="0" applyNumberFormat="1" applyFont="1" applyBorder="1" applyAlignment="1">
      <alignment horizontal="center"/>
    </xf>
    <xf numFmtId="166" fontId="10" fillId="0" borderId="66" xfId="0" applyNumberFormat="1" applyFont="1" applyBorder="1" applyAlignment="1">
      <alignment horizontal="center"/>
    </xf>
    <xf numFmtId="0" fontId="10" fillId="0" borderId="66" xfId="0" applyFont="1" applyBorder="1" applyAlignment="1">
      <alignment horizontal="center"/>
    </xf>
    <xf numFmtId="0" fontId="10" fillId="0" borderId="78" xfId="0" applyFont="1" applyBorder="1"/>
    <xf numFmtId="169" fontId="10" fillId="0" borderId="0" xfId="379" applyNumberFormat="1" applyFont="1" applyBorder="1"/>
    <xf numFmtId="169" fontId="10" fillId="0" borderId="68" xfId="379" applyNumberFormat="1" applyFont="1" applyBorder="1"/>
    <xf numFmtId="166" fontId="10" fillId="0" borderId="68" xfId="0" applyNumberFormat="1" applyFont="1" applyBorder="1" applyAlignment="1">
      <alignment horizontal="center"/>
    </xf>
    <xf numFmtId="0" fontId="10" fillId="0" borderId="68" xfId="0" applyFont="1" applyBorder="1"/>
    <xf numFmtId="166" fontId="10" fillId="0" borderId="53" xfId="0" applyNumberFormat="1" applyFont="1" applyBorder="1" applyAlignment="1">
      <alignment horizontal="center"/>
    </xf>
    <xf numFmtId="0" fontId="10" fillId="75" borderId="76" xfId="0" applyFont="1" applyFill="1" applyBorder="1"/>
    <xf numFmtId="0" fontId="17" fillId="75" borderId="77" xfId="0" applyFont="1" applyFill="1" applyBorder="1" applyAlignment="1">
      <alignment horizontal="center"/>
    </xf>
    <xf numFmtId="0" fontId="17" fillId="75" borderId="52" xfId="0" applyFont="1" applyFill="1" applyBorder="1" applyAlignment="1">
      <alignment horizontal="center"/>
    </xf>
    <xf numFmtId="0" fontId="17" fillId="75" borderId="68" xfId="0" applyFont="1" applyFill="1" applyBorder="1" applyAlignment="1">
      <alignment horizontal="center"/>
    </xf>
    <xf numFmtId="0" fontId="17" fillId="75" borderId="68" xfId="0" applyFont="1" applyFill="1" applyBorder="1" applyAlignment="1">
      <alignment horizontal="center" wrapText="1"/>
    </xf>
    <xf numFmtId="0" fontId="17" fillId="75" borderId="53" xfId="0" applyFont="1" applyFill="1" applyBorder="1" applyAlignment="1">
      <alignment horizontal="center" wrapText="1"/>
    </xf>
    <xf numFmtId="0" fontId="10" fillId="0" borderId="52" xfId="0" applyFont="1" applyBorder="1" applyAlignment="1">
      <alignment horizontal="center"/>
    </xf>
    <xf numFmtId="169" fontId="10" fillId="0" borderId="68" xfId="379" applyNumberFormat="1" applyFont="1" applyBorder="1" applyAlignment="1"/>
    <xf numFmtId="0" fontId="10" fillId="0" borderId="68" xfId="0" applyFont="1" applyBorder="1" applyAlignment="1">
      <alignment horizontal="center"/>
    </xf>
    <xf numFmtId="169" fontId="10" fillId="0" borderId="77" xfId="379" applyNumberFormat="1" applyFont="1" applyBorder="1"/>
    <xf numFmtId="166" fontId="10" fillId="0" borderId="77" xfId="0" applyNumberFormat="1" applyFont="1" applyBorder="1" applyAlignment="1">
      <alignment horizontal="center"/>
    </xf>
    <xf numFmtId="0" fontId="10" fillId="0" borderId="77" xfId="0" applyFont="1" applyBorder="1"/>
    <xf numFmtId="166" fontId="10" fillId="0" borderId="17" xfId="0" applyNumberFormat="1" applyFont="1" applyBorder="1" applyAlignment="1">
      <alignment horizontal="center"/>
    </xf>
    <xf numFmtId="0" fontId="10" fillId="0" borderId="76" xfId="0" applyFont="1" applyBorder="1" applyAlignment="1">
      <alignment horizontal="right"/>
    </xf>
    <xf numFmtId="169" fontId="10" fillId="0" borderId="17" xfId="379" applyNumberFormat="1" applyFont="1" applyBorder="1"/>
    <xf numFmtId="0" fontId="10" fillId="0" borderId="78" xfId="0" applyFont="1" applyBorder="1" applyAlignment="1">
      <alignment horizontal="right"/>
    </xf>
    <xf numFmtId="169" fontId="10" fillId="0" borderId="66" xfId="379" applyNumberFormat="1" applyFont="1" applyBorder="1"/>
    <xf numFmtId="0" fontId="10" fillId="0" borderId="48" xfId="0" applyFont="1" applyBorder="1" applyAlignment="1">
      <alignment horizontal="center"/>
    </xf>
    <xf numFmtId="0" fontId="10" fillId="75" borderId="49" xfId="0" applyFont="1" applyFill="1" applyBorder="1" applyAlignment="1">
      <alignment horizontal="center"/>
    </xf>
    <xf numFmtId="0" fontId="10" fillId="75" borderId="21" xfId="0" applyFont="1" applyFill="1" applyBorder="1" applyAlignment="1">
      <alignment horizontal="center"/>
    </xf>
    <xf numFmtId="0" fontId="10" fillId="75" borderId="48" xfId="0" applyFont="1" applyFill="1" applyBorder="1" applyAlignment="1">
      <alignment horizontal="center"/>
    </xf>
    <xf numFmtId="0" fontId="10" fillId="0" borderId="48" xfId="0" applyFont="1" applyBorder="1"/>
    <xf numFmtId="169" fontId="10" fillId="0" borderId="49" xfId="379" applyNumberFormat="1" applyFont="1" applyBorder="1"/>
    <xf numFmtId="169" fontId="10" fillId="0" borderId="21" xfId="379" applyNumberFormat="1" applyFont="1" applyBorder="1"/>
    <xf numFmtId="0" fontId="17" fillId="75" borderId="1" xfId="0" applyFont="1" applyFill="1" applyBorder="1" applyAlignment="1" applyProtection="1">
      <alignment horizontal="center" wrapText="1"/>
      <protection locked="0"/>
    </xf>
    <xf numFmtId="0" fontId="10" fillId="75" borderId="1" xfId="0" applyFont="1" applyFill="1" applyBorder="1" applyAlignment="1" applyProtection="1">
      <alignment horizontal="center"/>
      <protection locked="0"/>
    </xf>
    <xf numFmtId="165" fontId="10" fillId="33" borderId="0" xfId="379" applyNumberFormat="1" applyFont="1" applyFill="1" applyBorder="1" applyAlignment="1">
      <alignment horizontal="center"/>
    </xf>
    <xf numFmtId="165" fontId="10" fillId="33" borderId="76" xfId="379" applyNumberFormat="1" applyFont="1" applyFill="1" applyBorder="1" applyAlignment="1">
      <alignment horizontal="center"/>
    </xf>
    <xf numFmtId="165" fontId="10" fillId="33" borderId="77" xfId="379" applyNumberFormat="1" applyFont="1" applyFill="1" applyBorder="1" applyAlignment="1">
      <alignment horizontal="center"/>
    </xf>
    <xf numFmtId="165" fontId="10" fillId="33" borderId="17" xfId="379" applyNumberFormat="1" applyFont="1" applyFill="1" applyBorder="1" applyAlignment="1">
      <alignment horizontal="center"/>
    </xf>
    <xf numFmtId="165" fontId="10" fillId="33" borderId="78" xfId="379" applyNumberFormat="1" applyFont="1" applyFill="1" applyBorder="1" applyAlignment="1">
      <alignment horizontal="center"/>
    </xf>
    <xf numFmtId="165" fontId="10" fillId="33" borderId="66" xfId="379" applyNumberFormat="1" applyFont="1" applyFill="1" applyBorder="1" applyAlignment="1">
      <alignment horizontal="center"/>
    </xf>
    <xf numFmtId="165" fontId="10" fillId="33" borderId="52" xfId="379" applyNumberFormat="1" applyFont="1" applyFill="1" applyBorder="1" applyAlignment="1">
      <alignment horizontal="center"/>
    </xf>
    <xf numFmtId="165" fontId="10" fillId="33" borderId="68" xfId="379" applyNumberFormat="1" applyFont="1" applyFill="1" applyBorder="1" applyAlignment="1">
      <alignment horizontal="center"/>
    </xf>
    <xf numFmtId="165" fontId="10" fillId="33" borderId="53" xfId="379" applyNumberFormat="1" applyFont="1" applyFill="1" applyBorder="1" applyAlignment="1">
      <alignment horizontal="center"/>
    </xf>
    <xf numFmtId="0" fontId="10" fillId="0" borderId="42" xfId="0" applyFont="1" applyBorder="1"/>
    <xf numFmtId="0" fontId="10" fillId="0" borderId="32" xfId="0" applyFont="1" applyBorder="1"/>
    <xf numFmtId="2" fontId="10" fillId="75" borderId="48" xfId="0" applyNumberFormat="1" applyFont="1" applyFill="1" applyBorder="1" applyAlignment="1" applyProtection="1">
      <alignment horizontal="center"/>
      <protection locked="0"/>
    </xf>
    <xf numFmtId="2" fontId="10" fillId="75" borderId="49" xfId="0" applyNumberFormat="1" applyFont="1" applyFill="1" applyBorder="1" applyAlignment="1" applyProtection="1">
      <alignment horizontal="center"/>
      <protection locked="0"/>
    </xf>
    <xf numFmtId="2" fontId="10" fillId="75" borderId="21" xfId="0" applyNumberFormat="1" applyFont="1" applyFill="1" applyBorder="1" applyAlignment="1" applyProtection="1">
      <alignment horizontal="center"/>
      <protection locked="0"/>
    </xf>
    <xf numFmtId="4" fontId="10" fillId="33" borderId="0" xfId="379" applyNumberFormat="1" applyFont="1" applyFill="1" applyBorder="1" applyAlignment="1">
      <alignment horizontal="center" vertical="center"/>
    </xf>
    <xf numFmtId="4" fontId="10" fillId="33" borderId="76" xfId="379" applyNumberFormat="1" applyFont="1" applyFill="1" applyBorder="1" applyAlignment="1">
      <alignment horizontal="center" vertical="center"/>
    </xf>
    <xf numFmtId="4" fontId="10" fillId="33" borderId="77" xfId="379" applyNumberFormat="1" applyFont="1" applyFill="1" applyBorder="1" applyAlignment="1">
      <alignment horizontal="center" vertical="center"/>
    </xf>
    <xf numFmtId="4" fontId="10" fillId="33" borderId="17" xfId="379" applyNumberFormat="1" applyFont="1" applyFill="1" applyBorder="1" applyAlignment="1">
      <alignment horizontal="center" vertical="center"/>
    </xf>
    <xf numFmtId="4" fontId="10" fillId="33" borderId="78" xfId="379" applyNumberFormat="1" applyFont="1" applyFill="1" applyBorder="1" applyAlignment="1">
      <alignment horizontal="center" vertical="center"/>
    </xf>
    <xf numFmtId="4" fontId="10" fillId="33" borderId="66" xfId="379" applyNumberFormat="1" applyFont="1" applyFill="1" applyBorder="1" applyAlignment="1">
      <alignment horizontal="center" vertical="center"/>
    </xf>
    <xf numFmtId="4" fontId="10" fillId="33" borderId="52" xfId="379" applyNumberFormat="1" applyFont="1" applyFill="1" applyBorder="1" applyAlignment="1">
      <alignment horizontal="center" vertical="center"/>
    </xf>
    <xf numFmtId="4" fontId="10" fillId="33" borderId="68" xfId="379" applyNumberFormat="1" applyFont="1" applyFill="1" applyBorder="1" applyAlignment="1">
      <alignment horizontal="center" vertical="center"/>
    </xf>
    <xf numFmtId="4" fontId="10" fillId="33" borderId="53" xfId="379" applyNumberFormat="1" applyFont="1" applyFill="1" applyBorder="1" applyAlignment="1">
      <alignment horizontal="center" vertical="center"/>
    </xf>
    <xf numFmtId="2" fontId="10" fillId="33" borderId="0" xfId="634" applyNumberFormat="1" applyFont="1" applyFill="1" applyBorder="1" applyAlignment="1">
      <alignment horizontal="center"/>
    </xf>
    <xf numFmtId="2" fontId="10" fillId="33" borderId="76" xfId="634" applyNumberFormat="1" applyFont="1" applyFill="1" applyBorder="1" applyAlignment="1">
      <alignment horizontal="center"/>
    </xf>
    <xf numFmtId="2" fontId="10" fillId="33" borderId="77" xfId="634" applyNumberFormat="1" applyFont="1" applyFill="1" applyBorder="1" applyAlignment="1">
      <alignment horizontal="center"/>
    </xf>
    <xf numFmtId="2" fontId="10" fillId="33" borderId="17" xfId="634" applyNumberFormat="1" applyFont="1" applyFill="1" applyBorder="1" applyAlignment="1">
      <alignment horizontal="center"/>
    </xf>
    <xf numFmtId="2" fontId="10" fillId="33" borderId="78" xfId="634" applyNumberFormat="1" applyFont="1" applyFill="1" applyBorder="1" applyAlignment="1">
      <alignment horizontal="center"/>
    </xf>
    <xf numFmtId="2" fontId="10" fillId="33" borderId="66" xfId="634" applyNumberFormat="1" applyFont="1" applyFill="1" applyBorder="1" applyAlignment="1">
      <alignment horizontal="center"/>
    </xf>
    <xf numFmtId="2" fontId="10" fillId="33" borderId="52" xfId="634" applyNumberFormat="1" applyFont="1" applyFill="1" applyBorder="1" applyAlignment="1">
      <alignment horizontal="center"/>
    </xf>
    <xf numFmtId="2" fontId="10" fillId="33" borderId="68" xfId="634" applyNumberFormat="1" applyFont="1" applyFill="1" applyBorder="1" applyAlignment="1">
      <alignment horizontal="center"/>
    </xf>
    <xf numFmtId="2" fontId="10" fillId="33" borderId="53" xfId="634" applyNumberFormat="1" applyFont="1" applyFill="1" applyBorder="1" applyAlignment="1">
      <alignment horizontal="center"/>
    </xf>
    <xf numFmtId="0" fontId="56" fillId="75" borderId="24" xfId="0" applyFont="1" applyFill="1" applyBorder="1" applyAlignment="1">
      <alignment horizontal="centerContinuous"/>
    </xf>
    <xf numFmtId="0" fontId="56" fillId="75" borderId="24" xfId="0" applyFont="1" applyFill="1" applyBorder="1" applyAlignment="1">
      <alignment horizontal="center"/>
    </xf>
    <xf numFmtId="3" fontId="16" fillId="0" borderId="1" xfId="636" applyNumberFormat="1" applyFont="1" applyFill="1" applyBorder="1" applyAlignment="1">
      <alignment horizontal="center" vertical="center" wrapText="1"/>
    </xf>
    <xf numFmtId="176" fontId="16" fillId="0" borderId="1" xfId="636" applyNumberFormat="1" applyFont="1" applyFill="1" applyBorder="1" applyAlignment="1">
      <alignment horizontal="center" vertical="center" wrapText="1"/>
    </xf>
    <xf numFmtId="169" fontId="44" fillId="0" borderId="0" xfId="379" applyNumberFormat="1" applyFont="1" applyBorder="1" applyAlignment="1">
      <alignment horizontal="right" vertical="center" wrapText="1"/>
    </xf>
    <xf numFmtId="169" fontId="10" fillId="0" borderId="0" xfId="379" applyNumberFormat="1" applyFont="1" applyFill="1" applyBorder="1" applyAlignment="1">
      <alignment horizontal="right"/>
    </xf>
    <xf numFmtId="169" fontId="42" fillId="0" borderId="0" xfId="379" applyNumberFormat="1" applyFont="1" applyFill="1" applyBorder="1" applyAlignment="1">
      <alignment horizontal="right"/>
    </xf>
    <xf numFmtId="169" fontId="10" fillId="0" borderId="0" xfId="379" applyNumberFormat="1" applyFont="1" applyBorder="1" applyAlignment="1">
      <alignment horizontal="right" vertical="center" wrapText="1"/>
    </xf>
    <xf numFmtId="169" fontId="17" fillId="0" borderId="0" xfId="379" applyNumberFormat="1" applyFont="1" applyFill="1" applyBorder="1" applyAlignment="1">
      <alignment horizontal="right"/>
    </xf>
    <xf numFmtId="2" fontId="10" fillId="0" borderId="76" xfId="379" applyNumberFormat="1" applyFont="1" applyFill="1" applyBorder="1" applyAlignment="1" applyProtection="1">
      <alignment horizontal="center"/>
      <protection locked="0"/>
    </xf>
    <xf numFmtId="2" fontId="10" fillId="0" borderId="77" xfId="379" applyNumberFormat="1" applyFont="1" applyFill="1" applyBorder="1" applyAlignment="1" applyProtection="1">
      <alignment horizontal="center"/>
      <protection locked="0"/>
    </xf>
    <xf numFmtId="169" fontId="44" fillId="0" borderId="77" xfId="379" applyNumberFormat="1" applyFont="1" applyBorder="1" applyAlignment="1">
      <alignment horizontal="right" vertical="center" wrapText="1"/>
    </xf>
    <xf numFmtId="169" fontId="44" fillId="0" borderId="17" xfId="379" applyNumberFormat="1" applyFont="1" applyBorder="1" applyAlignment="1">
      <alignment horizontal="right" vertical="center" wrapText="1"/>
    </xf>
    <xf numFmtId="0" fontId="10" fillId="0" borderId="78" xfId="0" applyFont="1" applyFill="1" applyBorder="1"/>
    <xf numFmtId="169" fontId="44" fillId="0" borderId="66" xfId="379" applyNumberFormat="1" applyFont="1" applyBorder="1" applyAlignment="1">
      <alignment horizontal="right" vertical="center" wrapText="1"/>
    </xf>
    <xf numFmtId="169" fontId="10" fillId="0" borderId="66" xfId="379" applyNumberFormat="1" applyFont="1" applyFill="1" applyBorder="1" applyAlignment="1">
      <alignment horizontal="right"/>
    </xf>
    <xf numFmtId="169" fontId="42" fillId="0" borderId="66" xfId="379" applyNumberFormat="1" applyFont="1" applyFill="1" applyBorder="1" applyAlignment="1">
      <alignment horizontal="right"/>
    </xf>
    <xf numFmtId="2" fontId="10" fillId="0" borderId="78" xfId="379" applyNumberFormat="1" applyFont="1" applyFill="1" applyBorder="1" applyAlignment="1" applyProtection="1">
      <alignment horizontal="center"/>
      <protection locked="0"/>
    </xf>
    <xf numFmtId="0" fontId="17" fillId="0" borderId="78" xfId="0" applyFont="1" applyBorder="1"/>
    <xf numFmtId="169" fontId="17" fillId="0" borderId="66" xfId="379" applyNumberFormat="1" applyFont="1" applyFill="1" applyBorder="1" applyAlignment="1">
      <alignment horizontal="right"/>
    </xf>
    <xf numFmtId="0" fontId="17" fillId="0" borderId="52" xfId="0" applyFont="1" applyBorder="1"/>
    <xf numFmtId="0" fontId="17" fillId="0" borderId="68" xfId="0" applyFont="1" applyBorder="1"/>
    <xf numFmtId="169" fontId="17" fillId="0" borderId="68" xfId="379" applyNumberFormat="1" applyFont="1" applyFill="1" applyBorder="1" applyAlignment="1">
      <alignment horizontal="right"/>
    </xf>
    <xf numFmtId="169" fontId="17" fillId="0" borderId="53" xfId="379" applyNumberFormat="1" applyFont="1" applyFill="1" applyBorder="1" applyAlignment="1">
      <alignment horizontal="right"/>
    </xf>
    <xf numFmtId="0" fontId="10" fillId="60" borderId="48" xfId="0" applyFont="1" applyFill="1" applyBorder="1"/>
    <xf numFmtId="0" fontId="10" fillId="60" borderId="49" xfId="0" applyFont="1" applyFill="1" applyBorder="1" applyAlignment="1">
      <alignment horizontal="center"/>
    </xf>
    <xf numFmtId="49" fontId="10" fillId="60" borderId="49" xfId="0" applyNumberFormat="1" applyFont="1" applyFill="1" applyBorder="1" applyAlignment="1">
      <alignment horizontal="center"/>
    </xf>
    <xf numFmtId="49" fontId="10" fillId="60" borderId="21" xfId="0" applyNumberFormat="1" applyFont="1" applyFill="1" applyBorder="1" applyAlignment="1">
      <alignment horizontal="center"/>
    </xf>
    <xf numFmtId="0" fontId="17" fillId="0" borderId="76" xfId="0" applyFont="1" applyBorder="1"/>
    <xf numFmtId="0" fontId="17" fillId="0" borderId="77" xfId="0" applyFont="1" applyBorder="1"/>
    <xf numFmtId="169" fontId="17" fillId="0" borderId="77" xfId="379" applyNumberFormat="1" applyFont="1" applyFill="1" applyBorder="1" applyAlignment="1">
      <alignment horizontal="right"/>
    </xf>
    <xf numFmtId="169" fontId="17" fillId="0" borderId="17" xfId="379" applyNumberFormat="1" applyFont="1" applyFill="1" applyBorder="1" applyAlignment="1">
      <alignment horizontal="right"/>
    </xf>
    <xf numFmtId="0" fontId="10" fillId="75" borderId="34" xfId="521" applyFont="1" applyFill="1" applyBorder="1" applyAlignment="1">
      <alignment horizontal="center" wrapText="1"/>
    </xf>
    <xf numFmtId="0" fontId="10" fillId="75" borderId="33" xfId="521" applyFont="1" applyFill="1" applyBorder="1"/>
    <xf numFmtId="0" fontId="10" fillId="75" borderId="106" xfId="521" applyFont="1" applyFill="1" applyBorder="1"/>
    <xf numFmtId="0" fontId="10" fillId="75" borderId="34" xfId="521" applyFont="1" applyFill="1" applyBorder="1" applyAlignment="1">
      <alignment horizontal="center"/>
    </xf>
    <xf numFmtId="2" fontId="10" fillId="75" borderId="35" xfId="521" applyNumberFormat="1" applyFont="1" applyFill="1" applyBorder="1" applyAlignment="1">
      <alignment horizontal="center"/>
    </xf>
    <xf numFmtId="0" fontId="10" fillId="0" borderId="0" xfId="521" applyFont="1" applyBorder="1"/>
    <xf numFmtId="0" fontId="10" fillId="0" borderId="0" xfId="521" applyFont="1" applyBorder="1" applyAlignment="1">
      <alignment horizontal="center"/>
    </xf>
    <xf numFmtId="49" fontId="10" fillId="0" borderId="0" xfId="521" applyNumberFormat="1" applyFont="1" applyBorder="1"/>
    <xf numFmtId="2" fontId="10" fillId="0" borderId="45" xfId="521" applyNumberFormat="1" applyFont="1" applyBorder="1"/>
    <xf numFmtId="0" fontId="10" fillId="0" borderId="46" xfId="521" applyFont="1" applyBorder="1"/>
    <xf numFmtId="0" fontId="10" fillId="0" borderId="46" xfId="521" applyFont="1" applyBorder="1" applyAlignment="1">
      <alignment horizontal="center"/>
    </xf>
    <xf numFmtId="2" fontId="10" fillId="0" borderId="43" xfId="521" applyNumberFormat="1" applyFont="1" applyBorder="1"/>
    <xf numFmtId="0" fontId="10" fillId="0" borderId="43" xfId="521" applyFont="1" applyBorder="1"/>
    <xf numFmtId="0" fontId="10" fillId="0" borderId="44" xfId="521" applyFont="1" applyBorder="1"/>
    <xf numFmtId="0" fontId="10" fillId="0" borderId="25" xfId="521" applyFont="1" applyBorder="1"/>
    <xf numFmtId="0" fontId="10" fillId="0" borderId="25" xfId="521" applyFont="1" applyBorder="1" applyAlignment="1">
      <alignment horizontal="center"/>
    </xf>
    <xf numFmtId="169" fontId="10" fillId="0" borderId="38" xfId="379" applyNumberFormat="1" applyFont="1" applyFill="1" applyBorder="1" applyAlignment="1">
      <alignment horizontal="center"/>
    </xf>
    <xf numFmtId="0" fontId="10" fillId="75" borderId="33" xfId="521" applyFont="1" applyFill="1" applyBorder="1" applyAlignment="1">
      <alignment horizontal="center" wrapText="1"/>
    </xf>
    <xf numFmtId="0" fontId="10" fillId="75" borderId="107" xfId="521" applyFont="1" applyFill="1" applyBorder="1" applyAlignment="1">
      <alignment horizontal="center" wrapText="1"/>
    </xf>
    <xf numFmtId="0" fontId="10" fillId="75" borderId="35" xfId="521" applyFont="1" applyFill="1" applyBorder="1" applyAlignment="1">
      <alignment horizontal="center" wrapText="1"/>
    </xf>
    <xf numFmtId="9" fontId="10" fillId="0" borderId="23" xfId="557" applyFont="1" applyFill="1" applyBorder="1" applyAlignment="1">
      <alignment horizontal="center"/>
    </xf>
    <xf numFmtId="9" fontId="10" fillId="0" borderId="0" xfId="557" applyFont="1" applyFill="1" applyBorder="1" applyAlignment="1">
      <alignment horizontal="center"/>
    </xf>
    <xf numFmtId="3" fontId="10" fillId="0" borderId="0" xfId="379" applyNumberFormat="1" applyFont="1" applyFill="1" applyBorder="1" applyAlignment="1">
      <alignment horizontal="center"/>
    </xf>
    <xf numFmtId="169" fontId="10" fillId="33" borderId="0" xfId="379" applyNumberFormat="1" applyFont="1" applyFill="1" applyBorder="1"/>
    <xf numFmtId="3" fontId="10" fillId="0" borderId="0" xfId="0" applyNumberFormat="1" applyFont="1" applyBorder="1"/>
    <xf numFmtId="3" fontId="42" fillId="0" borderId="0" xfId="379" applyNumberFormat="1" applyFont="1" applyFill="1" applyBorder="1" applyAlignment="1">
      <alignment horizontal="center"/>
    </xf>
    <xf numFmtId="3" fontId="10" fillId="0" borderId="0" xfId="558" applyNumberFormat="1" applyFont="1" applyFill="1" applyBorder="1" applyAlignment="1">
      <alignment horizontal="center"/>
    </xf>
    <xf numFmtId="182" fontId="10" fillId="61" borderId="45" xfId="634" applyNumberFormat="1" applyFont="1" applyFill="1" applyBorder="1" applyAlignment="1">
      <alignment horizontal="center" vertical="center"/>
    </xf>
    <xf numFmtId="9" fontId="10" fillId="0" borderId="46" xfId="557" applyFont="1" applyFill="1" applyBorder="1" applyAlignment="1">
      <alignment horizontal="center"/>
    </xf>
    <xf numFmtId="3" fontId="10" fillId="0" borderId="46" xfId="379" applyNumberFormat="1" applyFont="1" applyFill="1" applyBorder="1" applyAlignment="1">
      <alignment horizontal="center"/>
    </xf>
    <xf numFmtId="169" fontId="10" fillId="33" borderId="46" xfId="379" applyNumberFormat="1" applyFont="1" applyFill="1" applyBorder="1"/>
    <xf numFmtId="3" fontId="10" fillId="0" borderId="47" xfId="0" applyNumberFormat="1" applyFont="1" applyBorder="1"/>
    <xf numFmtId="10" fontId="10" fillId="0" borderId="43" xfId="558" applyNumberFormat="1" applyFont="1" applyFill="1" applyBorder="1" applyAlignment="1">
      <alignment horizontal="center"/>
    </xf>
    <xf numFmtId="3" fontId="10" fillId="0" borderId="39" xfId="0" applyNumberFormat="1" applyFont="1" applyBorder="1"/>
    <xf numFmtId="167" fontId="10" fillId="0" borderId="43" xfId="558" applyNumberFormat="1" applyFont="1" applyFill="1" applyBorder="1" applyAlignment="1">
      <alignment horizontal="center"/>
    </xf>
    <xf numFmtId="0" fontId="10" fillId="0" borderId="39" xfId="0" applyFont="1" applyBorder="1"/>
    <xf numFmtId="182" fontId="10" fillId="61" borderId="43" xfId="634" applyNumberFormat="1" applyFont="1" applyFill="1" applyBorder="1" applyAlignment="1">
      <alignment horizontal="center" vertical="center"/>
    </xf>
    <xf numFmtId="169" fontId="10" fillId="0" borderId="39" xfId="379" applyNumberFormat="1" applyFont="1" applyBorder="1"/>
    <xf numFmtId="182" fontId="10" fillId="0" borderId="43" xfId="634" applyNumberFormat="1" applyFont="1" applyBorder="1" applyAlignment="1">
      <alignment horizontal="center" vertical="center"/>
    </xf>
    <xf numFmtId="10" fontId="10" fillId="0" borderId="44" xfId="558" applyNumberFormat="1" applyFont="1" applyFill="1" applyBorder="1" applyAlignment="1">
      <alignment horizontal="center"/>
    </xf>
    <xf numFmtId="3" fontId="10" fillId="0" borderId="25" xfId="558" applyNumberFormat="1" applyFont="1" applyFill="1" applyBorder="1" applyAlignment="1">
      <alignment horizontal="center"/>
    </xf>
    <xf numFmtId="3" fontId="42" fillId="0" borderId="25" xfId="379" applyNumberFormat="1" applyFont="1" applyFill="1" applyBorder="1" applyAlignment="1">
      <alignment horizontal="center"/>
    </xf>
    <xf numFmtId="0" fontId="10" fillId="33" borderId="25" xfId="0" applyFont="1" applyFill="1" applyBorder="1"/>
    <xf numFmtId="0" fontId="10" fillId="0" borderId="38" xfId="0" applyFont="1" applyBorder="1"/>
    <xf numFmtId="189" fontId="10" fillId="0" borderId="0" xfId="1448" applyNumberFormat="1" applyFont="1" applyBorder="1"/>
    <xf numFmtId="167" fontId="10" fillId="0" borderId="0" xfId="557" applyNumberFormat="1" applyFont="1" applyBorder="1"/>
    <xf numFmtId="0" fontId="10" fillId="0" borderId="66" xfId="0" applyFont="1" applyBorder="1"/>
    <xf numFmtId="167" fontId="10" fillId="0" borderId="66" xfId="557" applyNumberFormat="1" applyFont="1" applyBorder="1"/>
    <xf numFmtId="0" fontId="10" fillId="0" borderId="78" xfId="0" applyFont="1" applyBorder="1" applyAlignment="1">
      <alignment horizontal="center" wrapText="1"/>
    </xf>
    <xf numFmtId="3" fontId="10" fillId="0" borderId="68" xfId="0" applyNumberFormat="1" applyFont="1" applyBorder="1"/>
    <xf numFmtId="167" fontId="10" fillId="0" borderId="68" xfId="557" applyNumberFormat="1" applyFont="1" applyBorder="1"/>
    <xf numFmtId="189" fontId="10" fillId="0" borderId="68" xfId="1448" applyNumberFormat="1" applyFont="1" applyBorder="1"/>
    <xf numFmtId="167" fontId="10" fillId="0" borderId="53" xfId="557" applyNumberFormat="1" applyFont="1" applyBorder="1"/>
    <xf numFmtId="0" fontId="10" fillId="0" borderId="77" xfId="0" applyFont="1" applyBorder="1" applyAlignment="1">
      <alignment wrapText="1"/>
    </xf>
    <xf numFmtId="0" fontId="10" fillId="0" borderId="17" xfId="0" applyFont="1" applyBorder="1"/>
    <xf numFmtId="0" fontId="17" fillId="75" borderId="78" xfId="0" applyFont="1" applyFill="1" applyBorder="1" applyAlignment="1">
      <alignment horizontal="center"/>
    </xf>
    <xf numFmtId="0" fontId="17" fillId="75" borderId="0" xfId="0" applyFont="1" applyFill="1" applyBorder="1" applyAlignment="1">
      <alignment horizontal="center"/>
    </xf>
    <xf numFmtId="0" fontId="17" fillId="75" borderId="0" xfId="0" applyFont="1" applyFill="1" applyBorder="1" applyAlignment="1">
      <alignment horizontal="center" wrapText="1"/>
    </xf>
    <xf numFmtId="0" fontId="17" fillId="75" borderId="66" xfId="0" applyFont="1" applyFill="1" applyBorder="1" applyAlignment="1">
      <alignment horizontal="center"/>
    </xf>
    <xf numFmtId="0" fontId="10" fillId="0" borderId="49" xfId="0" applyFont="1" applyBorder="1"/>
    <xf numFmtId="167" fontId="10" fillId="0" borderId="49" xfId="557" applyNumberFormat="1" applyFont="1" applyBorder="1"/>
    <xf numFmtId="167" fontId="10" fillId="0" borderId="21" xfId="557" applyNumberFormat="1" applyFont="1" applyBorder="1"/>
    <xf numFmtId="165" fontId="10" fillId="0" borderId="0" xfId="379" applyNumberFormat="1" applyFont="1" applyBorder="1"/>
    <xf numFmtId="165" fontId="10" fillId="0" borderId="68" xfId="379" applyNumberFormat="1" applyFont="1" applyBorder="1"/>
    <xf numFmtId="43" fontId="10" fillId="0" borderId="0" xfId="0" applyNumberFormat="1" applyFont="1"/>
    <xf numFmtId="189" fontId="10" fillId="0" borderId="0" xfId="0" applyNumberFormat="1" applyFont="1" applyBorder="1"/>
    <xf numFmtId="3" fontId="10" fillId="0" borderId="1" xfId="0" applyNumberFormat="1" applyFont="1" applyBorder="1" applyAlignment="1">
      <alignment horizontal="center" vertical="center" wrapText="1"/>
    </xf>
    <xf numFmtId="165" fontId="10" fillId="0" borderId="48" xfId="379" applyFont="1" applyBorder="1" applyAlignment="1">
      <alignment horizontal="center" vertical="center" wrapText="1"/>
    </xf>
    <xf numFmtId="175" fontId="10" fillId="0" borderId="1" xfId="379" applyNumberFormat="1" applyFont="1" applyBorder="1" applyAlignment="1">
      <alignment horizontal="center" vertical="center" wrapText="1"/>
    </xf>
    <xf numFmtId="168" fontId="10" fillId="0" borderId="8" xfId="0" applyNumberFormat="1" applyFont="1" applyBorder="1" applyAlignment="1">
      <alignment horizontal="center" vertical="center" wrapText="1"/>
    </xf>
    <xf numFmtId="169" fontId="10" fillId="0" borderId="48" xfId="379" applyNumberFormat="1" applyFont="1" applyBorder="1" applyAlignment="1">
      <alignment horizontal="center" vertical="center" wrapText="1"/>
    </xf>
    <xf numFmtId="0" fontId="10" fillId="0" borderId="21" xfId="0" applyFont="1" applyBorder="1" applyAlignment="1">
      <alignment horizontal="center" vertical="center" wrapText="1"/>
    </xf>
    <xf numFmtId="165" fontId="16" fillId="0" borderId="8" xfId="379" applyFont="1" applyBorder="1" applyAlignment="1">
      <alignment horizontal="center" vertical="center" wrapText="1"/>
    </xf>
    <xf numFmtId="3" fontId="26" fillId="0" borderId="1" xfId="0" applyNumberFormat="1" applyFont="1" applyBorder="1" applyAlignment="1">
      <alignment horizontal="center" vertical="center" wrapText="1"/>
    </xf>
    <xf numFmtId="165" fontId="12" fillId="0" borderId="1" xfId="767" applyNumberFormat="1" applyFont="1" applyFill="1" applyBorder="1" applyAlignment="1">
      <alignment horizontal="center" vertical="center"/>
    </xf>
    <xf numFmtId="0" fontId="111" fillId="65" borderId="1" xfId="1446" applyFont="1" applyFill="1" applyBorder="1" applyAlignment="1" applyProtection="1">
      <alignment wrapText="1"/>
      <protection locked="0"/>
    </xf>
    <xf numFmtId="165" fontId="111" fillId="65" borderId="1" xfId="1446" applyNumberFormat="1" applyFont="1" applyFill="1" applyBorder="1" applyAlignment="1" applyProtection="1">
      <alignment horizontal="center" vertical="center"/>
      <protection locked="0"/>
    </xf>
    <xf numFmtId="0" fontId="17" fillId="0" borderId="1" xfId="1446" applyFont="1" applyFill="1" applyBorder="1" applyAlignment="1" applyProtection="1">
      <alignment wrapText="1"/>
      <protection locked="0"/>
    </xf>
    <xf numFmtId="165" fontId="114" fillId="0" borderId="1" xfId="768" applyFont="1" applyFill="1" applyBorder="1" applyAlignment="1" applyProtection="1">
      <alignment horizontal="center" vertical="center"/>
      <protection locked="0"/>
    </xf>
    <xf numFmtId="165" fontId="111" fillId="65" borderId="1" xfId="768" applyFont="1" applyFill="1" applyBorder="1" applyAlignment="1" applyProtection="1">
      <alignment horizontal="center" vertical="center"/>
      <protection locked="0"/>
    </xf>
    <xf numFmtId="186" fontId="111" fillId="65" borderId="1" xfId="1446" applyNumberFormat="1" applyFont="1" applyFill="1" applyBorder="1" applyAlignment="1" applyProtection="1">
      <alignment horizontal="center" vertical="center"/>
      <protection locked="0"/>
    </xf>
    <xf numFmtId="165" fontId="120" fillId="70" borderId="1" xfId="768" applyFont="1" applyFill="1" applyBorder="1" applyAlignment="1" applyProtection="1">
      <alignment horizontal="center" vertical="center"/>
      <protection locked="0"/>
    </xf>
    <xf numFmtId="0" fontId="10" fillId="74" borderId="1" xfId="1446" applyFont="1" applyFill="1" applyBorder="1" applyAlignment="1" applyProtection="1">
      <alignment wrapText="1"/>
      <protection locked="0"/>
    </xf>
    <xf numFmtId="165" fontId="120" fillId="60" borderId="1" xfId="768" applyFont="1" applyFill="1" applyBorder="1" applyAlignment="1" applyProtection="1">
      <alignment horizontal="center" vertical="center"/>
      <protection locked="0"/>
    </xf>
    <xf numFmtId="186" fontId="120" fillId="60" borderId="1" xfId="768" applyNumberFormat="1" applyFont="1" applyFill="1" applyBorder="1" applyAlignment="1" applyProtection="1">
      <alignment horizontal="center" vertical="center"/>
      <protection locked="0"/>
    </xf>
    <xf numFmtId="186" fontId="120" fillId="74" borderId="1" xfId="768" applyNumberFormat="1" applyFont="1" applyFill="1" applyBorder="1" applyAlignment="1" applyProtection="1">
      <alignment horizontal="center" vertical="center"/>
      <protection locked="0"/>
    </xf>
    <xf numFmtId="0" fontId="17" fillId="70" borderId="1" xfId="1446" applyFont="1" applyFill="1" applyBorder="1" applyAlignment="1" applyProtection="1">
      <alignment wrapText="1"/>
      <protection locked="0"/>
    </xf>
    <xf numFmtId="165" fontId="120" fillId="0" borderId="1" xfId="768" applyFont="1" applyFill="1" applyBorder="1" applyAlignment="1" applyProtection="1">
      <alignment horizontal="center" vertical="center"/>
      <protection locked="0"/>
    </xf>
    <xf numFmtId="165" fontId="124" fillId="70" borderId="1" xfId="768" applyFont="1" applyFill="1" applyBorder="1" applyAlignment="1" applyProtection="1">
      <alignment horizontal="center" vertical="center"/>
      <protection locked="0"/>
    </xf>
    <xf numFmtId="186" fontId="120" fillId="65" borderId="1" xfId="768" applyNumberFormat="1" applyFont="1" applyFill="1" applyBorder="1" applyAlignment="1" applyProtection="1">
      <alignment horizontal="center" vertical="center"/>
      <protection locked="0"/>
    </xf>
    <xf numFmtId="0" fontId="10" fillId="0" borderId="43" xfId="0" applyFont="1" applyBorder="1" applyAlignment="1">
      <alignment horizontal="center"/>
    </xf>
    <xf numFmtId="2" fontId="10" fillId="0" borderId="0" xfId="0" applyNumberFormat="1" applyFont="1" applyBorder="1"/>
    <xf numFmtId="2" fontId="10" fillId="73" borderId="44" xfId="0" applyNumberFormat="1" applyFont="1" applyFill="1" applyBorder="1"/>
    <xf numFmtId="2" fontId="10" fillId="73" borderId="25" xfId="0" applyNumberFormat="1" applyFont="1" applyFill="1" applyBorder="1"/>
    <xf numFmtId="166" fontId="10" fillId="0" borderId="43" xfId="0" applyNumberFormat="1" applyFont="1" applyBorder="1"/>
    <xf numFmtId="166" fontId="10" fillId="0" borderId="0" xfId="0" applyNumberFormat="1" applyFont="1" applyBorder="1"/>
    <xf numFmtId="166" fontId="10" fillId="0" borderId="39" xfId="0" applyNumberFormat="1" applyFont="1" applyBorder="1"/>
    <xf numFmtId="166" fontId="10" fillId="73" borderId="44" xfId="0" applyNumberFormat="1" applyFont="1" applyFill="1" applyBorder="1"/>
    <xf numFmtId="166" fontId="10" fillId="73" borderId="25" xfId="0" applyNumberFormat="1" applyFont="1" applyFill="1" applyBorder="1"/>
    <xf numFmtId="166" fontId="10" fillId="73" borderId="38" xfId="0" applyNumberFormat="1" applyFont="1" applyFill="1" applyBorder="1"/>
    <xf numFmtId="166" fontId="10" fillId="0" borderId="0" xfId="0" applyNumberFormat="1" applyFont="1"/>
    <xf numFmtId="37" fontId="10" fillId="0" borderId="1" xfId="0" applyNumberFormat="1" applyFont="1" applyBorder="1" applyAlignment="1">
      <alignment horizontal="center"/>
    </xf>
    <xf numFmtId="0" fontId="10" fillId="0" borderId="1" xfId="0" applyFont="1" applyBorder="1" applyAlignment="1">
      <alignment horizontal="center"/>
    </xf>
    <xf numFmtId="0" fontId="10" fillId="0" borderId="1" xfId="0" applyFont="1" applyBorder="1"/>
    <xf numFmtId="189" fontId="10" fillId="0" borderId="1" xfId="1448" applyNumberFormat="1" applyFont="1" applyBorder="1" applyAlignment="1">
      <alignment horizontal="center"/>
    </xf>
    <xf numFmtId="167" fontId="10" fillId="0" borderId="1" xfId="557" applyNumberFormat="1" applyFont="1" applyBorder="1" applyAlignment="1">
      <alignment horizontal="center"/>
    </xf>
    <xf numFmtId="0" fontId="17" fillId="75" borderId="19" xfId="0" applyFont="1" applyFill="1" applyBorder="1" applyAlignment="1">
      <alignment horizontal="center" wrapText="1"/>
    </xf>
    <xf numFmtId="0" fontId="17" fillId="75" borderId="12" xfId="0" applyFont="1" applyFill="1" applyBorder="1" applyAlignment="1">
      <alignment horizontal="center" wrapText="1"/>
    </xf>
    <xf numFmtId="0" fontId="17" fillId="75" borderId="13" xfId="0" applyFont="1" applyFill="1" applyBorder="1" applyAlignment="1">
      <alignment horizontal="center" wrapText="1"/>
    </xf>
    <xf numFmtId="0" fontId="10" fillId="0" borderId="2" xfId="0" applyFont="1" applyBorder="1" applyAlignment="1">
      <alignment horizontal="left"/>
    </xf>
    <xf numFmtId="167" fontId="10" fillId="0" borderId="8" xfId="557" applyNumberFormat="1" applyFont="1" applyBorder="1" applyAlignment="1">
      <alignment horizontal="center"/>
    </xf>
    <xf numFmtId="167" fontId="10" fillId="0" borderId="10" xfId="0" applyNumberFormat="1" applyFont="1" applyBorder="1" applyAlignment="1">
      <alignment horizontal="center"/>
    </xf>
    <xf numFmtId="167" fontId="10" fillId="0" borderId="11" xfId="0" applyNumberFormat="1" applyFont="1" applyBorder="1" applyAlignment="1">
      <alignment horizontal="center"/>
    </xf>
    <xf numFmtId="3" fontId="10" fillId="0" borderId="1" xfId="0" applyNumberFormat="1" applyFont="1" applyBorder="1" applyAlignment="1">
      <alignment horizontal="center"/>
    </xf>
    <xf numFmtId="0" fontId="10" fillId="75" borderId="48" xfId="0" applyFont="1" applyFill="1" applyBorder="1" applyAlignment="1">
      <alignment horizontal="center"/>
    </xf>
    <xf numFmtId="0" fontId="10" fillId="75" borderId="49" xfId="0" applyFont="1" applyFill="1" applyBorder="1" applyAlignment="1">
      <alignment horizontal="center"/>
    </xf>
    <xf numFmtId="0" fontId="10" fillId="75" borderId="21" xfId="0" applyFont="1" applyFill="1" applyBorder="1" applyAlignment="1">
      <alignment horizontal="center"/>
    </xf>
    <xf numFmtId="182" fontId="10" fillId="0" borderId="0" xfId="379" applyNumberFormat="1" applyFont="1"/>
    <xf numFmtId="169" fontId="10" fillId="0" borderId="0" xfId="379" applyNumberFormat="1" applyFont="1" applyAlignment="1">
      <alignment horizontal="left"/>
    </xf>
    <xf numFmtId="169" fontId="10" fillId="0" borderId="0" xfId="379" applyNumberFormat="1" applyFont="1" applyAlignment="1">
      <alignment horizontal="left" wrapText="1"/>
    </xf>
    <xf numFmtId="0" fontId="10" fillId="75" borderId="48" xfId="0" applyFont="1" applyFill="1" applyBorder="1" applyAlignment="1">
      <alignment horizontal="left"/>
    </xf>
    <xf numFmtId="171" fontId="80" fillId="33" borderId="0" xfId="1447" applyNumberFormat="1" applyFill="1" applyBorder="1" applyAlignment="1">
      <alignment horizontal="left"/>
    </xf>
    <xf numFmtId="171" fontId="10" fillId="33" borderId="0" xfId="383" applyNumberFormat="1" applyFont="1" applyFill="1" applyBorder="1" applyAlignment="1">
      <alignment horizontal="left"/>
    </xf>
    <xf numFmtId="171" fontId="10" fillId="0" borderId="0" xfId="383" applyNumberFormat="1" applyFont="1" applyFill="1" applyBorder="1" applyAlignment="1">
      <alignment horizontal="center"/>
    </xf>
    <xf numFmtId="0" fontId="23" fillId="0" borderId="0" xfId="0" applyFont="1" applyAlignment="1">
      <alignment horizontal="center" vertical="top"/>
    </xf>
    <xf numFmtId="0" fontId="24" fillId="0" borderId="0" xfId="0" applyFont="1" applyAlignment="1">
      <alignment horizontal="left" vertical="top"/>
    </xf>
    <xf numFmtId="0" fontId="59" fillId="0" borderId="0" xfId="0" applyFont="1" applyBorder="1" applyAlignment="1">
      <alignment horizontal="center" vertical="center" wrapText="1"/>
    </xf>
    <xf numFmtId="0" fontId="59" fillId="0" borderId="0" xfId="0" applyFont="1" applyAlignment="1">
      <alignment horizontal="center" vertical="center" wrapText="1"/>
    </xf>
    <xf numFmtId="0" fontId="17" fillId="0" borderId="15" xfId="0" applyFont="1" applyFill="1" applyBorder="1" applyAlignment="1">
      <alignment horizontal="center"/>
    </xf>
    <xf numFmtId="0" fontId="17" fillId="0" borderId="50" xfId="0" applyFont="1" applyFill="1" applyBorder="1" applyAlignment="1">
      <alignment horizontal="center"/>
    </xf>
    <xf numFmtId="49" fontId="17" fillId="0" borderId="14" xfId="0" applyNumberFormat="1" applyFont="1" applyFill="1" applyBorder="1" applyAlignment="1">
      <alignment horizontal="center" wrapText="1"/>
    </xf>
    <xf numFmtId="0" fontId="17" fillId="0" borderId="24" xfId="0" applyFont="1" applyFill="1" applyBorder="1" applyAlignment="1">
      <alignment horizontal="center" wrapText="1"/>
    </xf>
    <xf numFmtId="0" fontId="17" fillId="0" borderId="51" xfId="0" applyFont="1" applyFill="1" applyBorder="1" applyAlignment="1">
      <alignment horizontal="center" wrapText="1"/>
    </xf>
    <xf numFmtId="0" fontId="17" fillId="0" borderId="49" xfId="0" applyFont="1" applyFill="1" applyBorder="1" applyAlignment="1">
      <alignment horizontal="center"/>
    </xf>
    <xf numFmtId="0" fontId="17" fillId="0" borderId="19" xfId="0" applyFont="1" applyFill="1" applyBorder="1" applyAlignment="1">
      <alignment horizontal="center"/>
    </xf>
    <xf numFmtId="0" fontId="17" fillId="0" borderId="13" xfId="0" applyFont="1" applyFill="1" applyBorder="1" applyAlignment="1">
      <alignment horizontal="center"/>
    </xf>
    <xf numFmtId="0" fontId="17" fillId="0" borderId="12" xfId="0" applyFont="1" applyFill="1" applyBorder="1" applyAlignment="1">
      <alignment horizontal="center"/>
    </xf>
    <xf numFmtId="2" fontId="17" fillId="0" borderId="20" xfId="0" applyNumberFormat="1" applyFont="1" applyFill="1" applyBorder="1" applyAlignment="1">
      <alignment horizontal="center"/>
    </xf>
    <xf numFmtId="2" fontId="17" fillId="0" borderId="13" xfId="0" applyNumberFormat="1" applyFont="1" applyFill="1" applyBorder="1" applyAlignment="1">
      <alignment horizontal="center"/>
    </xf>
    <xf numFmtId="169" fontId="10" fillId="0" borderId="14" xfId="379" applyNumberFormat="1" applyFont="1" applyBorder="1" applyAlignment="1">
      <alignment horizontal="center"/>
    </xf>
    <xf numFmtId="169" fontId="10" fillId="0" borderId="51" xfId="379" applyNumberFormat="1" applyFont="1" applyBorder="1" applyAlignment="1">
      <alignment horizontal="center"/>
    </xf>
    <xf numFmtId="0" fontId="10" fillId="75" borderId="45" xfId="0" applyFont="1" applyFill="1" applyBorder="1" applyAlignment="1">
      <alignment horizontal="center" vertical="center" wrapText="1"/>
    </xf>
    <xf numFmtId="0" fontId="10" fillId="75" borderId="47" xfId="0" applyFont="1" applyFill="1" applyBorder="1" applyAlignment="1">
      <alignment horizontal="center" vertical="center" wrapText="1"/>
    </xf>
    <xf numFmtId="0" fontId="17" fillId="0" borderId="48" xfId="0" applyFont="1" applyBorder="1" applyAlignment="1">
      <alignment horizontal="center"/>
    </xf>
    <xf numFmtId="0" fontId="17" fillId="0" borderId="49" xfId="0" applyFont="1" applyBorder="1" applyAlignment="1">
      <alignment horizontal="center"/>
    </xf>
    <xf numFmtId="49" fontId="10" fillId="75" borderId="45" xfId="0" applyNumberFormat="1" applyFont="1" applyFill="1" applyBorder="1" applyAlignment="1">
      <alignment horizontal="center"/>
    </xf>
    <xf numFmtId="0" fontId="10" fillId="75" borderId="47" xfId="0" applyFont="1" applyFill="1" applyBorder="1" applyAlignment="1">
      <alignment horizontal="center"/>
    </xf>
    <xf numFmtId="49" fontId="10" fillId="75" borderId="45" xfId="0" applyNumberFormat="1" applyFont="1" applyFill="1" applyBorder="1" applyAlignment="1">
      <alignment horizontal="center" vertical="center" wrapText="1"/>
    </xf>
    <xf numFmtId="0" fontId="10" fillId="75" borderId="48" xfId="0" applyFont="1" applyFill="1" applyBorder="1" applyAlignment="1">
      <alignment horizontal="center"/>
    </xf>
    <xf numFmtId="0" fontId="10" fillId="75" borderId="49" xfId="0" applyFont="1" applyFill="1" applyBorder="1" applyAlignment="1">
      <alignment horizontal="center"/>
    </xf>
    <xf numFmtId="0" fontId="10" fillId="75" borderId="21" xfId="0" applyFont="1" applyFill="1" applyBorder="1" applyAlignment="1">
      <alignment horizontal="center"/>
    </xf>
    <xf numFmtId="0" fontId="17" fillId="0" borderId="1" xfId="0" applyFont="1" applyBorder="1" applyAlignment="1" applyProtection="1">
      <alignment horizontal="center"/>
      <protection locked="0"/>
    </xf>
    <xf numFmtId="0" fontId="58" fillId="0" borderId="0" xfId="0" applyFont="1" applyFill="1" applyBorder="1" applyAlignment="1" applyProtection="1">
      <alignment horizontal="center" vertical="center"/>
      <protection locked="0"/>
    </xf>
    <xf numFmtId="0" fontId="62" fillId="0" borderId="2" xfId="860" applyFont="1" applyBorder="1" applyAlignment="1">
      <alignment horizontal="center"/>
    </xf>
    <xf numFmtId="0" fontId="62" fillId="0" borderId="1" xfId="860" applyFont="1" applyBorder="1" applyAlignment="1">
      <alignment horizontal="center"/>
    </xf>
    <xf numFmtId="0" fontId="62" fillId="0" borderId="8" xfId="860" applyFont="1" applyBorder="1" applyAlignment="1">
      <alignment horizontal="center"/>
    </xf>
    <xf numFmtId="0" fontId="19" fillId="0" borderId="0" xfId="0" applyFont="1" applyFill="1" applyAlignment="1">
      <alignment horizontal="left" vertical="top" wrapText="1"/>
    </xf>
    <xf numFmtId="3" fontId="10" fillId="0" borderId="48" xfId="0" applyNumberFormat="1" applyFont="1" applyBorder="1" applyAlignment="1">
      <alignment horizontal="center" vertical="center" wrapText="1"/>
    </xf>
    <xf numFmtId="3" fontId="10" fillId="0" borderId="21" xfId="0" applyNumberFormat="1" applyFont="1" applyBorder="1" applyAlignment="1">
      <alignment horizontal="center" vertical="center" wrapText="1"/>
    </xf>
    <xf numFmtId="0" fontId="44" fillId="0" borderId="23" xfId="0" applyFont="1" applyBorder="1" applyAlignment="1">
      <alignment horizontal="center" vertical="center" wrapText="1"/>
    </xf>
    <xf numFmtId="3" fontId="10" fillId="0" borderId="1" xfId="0" applyNumberFormat="1" applyFont="1" applyBorder="1" applyAlignment="1">
      <alignment horizontal="center" vertical="center" wrapText="1"/>
    </xf>
    <xf numFmtId="171" fontId="10" fillId="63" borderId="31" xfId="383" applyNumberFormat="1" applyFont="1" applyFill="1" applyBorder="1" applyAlignment="1">
      <alignment horizontal="center"/>
    </xf>
    <xf numFmtId="171" fontId="10" fillId="63" borderId="5" xfId="383" applyNumberFormat="1" applyFont="1" applyFill="1" applyBorder="1" applyAlignment="1">
      <alignment horizontal="center"/>
    </xf>
    <xf numFmtId="171" fontId="10" fillId="63" borderId="6" xfId="383" applyNumberFormat="1" applyFont="1" applyFill="1" applyBorder="1" applyAlignment="1">
      <alignment horizontal="center"/>
    </xf>
    <xf numFmtId="0" fontId="10" fillId="0" borderId="37" xfId="0" applyFont="1" applyBorder="1" applyAlignment="1">
      <alignment horizontal="center"/>
    </xf>
    <xf numFmtId="0" fontId="10" fillId="0" borderId="26" xfId="0" applyFont="1" applyBorder="1" applyAlignment="1">
      <alignment horizontal="center"/>
    </xf>
    <xf numFmtId="0" fontId="10" fillId="0" borderId="67" xfId="0" applyFont="1" applyBorder="1" applyAlignment="1">
      <alignment horizontal="center"/>
    </xf>
    <xf numFmtId="0" fontId="10" fillId="0" borderId="40" xfId="0" applyFont="1" applyBorder="1" applyAlignment="1">
      <alignment horizontal="center"/>
    </xf>
    <xf numFmtId="0" fontId="43" fillId="34" borderId="0" xfId="0" applyFont="1" applyFill="1" applyBorder="1" applyAlignment="1">
      <alignment horizontal="center" vertical="center"/>
    </xf>
    <xf numFmtId="0" fontId="126" fillId="34" borderId="0" xfId="0" applyFont="1" applyFill="1" applyBorder="1" applyAlignment="1">
      <alignment horizontal="center" vertical="center"/>
    </xf>
    <xf numFmtId="0" fontId="10" fillId="34" borderId="46" xfId="0" applyFont="1" applyFill="1" applyBorder="1" applyAlignment="1">
      <alignment horizontal="left" vertical="center" wrapText="1"/>
    </xf>
    <xf numFmtId="0" fontId="54" fillId="0" borderId="0" xfId="0" applyFont="1" applyBorder="1" applyAlignment="1">
      <alignment horizontal="center"/>
    </xf>
    <xf numFmtId="3" fontId="10" fillId="0" borderId="73" xfId="0" applyNumberFormat="1" applyFont="1" applyBorder="1" applyAlignment="1">
      <alignment horizontal="center" vertical="center" wrapText="1"/>
    </xf>
    <xf numFmtId="3" fontId="10" fillId="0" borderId="74" xfId="0" applyNumberFormat="1" applyFont="1" applyBorder="1" applyAlignment="1">
      <alignment horizontal="center" vertical="center" wrapText="1"/>
    </xf>
    <xf numFmtId="0" fontId="58" fillId="0" borderId="52" xfId="0" applyFont="1" applyBorder="1" applyAlignment="1">
      <alignment horizontal="center" vertical="center" wrapText="1"/>
    </xf>
    <xf numFmtId="0" fontId="58" fillId="0" borderId="53" xfId="0" applyFont="1" applyBorder="1" applyAlignment="1">
      <alignment horizontal="center" vertical="center" wrapText="1"/>
    </xf>
    <xf numFmtId="3" fontId="10" fillId="0" borderId="10" xfId="0" applyNumberFormat="1" applyFont="1" applyBorder="1" applyAlignment="1">
      <alignment horizontal="center" vertical="center" wrapText="1"/>
    </xf>
    <xf numFmtId="0" fontId="10" fillId="0" borderId="23" xfId="0" applyFont="1" applyBorder="1" applyAlignment="1">
      <alignment horizontal="center" vertical="center" wrapText="1"/>
    </xf>
    <xf numFmtId="0" fontId="52" fillId="0" borderId="52" xfId="0" applyFont="1" applyBorder="1" applyAlignment="1">
      <alignment horizontal="center" vertical="center"/>
    </xf>
    <xf numFmtId="0" fontId="52" fillId="0" borderId="53" xfId="0" applyFont="1" applyBorder="1" applyAlignment="1">
      <alignment horizontal="center" vertical="center"/>
    </xf>
    <xf numFmtId="0" fontId="54" fillId="0" borderId="19" xfId="0" applyFont="1" applyBorder="1" applyAlignment="1">
      <alignment horizontal="center"/>
    </xf>
    <xf numFmtId="0" fontId="54" fillId="0" borderId="24" xfId="0" applyFont="1" applyBorder="1" applyAlignment="1">
      <alignment horizontal="center"/>
    </xf>
    <xf numFmtId="0" fontId="54" fillId="0" borderId="13" xfId="0" applyFont="1" applyBorder="1" applyAlignment="1">
      <alignment horizontal="center"/>
    </xf>
    <xf numFmtId="2" fontId="81" fillId="63" borderId="3" xfId="379" applyNumberFormat="1" applyFont="1" applyFill="1" applyBorder="1" applyAlignment="1" applyProtection="1">
      <alignment horizontal="center" vertical="center"/>
      <protection locked="0"/>
    </xf>
    <xf numFmtId="2" fontId="81" fillId="63" borderId="75" xfId="379" applyNumberFormat="1" applyFont="1" applyFill="1" applyBorder="1" applyAlignment="1" applyProtection="1">
      <alignment horizontal="center" vertical="center"/>
      <protection locked="0"/>
    </xf>
    <xf numFmtId="0" fontId="10" fillId="34" borderId="46" xfId="0" applyFont="1" applyFill="1" applyBorder="1" applyAlignment="1">
      <alignment horizontal="center" vertical="center" wrapText="1"/>
    </xf>
    <xf numFmtId="171" fontId="10" fillId="0" borderId="31" xfId="383" applyNumberFormat="1" applyFont="1" applyFill="1" applyBorder="1" applyAlignment="1">
      <alignment horizontal="center"/>
    </xf>
    <xf numFmtId="171" fontId="10" fillId="0" borderId="5" xfId="383" applyNumberFormat="1" applyFont="1" applyFill="1" applyBorder="1" applyAlignment="1">
      <alignment horizontal="center"/>
    </xf>
    <xf numFmtId="171" fontId="10" fillId="0" borderId="6" xfId="383" applyNumberFormat="1" applyFont="1" applyFill="1" applyBorder="1" applyAlignment="1">
      <alignment horizontal="center"/>
    </xf>
    <xf numFmtId="0" fontId="10" fillId="0" borderId="45" xfId="0" applyFont="1" applyBorder="1" applyAlignment="1">
      <alignment horizontal="center"/>
    </xf>
    <xf numFmtId="0" fontId="10" fillId="0" borderId="46" xfId="0" applyFont="1" applyBorder="1" applyAlignment="1">
      <alignment horizontal="center"/>
    </xf>
    <xf numFmtId="0" fontId="10" fillId="0" borderId="47" xfId="0" applyFont="1" applyBorder="1" applyAlignment="1">
      <alignment horizontal="center"/>
    </xf>
    <xf numFmtId="0" fontId="114" fillId="0" borderId="0" xfId="1446" applyFont="1" applyFill="1" applyBorder="1" applyAlignment="1" applyProtection="1">
      <alignment horizontal="left" vertical="top" wrapText="1"/>
      <protection locked="0"/>
    </xf>
    <xf numFmtId="0" fontId="111" fillId="0" borderId="0" xfId="1446" applyFont="1" applyFill="1" applyBorder="1" applyAlignment="1" applyProtection="1">
      <alignment horizontal="left" vertical="top" wrapText="1"/>
      <protection locked="0"/>
    </xf>
    <xf numFmtId="0" fontId="123" fillId="0" borderId="0" xfId="1446" applyFont="1" applyFill="1" applyBorder="1" applyAlignment="1" applyProtection="1">
      <alignment horizontal="left" vertical="top" wrapText="1"/>
      <protection locked="0"/>
    </xf>
    <xf numFmtId="0" fontId="116" fillId="0" borderId="0" xfId="1446" applyFont="1" applyFill="1" applyBorder="1" applyAlignment="1" applyProtection="1">
      <alignment horizontal="center" vertical="top" wrapText="1"/>
      <protection locked="0"/>
    </xf>
    <xf numFmtId="0" fontId="119" fillId="0" borderId="0" xfId="1446" applyFont="1" applyFill="1" applyBorder="1" applyAlignment="1" applyProtection="1">
      <alignment horizontal="center" vertical="top" wrapText="1"/>
      <protection locked="0"/>
    </xf>
    <xf numFmtId="0" fontId="112" fillId="0" borderId="0" xfId="1446" applyFont="1" applyFill="1" applyBorder="1" applyAlignment="1" applyProtection="1">
      <alignment horizontal="left" vertical="top" wrapText="1"/>
      <protection locked="0"/>
    </xf>
    <xf numFmtId="0" fontId="23" fillId="0" borderId="0" xfId="696" applyFont="1" applyFill="1" applyBorder="1" applyAlignment="1" applyProtection="1">
      <alignment horizontal="center"/>
      <protection locked="0"/>
    </xf>
    <xf numFmtId="0" fontId="10" fillId="0" borderId="0" xfId="1446" applyFont="1" applyFill="1" applyBorder="1" applyAlignment="1" applyProtection="1">
      <alignment horizontal="left" vertical="top" wrapText="1"/>
      <protection locked="0"/>
    </xf>
    <xf numFmtId="0" fontId="114" fillId="67" borderId="15" xfId="1446" applyFont="1" applyFill="1" applyBorder="1" applyAlignment="1" applyProtection="1">
      <alignment horizontal="center" vertical="center"/>
      <protection locked="0"/>
    </xf>
    <xf numFmtId="0" fontId="114" fillId="67" borderId="49" xfId="1446" applyFont="1" applyFill="1" applyBorder="1" applyAlignment="1" applyProtection="1">
      <alignment horizontal="center" vertical="center"/>
      <protection locked="0"/>
    </xf>
    <xf numFmtId="0" fontId="114" fillId="67" borderId="50" xfId="1446" applyFont="1" applyFill="1" applyBorder="1" applyAlignment="1" applyProtection="1">
      <alignment horizontal="center" vertical="center"/>
      <protection locked="0"/>
    </xf>
    <xf numFmtId="0" fontId="111" fillId="0" borderId="46" xfId="1446" applyFont="1" applyFill="1" applyBorder="1" applyAlignment="1" applyProtection="1">
      <alignment horizontal="center" wrapText="1"/>
      <protection locked="0"/>
    </xf>
    <xf numFmtId="0" fontId="113" fillId="0" borderId="0" xfId="1446" applyFont="1" applyFill="1" applyBorder="1" applyAlignment="1" applyProtection="1">
      <alignment horizontal="center" vertical="top"/>
      <protection locked="0"/>
    </xf>
    <xf numFmtId="0" fontId="44" fillId="0" borderId="0" xfId="1446" applyFont="1" applyFill="1" applyBorder="1" applyAlignment="1" applyProtection="1">
      <alignment horizontal="left" vertical="top" wrapText="1"/>
      <protection locked="0"/>
    </xf>
    <xf numFmtId="0" fontId="114" fillId="65" borderId="45" xfId="1446" applyFont="1" applyFill="1" applyBorder="1" applyAlignment="1" applyProtection="1">
      <alignment horizontal="center" vertical="top"/>
      <protection locked="0"/>
    </xf>
    <xf numFmtId="0" fontId="114" fillId="65" borderId="46" xfId="1446" applyFont="1" applyFill="1" applyBorder="1" applyAlignment="1" applyProtection="1">
      <alignment horizontal="center" vertical="top"/>
      <protection locked="0"/>
    </xf>
    <xf numFmtId="0" fontId="114" fillId="65" borderId="47" xfId="1446" applyFont="1" applyFill="1" applyBorder="1" applyAlignment="1" applyProtection="1">
      <alignment horizontal="center" vertical="top"/>
      <protection locked="0"/>
    </xf>
    <xf numFmtId="170" fontId="112" fillId="66" borderId="43" xfId="768" applyNumberFormat="1" applyFont="1" applyFill="1" applyBorder="1" applyAlignment="1" applyProtection="1">
      <alignment horizontal="center" vertical="top"/>
      <protection locked="0"/>
    </xf>
    <xf numFmtId="170" fontId="112" fillId="66" borderId="0" xfId="768" applyNumberFormat="1" applyFont="1" applyFill="1" applyBorder="1" applyAlignment="1" applyProtection="1">
      <alignment horizontal="center" vertical="top"/>
      <protection locked="0"/>
    </xf>
    <xf numFmtId="170" fontId="112" fillId="66" borderId="39" xfId="768" applyNumberFormat="1" applyFont="1" applyFill="1" applyBorder="1" applyAlignment="1" applyProtection="1">
      <alignment horizontal="center" vertical="top"/>
      <protection locked="0"/>
    </xf>
    <xf numFmtId="0" fontId="114" fillId="67" borderId="43" xfId="1446" applyFont="1" applyFill="1" applyBorder="1" applyAlignment="1" applyProtection="1">
      <alignment horizontal="center" vertical="top"/>
      <protection locked="0"/>
    </xf>
    <xf numFmtId="0" fontId="114" fillId="67" borderId="0" xfId="1446" applyFont="1" applyFill="1" applyBorder="1" applyAlignment="1" applyProtection="1">
      <alignment horizontal="center" vertical="top"/>
      <protection locked="0"/>
    </xf>
    <xf numFmtId="0" fontId="114" fillId="67" borderId="39" xfId="1446" applyFont="1" applyFill="1" applyBorder="1" applyAlignment="1" applyProtection="1">
      <alignment horizontal="center" vertical="top"/>
      <protection locked="0"/>
    </xf>
    <xf numFmtId="2" fontId="10" fillId="0" borderId="72" xfId="0" applyNumberFormat="1" applyFont="1" applyFill="1" applyBorder="1" applyAlignment="1">
      <alignment horizontal="center" wrapText="1"/>
    </xf>
    <xf numFmtId="2" fontId="10" fillId="0" borderId="20" xfId="0" applyNumberFormat="1" applyFont="1" applyFill="1" applyBorder="1" applyAlignment="1">
      <alignment horizontal="center" wrapText="1"/>
    </xf>
    <xf numFmtId="2" fontId="10" fillId="0" borderId="12" xfId="0" applyNumberFormat="1" applyFont="1" applyFill="1" applyBorder="1" applyAlignment="1">
      <alignment horizontal="center" wrapText="1"/>
    </xf>
    <xf numFmtId="0" fontId="10" fillId="0" borderId="12" xfId="0" applyFont="1" applyFill="1" applyBorder="1" applyAlignment="1">
      <alignment horizontal="center" wrapText="1"/>
    </xf>
    <xf numFmtId="2" fontId="17" fillId="0" borderId="31" xfId="0" applyNumberFormat="1" applyFont="1" applyBorder="1" applyAlignment="1">
      <alignment horizontal="center"/>
    </xf>
    <xf numFmtId="0" fontId="17" fillId="0" borderId="5" xfId="0" applyFont="1" applyBorder="1" applyAlignment="1">
      <alignment horizontal="center"/>
    </xf>
    <xf numFmtId="0" fontId="17" fillId="0" borderId="6" xfId="0" applyFont="1" applyBorder="1" applyAlignment="1">
      <alignment horizontal="center"/>
    </xf>
    <xf numFmtId="0" fontId="17" fillId="75" borderId="76" xfId="0" applyFont="1" applyFill="1" applyBorder="1" applyAlignment="1">
      <alignment horizontal="center"/>
    </xf>
    <xf numFmtId="0" fontId="17" fillId="75" borderId="77" xfId="0" applyFont="1" applyFill="1" applyBorder="1" applyAlignment="1">
      <alignment horizontal="center"/>
    </xf>
    <xf numFmtId="0" fontId="17" fillId="75" borderId="17" xfId="0" applyFont="1" applyFill="1" applyBorder="1" applyAlignment="1">
      <alignment horizontal="center"/>
    </xf>
    <xf numFmtId="0" fontId="17" fillId="0" borderId="68" xfId="0" applyFont="1" applyBorder="1" applyAlignment="1">
      <alignment horizontal="center"/>
    </xf>
    <xf numFmtId="0" fontId="0" fillId="33" borderId="0" xfId="0" applyFill="1" applyAlignment="1" applyProtection="1">
      <alignment horizontal="left" vertical="top" wrapText="1"/>
      <protection locked="0"/>
    </xf>
    <xf numFmtId="0" fontId="23" fillId="0" borderId="0" xfId="0" applyFont="1" applyAlignment="1">
      <alignment horizontal="center"/>
    </xf>
    <xf numFmtId="0" fontId="10" fillId="0" borderId="0" xfId="0" applyFont="1" applyAlignment="1">
      <alignment horizontal="left" wrapText="1"/>
    </xf>
    <xf numFmtId="0" fontId="0" fillId="0" borderId="0" xfId="0" applyAlignment="1">
      <alignment horizontal="left" wrapText="1"/>
    </xf>
    <xf numFmtId="0" fontId="10" fillId="0" borderId="0" xfId="0" applyFont="1" applyAlignment="1">
      <alignment horizontal="left" vertical="top" wrapText="1"/>
    </xf>
    <xf numFmtId="0" fontId="0" fillId="63" borderId="0" xfId="0" applyFill="1" applyAlignment="1" applyProtection="1">
      <alignment horizontal="center"/>
      <protection locked="0"/>
    </xf>
    <xf numFmtId="0" fontId="17" fillId="0" borderId="76" xfId="0" applyFont="1" applyBorder="1" applyAlignment="1">
      <alignment horizontal="center"/>
    </xf>
    <xf numFmtId="0" fontId="17" fillId="0" borderId="77" xfId="0" applyFont="1" applyBorder="1" applyAlignment="1">
      <alignment horizontal="center"/>
    </xf>
    <xf numFmtId="0" fontId="17" fillId="0" borderId="17" xfId="0" applyFont="1" applyBorder="1" applyAlignment="1">
      <alignment horizontal="center"/>
    </xf>
    <xf numFmtId="0" fontId="10" fillId="0" borderId="32" xfId="0" applyFont="1" applyBorder="1" applyAlignment="1">
      <alignment horizontal="center" vertical="top" wrapText="1"/>
    </xf>
  </cellXfs>
  <cellStyles count="1449">
    <cellStyle name="$" xfId="745"/>
    <cellStyle name="$.00" xfId="746"/>
    <cellStyle name="$_9. Rev2Cost_GDPIPI" xfId="747"/>
    <cellStyle name="$_lists" xfId="748"/>
    <cellStyle name="$_lists_4. Current Monthly Fixed Charge" xfId="749"/>
    <cellStyle name="$_Sheet4" xfId="750"/>
    <cellStyle name="$M" xfId="751"/>
    <cellStyle name="$M.00" xfId="752"/>
    <cellStyle name="$M_9. Rev2Cost_GDPIPI" xfId="753"/>
    <cellStyle name="20% - Accent1 10" xfId="1"/>
    <cellStyle name="20% - Accent1 11" xfId="2"/>
    <cellStyle name="20% - Accent1 12" xfId="3"/>
    <cellStyle name="20% - Accent1 13" xfId="4"/>
    <cellStyle name="20% - Accent1 14" xfId="5"/>
    <cellStyle name="20% - Accent1 15" xfId="6"/>
    <cellStyle name="20% - Accent1 16" xfId="669"/>
    <cellStyle name="20% - Accent1 2" xfId="7"/>
    <cellStyle name="20% - Accent1 2 2" xfId="716"/>
    <cellStyle name="20% - Accent1 3" xfId="8"/>
    <cellStyle name="20% - Accent1 4" xfId="9"/>
    <cellStyle name="20% - Accent1 5" xfId="10"/>
    <cellStyle name="20% - Accent1 6" xfId="11"/>
    <cellStyle name="20% - Accent1 7" xfId="12"/>
    <cellStyle name="20% - Accent1 8" xfId="13"/>
    <cellStyle name="20% - Accent1 9" xfId="14"/>
    <cellStyle name="20% - Accent2 10" xfId="15"/>
    <cellStyle name="20% - Accent2 11" xfId="16"/>
    <cellStyle name="20% - Accent2 12" xfId="17"/>
    <cellStyle name="20% - Accent2 13" xfId="18"/>
    <cellStyle name="20% - Accent2 14" xfId="19"/>
    <cellStyle name="20% - Accent2 15" xfId="20"/>
    <cellStyle name="20% - Accent2 16" xfId="670"/>
    <cellStyle name="20% - Accent2 2" xfId="21"/>
    <cellStyle name="20% - Accent2 2 2" xfId="720"/>
    <cellStyle name="20% - Accent2 3" xfId="22"/>
    <cellStyle name="20% - Accent2 4" xfId="23"/>
    <cellStyle name="20% - Accent2 5" xfId="24"/>
    <cellStyle name="20% - Accent2 6" xfId="25"/>
    <cellStyle name="20% - Accent2 7" xfId="26"/>
    <cellStyle name="20% - Accent2 8" xfId="27"/>
    <cellStyle name="20% - Accent2 9" xfId="28"/>
    <cellStyle name="20% - Accent3 10" xfId="29"/>
    <cellStyle name="20% - Accent3 11" xfId="30"/>
    <cellStyle name="20% - Accent3 12" xfId="31"/>
    <cellStyle name="20% - Accent3 13" xfId="32"/>
    <cellStyle name="20% - Accent3 14" xfId="33"/>
    <cellStyle name="20% - Accent3 15" xfId="34"/>
    <cellStyle name="20% - Accent3 16" xfId="671"/>
    <cellStyle name="20% - Accent3 2" xfId="35"/>
    <cellStyle name="20% - Accent3 2 2" xfId="724"/>
    <cellStyle name="20% - Accent3 3" xfId="36"/>
    <cellStyle name="20% - Accent3 4" xfId="37"/>
    <cellStyle name="20% - Accent3 5" xfId="38"/>
    <cellStyle name="20% - Accent3 6" xfId="39"/>
    <cellStyle name="20% - Accent3 7" xfId="40"/>
    <cellStyle name="20% - Accent3 8" xfId="41"/>
    <cellStyle name="20% - Accent3 9" xfId="42"/>
    <cellStyle name="20% - Accent4 10" xfId="43"/>
    <cellStyle name="20% - Accent4 11" xfId="44"/>
    <cellStyle name="20% - Accent4 12" xfId="45"/>
    <cellStyle name="20% - Accent4 13" xfId="46"/>
    <cellStyle name="20% - Accent4 14" xfId="47"/>
    <cellStyle name="20% - Accent4 15" xfId="48"/>
    <cellStyle name="20% - Accent4 16" xfId="672"/>
    <cellStyle name="20% - Accent4 2" xfId="49"/>
    <cellStyle name="20% - Accent4 2 2" xfId="728"/>
    <cellStyle name="20% - Accent4 3" xfId="50"/>
    <cellStyle name="20% - Accent4 4" xfId="51"/>
    <cellStyle name="20% - Accent4 5" xfId="52"/>
    <cellStyle name="20% - Accent4 6" xfId="53"/>
    <cellStyle name="20% - Accent4 7" xfId="54"/>
    <cellStyle name="20% - Accent4 8" xfId="55"/>
    <cellStyle name="20% - Accent4 9" xfId="56"/>
    <cellStyle name="20% - Accent5 10" xfId="57"/>
    <cellStyle name="20% - Accent5 11" xfId="58"/>
    <cellStyle name="20% - Accent5 12" xfId="59"/>
    <cellStyle name="20% - Accent5 13" xfId="60"/>
    <cellStyle name="20% - Accent5 14" xfId="61"/>
    <cellStyle name="20% - Accent5 15" xfId="62"/>
    <cellStyle name="20% - Accent5 16" xfId="673"/>
    <cellStyle name="20% - Accent5 2" xfId="63"/>
    <cellStyle name="20% - Accent5 2 2" xfId="732"/>
    <cellStyle name="20% - Accent5 3" xfId="64"/>
    <cellStyle name="20% - Accent5 4" xfId="65"/>
    <cellStyle name="20% - Accent5 5" xfId="66"/>
    <cellStyle name="20% - Accent5 6" xfId="67"/>
    <cellStyle name="20% - Accent5 7" xfId="68"/>
    <cellStyle name="20% - Accent5 8" xfId="69"/>
    <cellStyle name="20% - Accent5 9" xfId="70"/>
    <cellStyle name="20% - Accent6 10" xfId="71"/>
    <cellStyle name="20% - Accent6 11" xfId="72"/>
    <cellStyle name="20% - Accent6 12" xfId="73"/>
    <cellStyle name="20% - Accent6 13" xfId="74"/>
    <cellStyle name="20% - Accent6 14" xfId="75"/>
    <cellStyle name="20% - Accent6 15" xfId="76"/>
    <cellStyle name="20% - Accent6 16" xfId="674"/>
    <cellStyle name="20% - Accent6 2" xfId="77"/>
    <cellStyle name="20% - Accent6 2 2" xfId="736"/>
    <cellStyle name="20% - Accent6 3" xfId="78"/>
    <cellStyle name="20% - Accent6 4" xfId="79"/>
    <cellStyle name="20% - Accent6 5" xfId="80"/>
    <cellStyle name="20% - Accent6 6" xfId="81"/>
    <cellStyle name="20% - Accent6 7" xfId="82"/>
    <cellStyle name="20% - Accent6 8" xfId="83"/>
    <cellStyle name="20% - Accent6 9" xfId="84"/>
    <cellStyle name="40% - Accent1 10" xfId="85"/>
    <cellStyle name="40% - Accent1 11" xfId="86"/>
    <cellStyle name="40% - Accent1 12" xfId="87"/>
    <cellStyle name="40% - Accent1 13" xfId="88"/>
    <cellStyle name="40% - Accent1 14" xfId="89"/>
    <cellStyle name="40% - Accent1 15" xfId="90"/>
    <cellStyle name="40% - Accent1 16" xfId="675"/>
    <cellStyle name="40% - Accent1 2" xfId="91"/>
    <cellStyle name="40% - Accent1 2 2" xfId="717"/>
    <cellStyle name="40% - Accent1 3" xfId="92"/>
    <cellStyle name="40% - Accent1 4" xfId="93"/>
    <cellStyle name="40% - Accent1 5" xfId="94"/>
    <cellStyle name="40% - Accent1 6" xfId="95"/>
    <cellStyle name="40% - Accent1 7" xfId="96"/>
    <cellStyle name="40% - Accent1 8" xfId="97"/>
    <cellStyle name="40% - Accent1 9" xfId="98"/>
    <cellStyle name="40% - Accent2 10" xfId="99"/>
    <cellStyle name="40% - Accent2 11" xfId="100"/>
    <cellStyle name="40% - Accent2 12" xfId="101"/>
    <cellStyle name="40% - Accent2 13" xfId="102"/>
    <cellStyle name="40% - Accent2 14" xfId="103"/>
    <cellStyle name="40% - Accent2 15" xfId="104"/>
    <cellStyle name="40% - Accent2 16" xfId="676"/>
    <cellStyle name="40% - Accent2 2" xfId="105"/>
    <cellStyle name="40% - Accent2 2 2" xfId="721"/>
    <cellStyle name="40% - Accent2 3" xfId="106"/>
    <cellStyle name="40% - Accent2 4" xfId="107"/>
    <cellStyle name="40% - Accent2 5" xfId="108"/>
    <cellStyle name="40% - Accent2 6" xfId="109"/>
    <cellStyle name="40% - Accent2 7" xfId="110"/>
    <cellStyle name="40% - Accent2 8" xfId="111"/>
    <cellStyle name="40% - Accent2 9" xfId="112"/>
    <cellStyle name="40% - Accent3 10" xfId="113"/>
    <cellStyle name="40% - Accent3 11" xfId="114"/>
    <cellStyle name="40% - Accent3 12" xfId="115"/>
    <cellStyle name="40% - Accent3 13" xfId="116"/>
    <cellStyle name="40% - Accent3 14" xfId="117"/>
    <cellStyle name="40% - Accent3 15" xfId="118"/>
    <cellStyle name="40% - Accent3 16" xfId="677"/>
    <cellStyle name="40% - Accent3 2" xfId="119"/>
    <cellStyle name="40% - Accent3 2 2" xfId="725"/>
    <cellStyle name="40% - Accent3 3" xfId="120"/>
    <cellStyle name="40% - Accent3 4" xfId="121"/>
    <cellStyle name="40% - Accent3 5" xfId="122"/>
    <cellStyle name="40% - Accent3 6" xfId="123"/>
    <cellStyle name="40% - Accent3 7" xfId="124"/>
    <cellStyle name="40% - Accent3 8" xfId="125"/>
    <cellStyle name="40% - Accent3 9" xfId="126"/>
    <cellStyle name="40% - Accent4 10" xfId="127"/>
    <cellStyle name="40% - Accent4 11" xfId="128"/>
    <cellStyle name="40% - Accent4 12" xfId="129"/>
    <cellStyle name="40% - Accent4 13" xfId="130"/>
    <cellStyle name="40% - Accent4 14" xfId="131"/>
    <cellStyle name="40% - Accent4 15" xfId="132"/>
    <cellStyle name="40% - Accent4 16" xfId="678"/>
    <cellStyle name="40% - Accent4 2" xfId="133"/>
    <cellStyle name="40% - Accent4 2 2" xfId="729"/>
    <cellStyle name="40% - Accent4 3" xfId="134"/>
    <cellStyle name="40% - Accent4 4" xfId="135"/>
    <cellStyle name="40% - Accent4 5" xfId="136"/>
    <cellStyle name="40% - Accent4 6" xfId="137"/>
    <cellStyle name="40% - Accent4 7" xfId="138"/>
    <cellStyle name="40% - Accent4 8" xfId="139"/>
    <cellStyle name="40% - Accent4 9" xfId="140"/>
    <cellStyle name="40% - Accent5 10" xfId="141"/>
    <cellStyle name="40% - Accent5 11" xfId="142"/>
    <cellStyle name="40% - Accent5 12" xfId="143"/>
    <cellStyle name="40% - Accent5 13" xfId="144"/>
    <cellStyle name="40% - Accent5 14" xfId="145"/>
    <cellStyle name="40% - Accent5 15" xfId="146"/>
    <cellStyle name="40% - Accent5 16" xfId="679"/>
    <cellStyle name="40% - Accent5 2" xfId="147"/>
    <cellStyle name="40% - Accent5 2 2" xfId="733"/>
    <cellStyle name="40% - Accent5 3" xfId="148"/>
    <cellStyle name="40% - Accent5 4" xfId="149"/>
    <cellStyle name="40% - Accent5 5" xfId="150"/>
    <cellStyle name="40% - Accent5 6" xfId="151"/>
    <cellStyle name="40% - Accent5 7" xfId="152"/>
    <cellStyle name="40% - Accent5 8" xfId="153"/>
    <cellStyle name="40% - Accent5 9" xfId="154"/>
    <cellStyle name="40% - Accent6 10" xfId="155"/>
    <cellStyle name="40% - Accent6 11" xfId="156"/>
    <cellStyle name="40% - Accent6 12" xfId="157"/>
    <cellStyle name="40% - Accent6 13" xfId="158"/>
    <cellStyle name="40% - Accent6 14" xfId="159"/>
    <cellStyle name="40% - Accent6 15" xfId="160"/>
    <cellStyle name="40% - Accent6 16" xfId="680"/>
    <cellStyle name="40% - Accent6 2" xfId="161"/>
    <cellStyle name="40% - Accent6 2 2" xfId="737"/>
    <cellStyle name="40% - Accent6 3" xfId="162"/>
    <cellStyle name="40% - Accent6 4" xfId="163"/>
    <cellStyle name="40% - Accent6 5" xfId="164"/>
    <cellStyle name="40% - Accent6 6" xfId="165"/>
    <cellStyle name="40% - Accent6 7" xfId="166"/>
    <cellStyle name="40% - Accent6 8" xfId="167"/>
    <cellStyle name="40% - Accent6 9" xfId="168"/>
    <cellStyle name="60% - Accent1 10" xfId="169"/>
    <cellStyle name="60% - Accent1 11" xfId="170"/>
    <cellStyle name="60% - Accent1 12" xfId="171"/>
    <cellStyle name="60% - Accent1 13" xfId="172"/>
    <cellStyle name="60% - Accent1 14" xfId="173"/>
    <cellStyle name="60% - Accent1 15" xfId="174"/>
    <cellStyle name="60% - Accent1 16" xfId="681"/>
    <cellStyle name="60% - Accent1 2" xfId="175"/>
    <cellStyle name="60% - Accent1 2 2" xfId="718"/>
    <cellStyle name="60% - Accent1 3" xfId="176"/>
    <cellStyle name="60% - Accent1 4" xfId="177"/>
    <cellStyle name="60% - Accent1 5" xfId="178"/>
    <cellStyle name="60% - Accent1 6" xfId="179"/>
    <cellStyle name="60% - Accent1 7" xfId="180"/>
    <cellStyle name="60% - Accent1 8" xfId="181"/>
    <cellStyle name="60% - Accent1 9" xfId="182"/>
    <cellStyle name="60% - Accent2 10" xfId="183"/>
    <cellStyle name="60% - Accent2 11" xfId="184"/>
    <cellStyle name="60% - Accent2 12" xfId="185"/>
    <cellStyle name="60% - Accent2 13" xfId="186"/>
    <cellStyle name="60% - Accent2 14" xfId="187"/>
    <cellStyle name="60% - Accent2 15" xfId="188"/>
    <cellStyle name="60% - Accent2 16" xfId="682"/>
    <cellStyle name="60% - Accent2 2" xfId="189"/>
    <cellStyle name="60% - Accent2 2 2" xfId="722"/>
    <cellStyle name="60% - Accent2 3" xfId="190"/>
    <cellStyle name="60% - Accent2 4" xfId="191"/>
    <cellStyle name="60% - Accent2 5" xfId="192"/>
    <cellStyle name="60% - Accent2 6" xfId="193"/>
    <cellStyle name="60% - Accent2 7" xfId="194"/>
    <cellStyle name="60% - Accent2 8" xfId="195"/>
    <cellStyle name="60% - Accent2 9" xfId="196"/>
    <cellStyle name="60% - Accent3 10" xfId="197"/>
    <cellStyle name="60% - Accent3 11" xfId="198"/>
    <cellStyle name="60% - Accent3 12" xfId="199"/>
    <cellStyle name="60% - Accent3 13" xfId="200"/>
    <cellStyle name="60% - Accent3 14" xfId="201"/>
    <cellStyle name="60% - Accent3 15" xfId="202"/>
    <cellStyle name="60% - Accent3 16" xfId="683"/>
    <cellStyle name="60% - Accent3 2" xfId="203"/>
    <cellStyle name="60% - Accent3 2 2" xfId="726"/>
    <cellStyle name="60% - Accent3 3" xfId="204"/>
    <cellStyle name="60% - Accent3 4" xfId="205"/>
    <cellStyle name="60% - Accent3 5" xfId="206"/>
    <cellStyle name="60% - Accent3 6" xfId="207"/>
    <cellStyle name="60% - Accent3 7" xfId="208"/>
    <cellStyle name="60% - Accent3 8" xfId="209"/>
    <cellStyle name="60% - Accent3 9" xfId="210"/>
    <cellStyle name="60% - Accent4 10" xfId="211"/>
    <cellStyle name="60% - Accent4 11" xfId="212"/>
    <cellStyle name="60% - Accent4 12" xfId="213"/>
    <cellStyle name="60% - Accent4 13" xfId="214"/>
    <cellStyle name="60% - Accent4 14" xfId="215"/>
    <cellStyle name="60% - Accent4 15" xfId="216"/>
    <cellStyle name="60% - Accent4 16" xfId="684"/>
    <cellStyle name="60% - Accent4 2" xfId="217"/>
    <cellStyle name="60% - Accent4 2 2" xfId="730"/>
    <cellStyle name="60% - Accent4 3" xfId="218"/>
    <cellStyle name="60% - Accent4 4" xfId="219"/>
    <cellStyle name="60% - Accent4 5" xfId="220"/>
    <cellStyle name="60% - Accent4 6" xfId="221"/>
    <cellStyle name="60% - Accent4 7" xfId="222"/>
    <cellStyle name="60% - Accent4 8" xfId="223"/>
    <cellStyle name="60% - Accent4 9" xfId="224"/>
    <cellStyle name="60% - Accent5 10" xfId="225"/>
    <cellStyle name="60% - Accent5 11" xfId="226"/>
    <cellStyle name="60% - Accent5 12" xfId="227"/>
    <cellStyle name="60% - Accent5 13" xfId="228"/>
    <cellStyle name="60% - Accent5 14" xfId="229"/>
    <cellStyle name="60% - Accent5 15" xfId="230"/>
    <cellStyle name="60% - Accent5 16" xfId="685"/>
    <cellStyle name="60% - Accent5 2" xfId="231"/>
    <cellStyle name="60% - Accent5 2 2" xfId="734"/>
    <cellStyle name="60% - Accent5 3" xfId="232"/>
    <cellStyle name="60% - Accent5 4" xfId="233"/>
    <cellStyle name="60% - Accent5 5" xfId="234"/>
    <cellStyle name="60% - Accent5 6" xfId="235"/>
    <cellStyle name="60% - Accent5 7" xfId="236"/>
    <cellStyle name="60% - Accent5 8" xfId="237"/>
    <cellStyle name="60% - Accent5 9" xfId="238"/>
    <cellStyle name="60% - Accent6 10" xfId="239"/>
    <cellStyle name="60% - Accent6 11" xfId="240"/>
    <cellStyle name="60% - Accent6 12" xfId="241"/>
    <cellStyle name="60% - Accent6 13" xfId="242"/>
    <cellStyle name="60% - Accent6 14" xfId="243"/>
    <cellStyle name="60% - Accent6 15" xfId="244"/>
    <cellStyle name="60% - Accent6 16" xfId="686"/>
    <cellStyle name="60% - Accent6 2" xfId="245"/>
    <cellStyle name="60% - Accent6 2 2" xfId="738"/>
    <cellStyle name="60% - Accent6 3" xfId="246"/>
    <cellStyle name="60% - Accent6 4" xfId="247"/>
    <cellStyle name="60% - Accent6 5" xfId="248"/>
    <cellStyle name="60% - Accent6 6" xfId="249"/>
    <cellStyle name="60% - Accent6 7" xfId="250"/>
    <cellStyle name="60% - Accent6 8" xfId="251"/>
    <cellStyle name="60% - Accent6 9" xfId="252"/>
    <cellStyle name="Accent1 10" xfId="253"/>
    <cellStyle name="Accent1 11" xfId="254"/>
    <cellStyle name="Accent1 12" xfId="255"/>
    <cellStyle name="Accent1 13" xfId="256"/>
    <cellStyle name="Accent1 14" xfId="257"/>
    <cellStyle name="Accent1 15" xfId="258"/>
    <cellStyle name="Accent1 16" xfId="687"/>
    <cellStyle name="Accent1 2" xfId="259"/>
    <cellStyle name="Accent1 2 2" xfId="715"/>
    <cellStyle name="Accent1 3" xfId="260"/>
    <cellStyle name="Accent1 4" xfId="261"/>
    <cellStyle name="Accent1 5" xfId="262"/>
    <cellStyle name="Accent1 6" xfId="263"/>
    <cellStyle name="Accent1 7" xfId="264"/>
    <cellStyle name="Accent1 8" xfId="265"/>
    <cellStyle name="Accent1 9" xfId="266"/>
    <cellStyle name="Accent2 10" xfId="267"/>
    <cellStyle name="Accent2 11" xfId="268"/>
    <cellStyle name="Accent2 12" xfId="269"/>
    <cellStyle name="Accent2 13" xfId="270"/>
    <cellStyle name="Accent2 14" xfId="271"/>
    <cellStyle name="Accent2 15" xfId="272"/>
    <cellStyle name="Accent2 16" xfId="688"/>
    <cellStyle name="Accent2 2" xfId="273"/>
    <cellStyle name="Accent2 2 2" xfId="719"/>
    <cellStyle name="Accent2 3" xfId="274"/>
    <cellStyle name="Accent2 4" xfId="275"/>
    <cellStyle name="Accent2 5" xfId="276"/>
    <cellStyle name="Accent2 6" xfId="277"/>
    <cellStyle name="Accent2 7" xfId="278"/>
    <cellStyle name="Accent2 8" xfId="279"/>
    <cellStyle name="Accent2 9" xfId="280"/>
    <cellStyle name="Accent3 10" xfId="281"/>
    <cellStyle name="Accent3 11" xfId="282"/>
    <cellStyle name="Accent3 12" xfId="283"/>
    <cellStyle name="Accent3 13" xfId="284"/>
    <cellStyle name="Accent3 14" xfId="285"/>
    <cellStyle name="Accent3 15" xfId="286"/>
    <cellStyle name="Accent3 16" xfId="689"/>
    <cellStyle name="Accent3 2" xfId="287"/>
    <cellStyle name="Accent3 2 2" xfId="723"/>
    <cellStyle name="Accent3 3" xfId="288"/>
    <cellStyle name="Accent3 4" xfId="289"/>
    <cellStyle name="Accent3 5" xfId="290"/>
    <cellStyle name="Accent3 6" xfId="291"/>
    <cellStyle name="Accent3 7" xfId="292"/>
    <cellStyle name="Accent3 8" xfId="293"/>
    <cellStyle name="Accent3 9" xfId="294"/>
    <cellStyle name="Accent4 10" xfId="295"/>
    <cellStyle name="Accent4 11" xfId="296"/>
    <cellStyle name="Accent4 12" xfId="297"/>
    <cellStyle name="Accent4 13" xfId="298"/>
    <cellStyle name="Accent4 14" xfId="299"/>
    <cellStyle name="Accent4 15" xfId="300"/>
    <cellStyle name="Accent4 16" xfId="795"/>
    <cellStyle name="Accent4 2" xfId="301"/>
    <cellStyle name="Accent4 2 2" xfId="727"/>
    <cellStyle name="Accent4 3" xfId="302"/>
    <cellStyle name="Accent4 4" xfId="303"/>
    <cellStyle name="Accent4 5" xfId="304"/>
    <cellStyle name="Accent4 6" xfId="305"/>
    <cellStyle name="Accent4 7" xfId="306"/>
    <cellStyle name="Accent4 8" xfId="307"/>
    <cellStyle name="Accent4 9" xfId="308"/>
    <cellStyle name="Accent5 10" xfId="309"/>
    <cellStyle name="Accent5 11" xfId="310"/>
    <cellStyle name="Accent5 12" xfId="311"/>
    <cellStyle name="Accent5 13" xfId="312"/>
    <cellStyle name="Accent5 14" xfId="313"/>
    <cellStyle name="Accent5 15" xfId="314"/>
    <cellStyle name="Accent5 16" xfId="790"/>
    <cellStyle name="Accent5 2" xfId="315"/>
    <cellStyle name="Accent5 2 2" xfId="731"/>
    <cellStyle name="Accent5 3" xfId="316"/>
    <cellStyle name="Accent5 4" xfId="317"/>
    <cellStyle name="Accent5 5" xfId="318"/>
    <cellStyle name="Accent5 6" xfId="319"/>
    <cellStyle name="Accent5 7" xfId="320"/>
    <cellStyle name="Accent5 8" xfId="321"/>
    <cellStyle name="Accent5 9" xfId="322"/>
    <cellStyle name="Accent6 10" xfId="323"/>
    <cellStyle name="Accent6 11" xfId="324"/>
    <cellStyle name="Accent6 12" xfId="325"/>
    <cellStyle name="Accent6 13" xfId="326"/>
    <cellStyle name="Accent6 14" xfId="327"/>
    <cellStyle name="Accent6 15" xfId="328"/>
    <cellStyle name="Accent6 16" xfId="794"/>
    <cellStyle name="Accent6 2" xfId="329"/>
    <cellStyle name="Accent6 2 2" xfId="735"/>
    <cellStyle name="Accent6 3" xfId="330"/>
    <cellStyle name="Accent6 4" xfId="331"/>
    <cellStyle name="Accent6 5" xfId="332"/>
    <cellStyle name="Accent6 6" xfId="333"/>
    <cellStyle name="Accent6 7" xfId="334"/>
    <cellStyle name="Accent6 8" xfId="335"/>
    <cellStyle name="Accent6 9" xfId="336"/>
    <cellStyle name="Bad 10" xfId="337"/>
    <cellStyle name="Bad 11" xfId="338"/>
    <cellStyle name="Bad 12" xfId="339"/>
    <cellStyle name="Bad 13" xfId="340"/>
    <cellStyle name="Bad 14" xfId="341"/>
    <cellStyle name="Bad 15" xfId="342"/>
    <cellStyle name="Bad 16" xfId="779"/>
    <cellStyle name="Bad 2" xfId="343"/>
    <cellStyle name="Bad 2 2" xfId="704"/>
    <cellStyle name="Bad 3" xfId="344"/>
    <cellStyle name="Bad 4" xfId="345"/>
    <cellStyle name="Bad 5" xfId="346"/>
    <cellStyle name="Bad 6" xfId="347"/>
    <cellStyle name="Bad 7" xfId="348"/>
    <cellStyle name="Bad 8" xfId="349"/>
    <cellStyle name="Bad 9" xfId="350"/>
    <cellStyle name="Calculation 10" xfId="351"/>
    <cellStyle name="Calculation 11" xfId="352"/>
    <cellStyle name="Calculation 12" xfId="353"/>
    <cellStyle name="Calculation 13" xfId="354"/>
    <cellStyle name="Calculation 14" xfId="355"/>
    <cellStyle name="Calculation 15" xfId="356"/>
    <cellStyle name="Calculation 16" xfId="690"/>
    <cellStyle name="Calculation 2" xfId="357"/>
    <cellStyle name="Calculation 2 2" xfId="708"/>
    <cellStyle name="Calculation 3" xfId="358"/>
    <cellStyle name="Calculation 4" xfId="359"/>
    <cellStyle name="Calculation 5" xfId="360"/>
    <cellStyle name="Calculation 6" xfId="361"/>
    <cellStyle name="Calculation 7" xfId="362"/>
    <cellStyle name="Calculation 8" xfId="363"/>
    <cellStyle name="Calculation 9" xfId="364"/>
    <cellStyle name="Check Cell 10" xfId="365"/>
    <cellStyle name="Check Cell 11" xfId="366"/>
    <cellStyle name="Check Cell 12" xfId="367"/>
    <cellStyle name="Check Cell 13" xfId="368"/>
    <cellStyle name="Check Cell 14" xfId="369"/>
    <cellStyle name="Check Cell 15" xfId="370"/>
    <cellStyle name="Check Cell 16" xfId="775"/>
    <cellStyle name="Check Cell 2" xfId="371"/>
    <cellStyle name="Check Cell 2 2" xfId="710"/>
    <cellStyle name="Check Cell 3" xfId="372"/>
    <cellStyle name="Check Cell 4" xfId="373"/>
    <cellStyle name="Check Cell 5" xfId="374"/>
    <cellStyle name="Check Cell 6" xfId="375"/>
    <cellStyle name="Check Cell 7" xfId="376"/>
    <cellStyle name="Check Cell 8" xfId="377"/>
    <cellStyle name="Check Cell 9" xfId="378"/>
    <cellStyle name="Comma" xfId="379" builtinId="3"/>
    <cellStyle name="Comma 2" xfId="595"/>
    <cellStyle name="Comma 2 2" xfId="596"/>
    <cellStyle name="Comma 2 2 2" xfId="594"/>
    <cellStyle name="Comma 2 3" xfId="634"/>
    <cellStyle name="Comma 2 4" xfId="740"/>
    <cellStyle name="Comma 3" xfId="380"/>
    <cellStyle name="Comma 3 2" xfId="597"/>
    <cellStyle name="Comma 3 2 2" xfId="768"/>
    <cellStyle name="Comma 3 3" xfId="742"/>
    <cellStyle name="Comma 3 4" xfId="937"/>
    <cellStyle name="Comma 4" xfId="598"/>
    <cellStyle name="Comma 4 2" xfId="618"/>
    <cellStyle name="Comma 4 2 2" xfId="655"/>
    <cellStyle name="Comma 4 2 2 2" xfId="834"/>
    <cellStyle name="Comma 4 2 2 2 2" xfId="1165"/>
    <cellStyle name="Comma 4 2 2 2 2 2" xfId="1398"/>
    <cellStyle name="Comma 4 2 2 2 3" xfId="1282"/>
    <cellStyle name="Comma 4 2 2 2 4" xfId="1046"/>
    <cellStyle name="Comma 4 2 2 3" xfId="904"/>
    <cellStyle name="Comma 4 2 2 3 2" xfId="1342"/>
    <cellStyle name="Comma 4 2 2 3 3" xfId="1109"/>
    <cellStyle name="Comma 4 2 2 4" xfId="1226"/>
    <cellStyle name="Comma 4 2 2 5" xfId="989"/>
    <cellStyle name="Comma 4 2 3" xfId="801"/>
    <cellStyle name="Comma 4 2 3 2" xfId="1135"/>
    <cellStyle name="Comma 4 2 3 2 2" xfId="1368"/>
    <cellStyle name="Comma 4 2 3 3" xfId="1252"/>
    <cellStyle name="Comma 4 2 3 4" xfId="1016"/>
    <cellStyle name="Comma 4 2 4" xfId="874"/>
    <cellStyle name="Comma 4 2 4 2" xfId="1316"/>
    <cellStyle name="Comma 4 2 4 3" xfId="1083"/>
    <cellStyle name="Comma 4 2 5" xfId="1200"/>
    <cellStyle name="Comma 4 2 6" xfId="963"/>
    <cellStyle name="Comma 4 3" xfId="626"/>
    <cellStyle name="Comma 4 3 2" xfId="663"/>
    <cellStyle name="Comma 4 3 2 2" xfId="842"/>
    <cellStyle name="Comma 4 3 2 2 2" xfId="1173"/>
    <cellStyle name="Comma 4 3 2 2 2 2" xfId="1406"/>
    <cellStyle name="Comma 4 3 2 2 3" xfId="1290"/>
    <cellStyle name="Comma 4 3 2 2 4" xfId="1054"/>
    <cellStyle name="Comma 4 3 2 3" xfId="912"/>
    <cellStyle name="Comma 4 3 2 3 2" xfId="1350"/>
    <cellStyle name="Comma 4 3 2 3 3" xfId="1117"/>
    <cellStyle name="Comma 4 3 2 4" xfId="1234"/>
    <cellStyle name="Comma 4 3 2 5" xfId="997"/>
    <cellStyle name="Comma 4 3 3" xfId="809"/>
    <cellStyle name="Comma 4 3 3 2" xfId="1143"/>
    <cellStyle name="Comma 4 3 3 2 2" xfId="1376"/>
    <cellStyle name="Comma 4 3 3 3" xfId="1260"/>
    <cellStyle name="Comma 4 3 3 4" xfId="1024"/>
    <cellStyle name="Comma 4 3 4" xfId="882"/>
    <cellStyle name="Comma 4 3 4 2" xfId="1324"/>
    <cellStyle name="Comma 4 3 4 3" xfId="1091"/>
    <cellStyle name="Comma 4 3 5" xfId="1208"/>
    <cellStyle name="Comma 4 3 6" xfId="971"/>
    <cellStyle name="Comma 4 4" xfId="647"/>
    <cellStyle name="Comma 4 4 2" xfId="826"/>
    <cellStyle name="Comma 4 4 2 2" xfId="1157"/>
    <cellStyle name="Comma 4 4 2 2 2" xfId="1390"/>
    <cellStyle name="Comma 4 4 2 3" xfId="1274"/>
    <cellStyle name="Comma 4 4 2 4" xfId="1038"/>
    <cellStyle name="Comma 4 4 3" xfId="896"/>
    <cellStyle name="Comma 4 4 3 2" xfId="1334"/>
    <cellStyle name="Comma 4 4 3 3" xfId="1101"/>
    <cellStyle name="Comma 4 4 4" xfId="1218"/>
    <cellStyle name="Comma 4 4 5" xfId="981"/>
    <cellStyle name="Comma 4 5" xfId="787"/>
    <cellStyle name="Comma 4 5 2" xfId="1127"/>
    <cellStyle name="Comma 4 5 2 2" xfId="1360"/>
    <cellStyle name="Comma 4 5 3" xfId="1244"/>
    <cellStyle name="Comma 4 5 4" xfId="1008"/>
    <cellStyle name="Comma 4 6" xfId="866"/>
    <cellStyle name="Comma 4 6 2" xfId="1308"/>
    <cellStyle name="Comma 4 6 3" xfId="1075"/>
    <cellStyle name="Comma 4 7" xfId="1192"/>
    <cellStyle name="Comma 4 8" xfId="955"/>
    <cellStyle name="Comma 5" xfId="641"/>
    <cellStyle name="Comma 6" xfId="638"/>
    <cellStyle name="Comma 6 2" xfId="819"/>
    <cellStyle name="Comma 6 2 2" xfId="1179"/>
    <cellStyle name="Comma 6 2 2 2" xfId="1412"/>
    <cellStyle name="Comma 6 2 3" xfId="1296"/>
    <cellStyle name="Comma 6 2 4" xfId="1060"/>
    <cellStyle name="Comma 6 3" xfId="890"/>
    <cellStyle name="Comma 6 3 2" xfId="1384"/>
    <cellStyle name="Comma 6 3 3" xfId="1151"/>
    <cellStyle name="Comma 6 4" xfId="1268"/>
    <cellStyle name="Comma 6 5" xfId="1032"/>
    <cellStyle name="Comma 7" xfId="796"/>
    <cellStyle name="Comma 7 2" xfId="1063"/>
    <cellStyle name="Comma 8" xfId="1067"/>
    <cellStyle name="Comma 8 2" xfId="1297"/>
    <cellStyle name="Comma 9" xfId="1181"/>
    <cellStyle name="Comma0" xfId="754"/>
    <cellStyle name="Currency" xfId="1448" builtinId="4"/>
    <cellStyle name="Currency 2" xfId="381"/>
    <cellStyle name="Currency 2 2" xfId="599"/>
    <cellStyle name="Currency 2 3" xfId="589"/>
    <cellStyle name="Currency 2 4" xfId="789"/>
    <cellStyle name="Currency 2 5" xfId="936"/>
    <cellStyle name="Currency 3" xfId="382"/>
    <cellStyle name="Currency 3 2" xfId="600"/>
    <cellStyle name="Currency 3 3" xfId="590"/>
    <cellStyle name="Currency 3 4" xfId="770"/>
    <cellStyle name="Currency 4" xfId="948"/>
    <cellStyle name="Currency 5" xfId="383"/>
    <cellStyle name="Currency0" xfId="755"/>
    <cellStyle name="Date" xfId="756"/>
    <cellStyle name="Explanatory Text 10" xfId="384"/>
    <cellStyle name="Explanatory Text 11" xfId="385"/>
    <cellStyle name="Explanatory Text 12" xfId="386"/>
    <cellStyle name="Explanatory Text 13" xfId="387"/>
    <cellStyle name="Explanatory Text 14" xfId="388"/>
    <cellStyle name="Explanatory Text 15" xfId="389"/>
    <cellStyle name="Explanatory Text 16" xfId="782"/>
    <cellStyle name="Explanatory Text 2" xfId="390"/>
    <cellStyle name="Explanatory Text 2 2" xfId="713"/>
    <cellStyle name="Explanatory Text 3" xfId="391"/>
    <cellStyle name="Explanatory Text 4" xfId="392"/>
    <cellStyle name="Explanatory Text 5" xfId="393"/>
    <cellStyle name="Explanatory Text 6" xfId="394"/>
    <cellStyle name="Explanatory Text 7" xfId="395"/>
    <cellStyle name="Explanatory Text 8" xfId="396"/>
    <cellStyle name="Explanatory Text 9" xfId="397"/>
    <cellStyle name="Fixed" xfId="757"/>
    <cellStyle name="Good 10" xfId="398"/>
    <cellStyle name="Good 11" xfId="399"/>
    <cellStyle name="Good 12" xfId="400"/>
    <cellStyle name="Good 13" xfId="401"/>
    <cellStyle name="Good 14" xfId="402"/>
    <cellStyle name="Good 15" xfId="403"/>
    <cellStyle name="Good 16" xfId="778"/>
    <cellStyle name="Good 2" xfId="404"/>
    <cellStyle name="Good 2 2" xfId="703"/>
    <cellStyle name="Good 3" xfId="405"/>
    <cellStyle name="Good 4" xfId="406"/>
    <cellStyle name="Good 5" xfId="407"/>
    <cellStyle name="Good 6" xfId="408"/>
    <cellStyle name="Good 7" xfId="409"/>
    <cellStyle name="Good 8" xfId="410"/>
    <cellStyle name="Good 9" xfId="411"/>
    <cellStyle name="Grey" xfId="758"/>
    <cellStyle name="Heading 1 10" xfId="412"/>
    <cellStyle name="Heading 1 11" xfId="413"/>
    <cellStyle name="Heading 1 12" xfId="414"/>
    <cellStyle name="Heading 1 13" xfId="415"/>
    <cellStyle name="Heading 1 14" xfId="416"/>
    <cellStyle name="Heading 1 15" xfId="417"/>
    <cellStyle name="Heading 1 16" xfId="783"/>
    <cellStyle name="Heading 1 2" xfId="418"/>
    <cellStyle name="Heading 1 2 2" xfId="699"/>
    <cellStyle name="Heading 1 3" xfId="419"/>
    <cellStyle name="Heading 1 4" xfId="420"/>
    <cellStyle name="Heading 1 5" xfId="421"/>
    <cellStyle name="Heading 1 6" xfId="422"/>
    <cellStyle name="Heading 1 7" xfId="423"/>
    <cellStyle name="Heading 1 8" xfId="424"/>
    <cellStyle name="Heading 1 9" xfId="425"/>
    <cellStyle name="Heading 2 10" xfId="426"/>
    <cellStyle name="Heading 2 11" xfId="427"/>
    <cellStyle name="Heading 2 12" xfId="428"/>
    <cellStyle name="Heading 2 13" xfId="429"/>
    <cellStyle name="Heading 2 14" xfId="430"/>
    <cellStyle name="Heading 2 15" xfId="431"/>
    <cellStyle name="Heading 2 16" xfId="781"/>
    <cellStyle name="Heading 2 2" xfId="432"/>
    <cellStyle name="Heading 2 2 2" xfId="698"/>
    <cellStyle name="Heading 2 3" xfId="433"/>
    <cellStyle name="Heading 2 4" xfId="434"/>
    <cellStyle name="Heading 2 5" xfId="435"/>
    <cellStyle name="Heading 2 6" xfId="436"/>
    <cellStyle name="Heading 2 7" xfId="437"/>
    <cellStyle name="Heading 2 8" xfId="438"/>
    <cellStyle name="Heading 2 9" xfId="439"/>
    <cellStyle name="Heading 3 10" xfId="440"/>
    <cellStyle name="Heading 3 11" xfId="441"/>
    <cellStyle name="Heading 3 12" xfId="442"/>
    <cellStyle name="Heading 3 13" xfId="443"/>
    <cellStyle name="Heading 3 14" xfId="444"/>
    <cellStyle name="Heading 3 15" xfId="445"/>
    <cellStyle name="Heading 3 16" xfId="780"/>
    <cellStyle name="Heading 3 2" xfId="446"/>
    <cellStyle name="Heading 3 2 2" xfId="701"/>
    <cellStyle name="Heading 3 3" xfId="447"/>
    <cellStyle name="Heading 3 4" xfId="448"/>
    <cellStyle name="Heading 3 5" xfId="449"/>
    <cellStyle name="Heading 3 6" xfId="450"/>
    <cellStyle name="Heading 3 7" xfId="451"/>
    <cellStyle name="Heading 3 8" xfId="452"/>
    <cellStyle name="Heading 3 9" xfId="453"/>
    <cellStyle name="Heading 4 10" xfId="454"/>
    <cellStyle name="Heading 4 11" xfId="455"/>
    <cellStyle name="Heading 4 12" xfId="456"/>
    <cellStyle name="Heading 4 13" xfId="457"/>
    <cellStyle name="Heading 4 14" xfId="458"/>
    <cellStyle name="Heading 4 15" xfId="459"/>
    <cellStyle name="Heading 4 16" xfId="823"/>
    <cellStyle name="Heading 4 2" xfId="460"/>
    <cellStyle name="Heading 4 2 2" xfId="702"/>
    <cellStyle name="Heading 4 3" xfId="461"/>
    <cellStyle name="Heading 4 4" xfId="462"/>
    <cellStyle name="Heading 4 5" xfId="463"/>
    <cellStyle name="Heading 4 6" xfId="464"/>
    <cellStyle name="Heading 4 7" xfId="465"/>
    <cellStyle name="Heading 4 8" xfId="466"/>
    <cellStyle name="Heading 4 9" xfId="467"/>
    <cellStyle name="Hyperlink" xfId="1447" builtinId="8"/>
    <cellStyle name="Hyperlink 2" xfId="784"/>
    <cellStyle name="Hyperlink 2 2" xfId="1003"/>
    <cellStyle name="Hyperlink 3" xfId="691"/>
    <cellStyle name="Input [yellow]" xfId="759"/>
    <cellStyle name="Input 10" xfId="468"/>
    <cellStyle name="Input 11" xfId="469"/>
    <cellStyle name="Input 12" xfId="470"/>
    <cellStyle name="Input 13" xfId="471"/>
    <cellStyle name="Input 14" xfId="472"/>
    <cellStyle name="Input 15" xfId="473"/>
    <cellStyle name="Input 16" xfId="776"/>
    <cellStyle name="Input 17" xfId="852"/>
    <cellStyle name="Input 18" xfId="851"/>
    <cellStyle name="Input 19" xfId="850"/>
    <cellStyle name="Input 2" xfId="474"/>
    <cellStyle name="Input 2 2" xfId="706"/>
    <cellStyle name="Input 20" xfId="858"/>
    <cellStyle name="Input 3" xfId="475"/>
    <cellStyle name="Input 4" xfId="476"/>
    <cellStyle name="Input 5" xfId="477"/>
    <cellStyle name="Input 6" xfId="478"/>
    <cellStyle name="Input 7" xfId="479"/>
    <cellStyle name="Input 8" xfId="480"/>
    <cellStyle name="Input 9" xfId="481"/>
    <cellStyle name="Linked Cell 10" xfId="482"/>
    <cellStyle name="Linked Cell 11" xfId="483"/>
    <cellStyle name="Linked Cell 12" xfId="484"/>
    <cellStyle name="Linked Cell 13" xfId="485"/>
    <cellStyle name="Linked Cell 14" xfId="486"/>
    <cellStyle name="Linked Cell 15" xfId="487"/>
    <cellStyle name="Linked Cell 16" xfId="817"/>
    <cellStyle name="Linked Cell 2" xfId="488"/>
    <cellStyle name="Linked Cell 2 2" xfId="709"/>
    <cellStyle name="Linked Cell 3" xfId="489"/>
    <cellStyle name="Linked Cell 4" xfId="490"/>
    <cellStyle name="Linked Cell 5" xfId="491"/>
    <cellStyle name="Linked Cell 6" xfId="492"/>
    <cellStyle name="Linked Cell 7" xfId="493"/>
    <cellStyle name="Linked Cell 8" xfId="494"/>
    <cellStyle name="Linked Cell 9" xfId="495"/>
    <cellStyle name="M" xfId="760"/>
    <cellStyle name="M.00" xfId="773"/>
    <cellStyle name="M_9. Rev2Cost_GDPIPI" xfId="761"/>
    <cellStyle name="M_lists" xfId="762"/>
    <cellStyle name="M_lists_4. Current Monthly Fixed Charge" xfId="763"/>
    <cellStyle name="M_Sheet4" xfId="764"/>
    <cellStyle name="Neutral 10" xfId="496"/>
    <cellStyle name="Neutral 11" xfId="497"/>
    <cellStyle name="Neutral 12" xfId="498"/>
    <cellStyle name="Neutral 13" xfId="499"/>
    <cellStyle name="Neutral 14" xfId="500"/>
    <cellStyle name="Neutral 15" xfId="501"/>
    <cellStyle name="Neutral 16" xfId="692"/>
    <cellStyle name="Neutral 2" xfId="502"/>
    <cellStyle name="Neutral 2 2" xfId="705"/>
    <cellStyle name="Neutral 3" xfId="503"/>
    <cellStyle name="Neutral 4" xfId="504"/>
    <cellStyle name="Neutral 5" xfId="505"/>
    <cellStyle name="Neutral 6" xfId="506"/>
    <cellStyle name="Neutral 7" xfId="507"/>
    <cellStyle name="Neutral 8" xfId="508"/>
    <cellStyle name="Neutral 9" xfId="509"/>
    <cellStyle name="Normal" xfId="0" builtinId="0"/>
    <cellStyle name="Normal - Style1" xfId="765"/>
    <cellStyle name="Normal 10" xfId="510"/>
    <cellStyle name="Normal 11" xfId="511"/>
    <cellStyle name="Normal 12" xfId="512"/>
    <cellStyle name="Normal 13" xfId="513"/>
    <cellStyle name="Normal 14" xfId="514"/>
    <cellStyle name="Normal 15" xfId="515"/>
    <cellStyle name="Normal 16" xfId="516"/>
    <cellStyle name="Normal 16 10" xfId="1183"/>
    <cellStyle name="Normal 16 11" xfId="939"/>
    <cellStyle name="Normal 16 2" xfId="602"/>
    <cellStyle name="Normal 16 2 2" xfId="619"/>
    <cellStyle name="Normal 16 2 2 2" xfId="656"/>
    <cellStyle name="Normal 16 2 2 2 2" xfId="835"/>
    <cellStyle name="Normal 16 2 2 2 2 2" xfId="1166"/>
    <cellStyle name="Normal 16 2 2 2 2 2 2" xfId="1399"/>
    <cellStyle name="Normal 16 2 2 2 2 3" xfId="1283"/>
    <cellStyle name="Normal 16 2 2 2 2 4" xfId="1047"/>
    <cellStyle name="Normal 16 2 2 2 3" xfId="905"/>
    <cellStyle name="Normal 16 2 2 2 3 2" xfId="1343"/>
    <cellStyle name="Normal 16 2 2 2 3 3" xfId="1110"/>
    <cellStyle name="Normal 16 2 2 2 4" xfId="1227"/>
    <cellStyle name="Normal 16 2 2 2 5" xfId="990"/>
    <cellStyle name="Normal 16 2 2 3" xfId="802"/>
    <cellStyle name="Normal 16 2 2 3 2" xfId="1136"/>
    <cellStyle name="Normal 16 2 2 3 2 2" xfId="1369"/>
    <cellStyle name="Normal 16 2 2 3 3" xfId="1253"/>
    <cellStyle name="Normal 16 2 2 3 4" xfId="1017"/>
    <cellStyle name="Normal 16 2 2 4" xfId="875"/>
    <cellStyle name="Normal 16 2 2 4 2" xfId="1317"/>
    <cellStyle name="Normal 16 2 2 4 3" xfId="1084"/>
    <cellStyle name="Normal 16 2 2 5" xfId="1201"/>
    <cellStyle name="Normal 16 2 2 6" xfId="964"/>
    <cellStyle name="Normal 16 2 3" xfId="627"/>
    <cellStyle name="Normal 16 2 3 2" xfId="664"/>
    <cellStyle name="Normal 16 2 3 2 2" xfId="843"/>
    <cellStyle name="Normal 16 2 3 2 2 2" xfId="1174"/>
    <cellStyle name="Normal 16 2 3 2 2 2 2" xfId="1407"/>
    <cellStyle name="Normal 16 2 3 2 2 3" xfId="1291"/>
    <cellStyle name="Normal 16 2 3 2 2 4" xfId="1055"/>
    <cellStyle name="Normal 16 2 3 2 3" xfId="913"/>
    <cellStyle name="Normal 16 2 3 2 3 2" xfId="1351"/>
    <cellStyle name="Normal 16 2 3 2 3 3" xfId="1118"/>
    <cellStyle name="Normal 16 2 3 2 4" xfId="1235"/>
    <cellStyle name="Normal 16 2 3 2 5" xfId="998"/>
    <cellStyle name="Normal 16 2 3 3" xfId="810"/>
    <cellStyle name="Normal 16 2 3 3 2" xfId="1144"/>
    <cellStyle name="Normal 16 2 3 3 2 2" xfId="1377"/>
    <cellStyle name="Normal 16 2 3 3 3" xfId="1261"/>
    <cellStyle name="Normal 16 2 3 3 4" xfId="1025"/>
    <cellStyle name="Normal 16 2 3 4" xfId="883"/>
    <cellStyle name="Normal 16 2 3 4 2" xfId="1325"/>
    <cellStyle name="Normal 16 2 3 4 3" xfId="1092"/>
    <cellStyle name="Normal 16 2 3 5" xfId="1209"/>
    <cellStyle name="Normal 16 2 3 6" xfId="972"/>
    <cellStyle name="Normal 16 2 4" xfId="648"/>
    <cellStyle name="Normal 16 2 4 2" xfId="827"/>
    <cellStyle name="Normal 16 2 4 2 2" xfId="1158"/>
    <cellStyle name="Normal 16 2 4 2 2 2" xfId="1391"/>
    <cellStyle name="Normal 16 2 4 2 3" xfId="1275"/>
    <cellStyle name="Normal 16 2 4 2 4" xfId="1039"/>
    <cellStyle name="Normal 16 2 4 3" xfId="897"/>
    <cellStyle name="Normal 16 2 4 3 2" xfId="1309"/>
    <cellStyle name="Normal 16 2 4 3 3" xfId="1076"/>
    <cellStyle name="Normal 16 2 4 4" xfId="1193"/>
    <cellStyle name="Normal 16 2 4 5" xfId="956"/>
    <cellStyle name="Normal 16 2 5" xfId="791"/>
    <cellStyle name="Normal 16 2 5 2" xfId="1102"/>
    <cellStyle name="Normal 16 2 5 2 2" xfId="1335"/>
    <cellStyle name="Normal 16 2 5 3" xfId="1219"/>
    <cellStyle name="Normal 16 2 5 4" xfId="982"/>
    <cellStyle name="Normal 16 2 6" xfId="867"/>
    <cellStyle name="Normal 16 2 6 2" xfId="1128"/>
    <cellStyle name="Normal 16 2 6 2 2" xfId="1361"/>
    <cellStyle name="Normal 16 2 6 3" xfId="1245"/>
    <cellStyle name="Normal 16 2 6 4" xfId="1009"/>
    <cellStyle name="Normal 16 2 7" xfId="1069"/>
    <cellStyle name="Normal 16 2 7 2" xfId="1302"/>
    <cellStyle name="Normal 16 2 8" xfId="1186"/>
    <cellStyle name="Normal 16 2 9" xfId="949"/>
    <cellStyle name="Normal 16 3" xfId="591"/>
    <cellStyle name="Normal 16 3 2" xfId="645"/>
    <cellStyle name="Normal 16 3 2 2" xfId="824"/>
    <cellStyle name="Normal 16 3 2 2 2" xfId="1155"/>
    <cellStyle name="Normal 16 3 2 2 2 2" xfId="1388"/>
    <cellStyle name="Normal 16 3 2 2 3" xfId="1272"/>
    <cellStyle name="Normal 16 3 2 2 4" xfId="1036"/>
    <cellStyle name="Normal 16 3 2 3" xfId="894"/>
    <cellStyle name="Normal 16 3 2 3 2" xfId="1332"/>
    <cellStyle name="Normal 16 3 2 3 3" xfId="1099"/>
    <cellStyle name="Normal 16 3 2 4" xfId="1216"/>
    <cellStyle name="Normal 16 3 2 5" xfId="979"/>
    <cellStyle name="Normal 16 3 3" xfId="785"/>
    <cellStyle name="Normal 16 3 3 2" xfId="1125"/>
    <cellStyle name="Normal 16 3 3 2 2" xfId="1358"/>
    <cellStyle name="Normal 16 3 3 3" xfId="1242"/>
    <cellStyle name="Normal 16 3 3 4" xfId="1006"/>
    <cellStyle name="Normal 16 3 4" xfId="864"/>
    <cellStyle name="Normal 16 3 4 2" xfId="1306"/>
    <cellStyle name="Normal 16 3 4 3" xfId="1073"/>
    <cellStyle name="Normal 16 3 5" xfId="1190"/>
    <cellStyle name="Normal 16 3 6" xfId="953"/>
    <cellStyle name="Normal 16 4" xfId="616"/>
    <cellStyle name="Normal 16 4 2" xfId="653"/>
    <cellStyle name="Normal 16 4 2 2" xfId="832"/>
    <cellStyle name="Normal 16 4 2 2 2" xfId="1163"/>
    <cellStyle name="Normal 16 4 2 2 2 2" xfId="1396"/>
    <cellStyle name="Normal 16 4 2 2 3" xfId="1280"/>
    <cellStyle name="Normal 16 4 2 2 4" xfId="1044"/>
    <cellStyle name="Normal 16 4 2 3" xfId="902"/>
    <cellStyle name="Normal 16 4 2 3 2" xfId="1340"/>
    <cellStyle name="Normal 16 4 2 3 3" xfId="1107"/>
    <cellStyle name="Normal 16 4 2 4" xfId="1224"/>
    <cellStyle name="Normal 16 4 2 5" xfId="987"/>
    <cellStyle name="Normal 16 4 3" xfId="799"/>
    <cellStyle name="Normal 16 4 3 2" xfId="1133"/>
    <cellStyle name="Normal 16 4 3 2 2" xfId="1366"/>
    <cellStyle name="Normal 16 4 3 3" xfId="1250"/>
    <cellStyle name="Normal 16 4 3 4" xfId="1014"/>
    <cellStyle name="Normal 16 4 4" xfId="872"/>
    <cellStyle name="Normal 16 4 4 2" xfId="1314"/>
    <cellStyle name="Normal 16 4 4 3" xfId="1081"/>
    <cellStyle name="Normal 16 4 5" xfId="1198"/>
    <cellStyle name="Normal 16 4 6" xfId="961"/>
    <cellStyle name="Normal 16 5" xfId="624"/>
    <cellStyle name="Normal 16 5 2" xfId="661"/>
    <cellStyle name="Normal 16 5 2 2" xfId="840"/>
    <cellStyle name="Normal 16 5 2 2 2" xfId="1171"/>
    <cellStyle name="Normal 16 5 2 2 2 2" xfId="1404"/>
    <cellStyle name="Normal 16 5 2 2 3" xfId="1288"/>
    <cellStyle name="Normal 16 5 2 2 4" xfId="1052"/>
    <cellStyle name="Normal 16 5 2 3" xfId="910"/>
    <cellStyle name="Normal 16 5 2 3 2" xfId="1348"/>
    <cellStyle name="Normal 16 5 2 3 3" xfId="1115"/>
    <cellStyle name="Normal 16 5 2 4" xfId="1232"/>
    <cellStyle name="Normal 16 5 2 5" xfId="995"/>
    <cellStyle name="Normal 16 5 3" xfId="807"/>
    <cellStyle name="Normal 16 5 3 2" xfId="1141"/>
    <cellStyle name="Normal 16 5 3 2 2" xfId="1374"/>
    <cellStyle name="Normal 16 5 3 3" xfId="1258"/>
    <cellStyle name="Normal 16 5 3 4" xfId="1022"/>
    <cellStyle name="Normal 16 5 4" xfId="880"/>
    <cellStyle name="Normal 16 5 4 2" xfId="1322"/>
    <cellStyle name="Normal 16 5 4 3" xfId="1089"/>
    <cellStyle name="Normal 16 5 5" xfId="1206"/>
    <cellStyle name="Normal 16 5 6" xfId="969"/>
    <cellStyle name="Normal 16 6" xfId="642"/>
    <cellStyle name="Normal 16 6 2" xfId="821"/>
    <cellStyle name="Normal 16 6 2 2" xfId="1153"/>
    <cellStyle name="Normal 16 6 2 2 2" xfId="1386"/>
    <cellStyle name="Normal 16 6 2 3" xfId="1270"/>
    <cellStyle name="Normal 16 6 2 4" xfId="1034"/>
    <cellStyle name="Normal 16 6 3" xfId="892"/>
    <cellStyle name="Normal 16 6 3 2" xfId="1304"/>
    <cellStyle name="Normal 16 6 3 3" xfId="1071"/>
    <cellStyle name="Normal 16 6 4" xfId="1188"/>
    <cellStyle name="Normal 16 6 5" xfId="951"/>
    <cellStyle name="Normal 16 7" xfId="771"/>
    <cellStyle name="Normal 16 7 2" xfId="1097"/>
    <cellStyle name="Normal 16 7 2 2" xfId="1330"/>
    <cellStyle name="Normal 16 7 3" xfId="1214"/>
    <cellStyle name="Normal 16 7 4" xfId="977"/>
    <cellStyle name="Normal 16 8" xfId="861"/>
    <cellStyle name="Normal 16 8 2" xfId="1123"/>
    <cellStyle name="Normal 16 8 2 2" xfId="1356"/>
    <cellStyle name="Normal 16 8 3" xfId="1240"/>
    <cellStyle name="Normal 16 8 4" xfId="1004"/>
    <cellStyle name="Normal 16 9" xfId="1064"/>
    <cellStyle name="Normal 16 9 2" xfId="1299"/>
    <cellStyle name="Normal 17" xfId="517"/>
    <cellStyle name="Normal 17 10" xfId="1184"/>
    <cellStyle name="Normal 17 11" xfId="940"/>
    <cellStyle name="Normal 17 2" xfId="603"/>
    <cellStyle name="Normal 17 2 2" xfId="620"/>
    <cellStyle name="Normal 17 2 2 2" xfId="657"/>
    <cellStyle name="Normal 17 2 2 2 2" xfId="836"/>
    <cellStyle name="Normal 17 2 2 2 2 2" xfId="1167"/>
    <cellStyle name="Normal 17 2 2 2 2 2 2" xfId="1400"/>
    <cellStyle name="Normal 17 2 2 2 2 3" xfId="1284"/>
    <cellStyle name="Normal 17 2 2 2 2 4" xfId="1048"/>
    <cellStyle name="Normal 17 2 2 2 3" xfId="906"/>
    <cellStyle name="Normal 17 2 2 2 3 2" xfId="1344"/>
    <cellStyle name="Normal 17 2 2 2 3 3" xfId="1111"/>
    <cellStyle name="Normal 17 2 2 2 4" xfId="1228"/>
    <cellStyle name="Normal 17 2 2 2 5" xfId="991"/>
    <cellStyle name="Normal 17 2 2 3" xfId="803"/>
    <cellStyle name="Normal 17 2 2 3 2" xfId="1137"/>
    <cellStyle name="Normal 17 2 2 3 2 2" xfId="1370"/>
    <cellStyle name="Normal 17 2 2 3 3" xfId="1254"/>
    <cellStyle name="Normal 17 2 2 3 4" xfId="1018"/>
    <cellStyle name="Normal 17 2 2 4" xfId="876"/>
    <cellStyle name="Normal 17 2 2 4 2" xfId="1318"/>
    <cellStyle name="Normal 17 2 2 4 3" xfId="1085"/>
    <cellStyle name="Normal 17 2 2 5" xfId="1202"/>
    <cellStyle name="Normal 17 2 2 6" xfId="965"/>
    <cellStyle name="Normal 17 2 3" xfId="628"/>
    <cellStyle name="Normal 17 2 3 2" xfId="665"/>
    <cellStyle name="Normal 17 2 3 2 2" xfId="844"/>
    <cellStyle name="Normal 17 2 3 2 2 2" xfId="1175"/>
    <cellStyle name="Normal 17 2 3 2 2 2 2" xfId="1408"/>
    <cellStyle name="Normal 17 2 3 2 2 3" xfId="1292"/>
    <cellStyle name="Normal 17 2 3 2 2 4" xfId="1056"/>
    <cellStyle name="Normal 17 2 3 2 3" xfId="914"/>
    <cellStyle name="Normal 17 2 3 2 3 2" xfId="1352"/>
    <cellStyle name="Normal 17 2 3 2 3 3" xfId="1119"/>
    <cellStyle name="Normal 17 2 3 2 4" xfId="1236"/>
    <cellStyle name="Normal 17 2 3 2 5" xfId="999"/>
    <cellStyle name="Normal 17 2 3 3" xfId="811"/>
    <cellStyle name="Normal 17 2 3 3 2" xfId="1145"/>
    <cellStyle name="Normal 17 2 3 3 2 2" xfId="1378"/>
    <cellStyle name="Normal 17 2 3 3 3" xfId="1262"/>
    <cellStyle name="Normal 17 2 3 3 4" xfId="1026"/>
    <cellStyle name="Normal 17 2 3 4" xfId="884"/>
    <cellStyle name="Normal 17 2 3 4 2" xfId="1326"/>
    <cellStyle name="Normal 17 2 3 4 3" xfId="1093"/>
    <cellStyle name="Normal 17 2 3 5" xfId="1210"/>
    <cellStyle name="Normal 17 2 3 6" xfId="973"/>
    <cellStyle name="Normal 17 2 4" xfId="649"/>
    <cellStyle name="Normal 17 2 4 2" xfId="828"/>
    <cellStyle name="Normal 17 2 4 2 2" xfId="1159"/>
    <cellStyle name="Normal 17 2 4 2 2 2" xfId="1392"/>
    <cellStyle name="Normal 17 2 4 2 3" xfId="1276"/>
    <cellStyle name="Normal 17 2 4 2 4" xfId="1040"/>
    <cellStyle name="Normal 17 2 4 3" xfId="898"/>
    <cellStyle name="Normal 17 2 4 3 2" xfId="1310"/>
    <cellStyle name="Normal 17 2 4 3 3" xfId="1077"/>
    <cellStyle name="Normal 17 2 4 4" xfId="1194"/>
    <cellStyle name="Normal 17 2 4 5" xfId="957"/>
    <cellStyle name="Normal 17 2 5" xfId="792"/>
    <cellStyle name="Normal 17 2 5 2" xfId="1103"/>
    <cellStyle name="Normal 17 2 5 2 2" xfId="1336"/>
    <cellStyle name="Normal 17 2 5 3" xfId="1220"/>
    <cellStyle name="Normal 17 2 5 4" xfId="983"/>
    <cellStyle name="Normal 17 2 6" xfId="868"/>
    <cellStyle name="Normal 17 2 6 2" xfId="1129"/>
    <cellStyle name="Normal 17 2 6 2 2" xfId="1362"/>
    <cellStyle name="Normal 17 2 6 3" xfId="1246"/>
    <cellStyle name="Normal 17 2 6 4" xfId="1010"/>
    <cellStyle name="Normal 17 2 7" xfId="1070"/>
    <cellStyle name="Normal 17 2 7 2" xfId="1303"/>
    <cellStyle name="Normal 17 2 8" xfId="1187"/>
    <cellStyle name="Normal 17 2 9" xfId="950"/>
    <cellStyle name="Normal 17 3" xfId="592"/>
    <cellStyle name="Normal 17 3 2" xfId="646"/>
    <cellStyle name="Normal 17 3 2 2" xfId="825"/>
    <cellStyle name="Normal 17 3 2 2 2" xfId="1156"/>
    <cellStyle name="Normal 17 3 2 2 2 2" xfId="1389"/>
    <cellStyle name="Normal 17 3 2 2 3" xfId="1273"/>
    <cellStyle name="Normal 17 3 2 2 4" xfId="1037"/>
    <cellStyle name="Normal 17 3 2 3" xfId="895"/>
    <cellStyle name="Normal 17 3 2 3 2" xfId="1333"/>
    <cellStyle name="Normal 17 3 2 3 3" xfId="1100"/>
    <cellStyle name="Normal 17 3 2 4" xfId="1217"/>
    <cellStyle name="Normal 17 3 2 5" xfId="980"/>
    <cellStyle name="Normal 17 3 3" xfId="786"/>
    <cellStyle name="Normal 17 3 3 2" xfId="1126"/>
    <cellStyle name="Normal 17 3 3 2 2" xfId="1359"/>
    <cellStyle name="Normal 17 3 3 3" xfId="1243"/>
    <cellStyle name="Normal 17 3 3 4" xfId="1007"/>
    <cellStyle name="Normal 17 3 4" xfId="865"/>
    <cellStyle name="Normal 17 3 4 2" xfId="1307"/>
    <cellStyle name="Normal 17 3 4 3" xfId="1074"/>
    <cellStyle name="Normal 17 3 5" xfId="1191"/>
    <cellStyle name="Normal 17 3 6" xfId="954"/>
    <cellStyle name="Normal 17 4" xfId="617"/>
    <cellStyle name="Normal 17 4 2" xfId="654"/>
    <cellStyle name="Normal 17 4 2 2" xfId="833"/>
    <cellStyle name="Normal 17 4 2 2 2" xfId="1164"/>
    <cellStyle name="Normal 17 4 2 2 2 2" xfId="1397"/>
    <cellStyle name="Normal 17 4 2 2 3" xfId="1281"/>
    <cellStyle name="Normal 17 4 2 2 4" xfId="1045"/>
    <cellStyle name="Normal 17 4 2 3" xfId="903"/>
    <cellStyle name="Normal 17 4 2 3 2" xfId="1341"/>
    <cellStyle name="Normal 17 4 2 3 3" xfId="1108"/>
    <cellStyle name="Normal 17 4 2 4" xfId="1225"/>
    <cellStyle name="Normal 17 4 2 5" xfId="988"/>
    <cellStyle name="Normal 17 4 3" xfId="800"/>
    <cellStyle name="Normal 17 4 3 2" xfId="1134"/>
    <cellStyle name="Normal 17 4 3 2 2" xfId="1367"/>
    <cellStyle name="Normal 17 4 3 3" xfId="1251"/>
    <cellStyle name="Normal 17 4 3 4" xfId="1015"/>
    <cellStyle name="Normal 17 4 4" xfId="873"/>
    <cellStyle name="Normal 17 4 4 2" xfId="1315"/>
    <cellStyle name="Normal 17 4 4 3" xfId="1082"/>
    <cellStyle name="Normal 17 4 5" xfId="1199"/>
    <cellStyle name="Normal 17 4 6" xfId="962"/>
    <cellStyle name="Normal 17 5" xfId="625"/>
    <cellStyle name="Normal 17 5 2" xfId="662"/>
    <cellStyle name="Normal 17 5 2 2" xfId="841"/>
    <cellStyle name="Normal 17 5 2 2 2" xfId="1172"/>
    <cellStyle name="Normal 17 5 2 2 2 2" xfId="1405"/>
    <cellStyle name="Normal 17 5 2 2 3" xfId="1289"/>
    <cellStyle name="Normal 17 5 2 2 4" xfId="1053"/>
    <cellStyle name="Normal 17 5 2 3" xfId="911"/>
    <cellStyle name="Normal 17 5 2 3 2" xfId="1349"/>
    <cellStyle name="Normal 17 5 2 3 3" xfId="1116"/>
    <cellStyle name="Normal 17 5 2 4" xfId="1233"/>
    <cellStyle name="Normal 17 5 2 5" xfId="996"/>
    <cellStyle name="Normal 17 5 3" xfId="808"/>
    <cellStyle name="Normal 17 5 3 2" xfId="1142"/>
    <cellStyle name="Normal 17 5 3 2 2" xfId="1375"/>
    <cellStyle name="Normal 17 5 3 3" xfId="1259"/>
    <cellStyle name="Normal 17 5 3 4" xfId="1023"/>
    <cellStyle name="Normal 17 5 4" xfId="881"/>
    <cellStyle name="Normal 17 5 4 2" xfId="1323"/>
    <cellStyle name="Normal 17 5 4 3" xfId="1090"/>
    <cellStyle name="Normal 17 5 5" xfId="1207"/>
    <cellStyle name="Normal 17 5 6" xfId="970"/>
    <cellStyle name="Normal 17 6" xfId="643"/>
    <cellStyle name="Normal 17 6 2" xfId="822"/>
    <cellStyle name="Normal 17 6 2 2" xfId="1154"/>
    <cellStyle name="Normal 17 6 2 2 2" xfId="1387"/>
    <cellStyle name="Normal 17 6 2 3" xfId="1271"/>
    <cellStyle name="Normal 17 6 2 4" xfId="1035"/>
    <cellStyle name="Normal 17 6 3" xfId="893"/>
    <cellStyle name="Normal 17 6 3 2" xfId="1305"/>
    <cellStyle name="Normal 17 6 3 3" xfId="1072"/>
    <cellStyle name="Normal 17 6 4" xfId="1189"/>
    <cellStyle name="Normal 17 6 5" xfId="952"/>
    <cellStyle name="Normal 17 7" xfId="772"/>
    <cellStyle name="Normal 17 7 2" xfId="1098"/>
    <cellStyle name="Normal 17 7 2 2" xfId="1331"/>
    <cellStyle name="Normal 17 7 3" xfId="1215"/>
    <cellStyle name="Normal 17 7 4" xfId="978"/>
    <cellStyle name="Normal 17 8" xfId="862"/>
    <cellStyle name="Normal 17 8 2" xfId="1124"/>
    <cellStyle name="Normal 17 8 2 2" xfId="1357"/>
    <cellStyle name="Normal 17 8 3" xfId="1241"/>
    <cellStyle name="Normal 17 8 4" xfId="1005"/>
    <cellStyle name="Normal 17 9" xfId="1065"/>
    <cellStyle name="Normal 17 9 2" xfId="1300"/>
    <cellStyle name="Normal 18" xfId="518"/>
    <cellStyle name="Normal 19" xfId="519"/>
    <cellStyle name="Normal 19 2" xfId="604"/>
    <cellStyle name="Normal 19 3" xfId="593"/>
    <cellStyle name="Normal 2" xfId="520"/>
    <cellStyle name="Normal 2 2" xfId="605"/>
    <cellStyle name="Normal 2 2 2" xfId="621"/>
    <cellStyle name="Normal 2 2 2 2" xfId="658"/>
    <cellStyle name="Normal 2 2 2 2 2" xfId="837"/>
    <cellStyle name="Normal 2 2 2 2 2 2" xfId="1168"/>
    <cellStyle name="Normal 2 2 2 2 2 2 2" xfId="1401"/>
    <cellStyle name="Normal 2 2 2 2 2 3" xfId="1285"/>
    <cellStyle name="Normal 2 2 2 2 2 4" xfId="1049"/>
    <cellStyle name="Normal 2 2 2 2 3" xfId="907"/>
    <cellStyle name="Normal 2 2 2 2 3 2" xfId="1345"/>
    <cellStyle name="Normal 2 2 2 2 3 3" xfId="1112"/>
    <cellStyle name="Normal 2 2 2 2 4" xfId="1229"/>
    <cellStyle name="Normal 2 2 2 2 5" xfId="992"/>
    <cellStyle name="Normal 2 2 2 3" xfId="804"/>
    <cellStyle name="Normal 2 2 2 3 2" xfId="1138"/>
    <cellStyle name="Normal 2 2 2 3 2 2" xfId="1371"/>
    <cellStyle name="Normal 2 2 2 3 3" xfId="1255"/>
    <cellStyle name="Normal 2 2 2 3 4" xfId="1019"/>
    <cellStyle name="Normal 2 2 2 4" xfId="877"/>
    <cellStyle name="Normal 2 2 2 4 2" xfId="1319"/>
    <cellStyle name="Normal 2 2 2 4 3" xfId="1086"/>
    <cellStyle name="Normal 2 2 2 5" xfId="1203"/>
    <cellStyle name="Normal 2 2 2 6" xfId="966"/>
    <cellStyle name="Normal 2 2 3" xfId="629"/>
    <cellStyle name="Normal 2 2 3 2" xfId="666"/>
    <cellStyle name="Normal 2 2 3 2 2" xfId="845"/>
    <cellStyle name="Normal 2 2 3 2 2 2" xfId="1176"/>
    <cellStyle name="Normal 2 2 3 2 2 2 2" xfId="1409"/>
    <cellStyle name="Normal 2 2 3 2 2 3" xfId="1293"/>
    <cellStyle name="Normal 2 2 3 2 2 4" xfId="1057"/>
    <cellStyle name="Normal 2 2 3 2 3" xfId="915"/>
    <cellStyle name="Normal 2 2 3 2 3 2" xfId="1353"/>
    <cellStyle name="Normal 2 2 3 2 3 3" xfId="1120"/>
    <cellStyle name="Normal 2 2 3 2 4" xfId="1237"/>
    <cellStyle name="Normal 2 2 3 2 5" xfId="1000"/>
    <cellStyle name="Normal 2 2 3 3" xfId="812"/>
    <cellStyle name="Normal 2 2 3 3 2" xfId="1146"/>
    <cellStyle name="Normal 2 2 3 3 2 2" xfId="1379"/>
    <cellStyle name="Normal 2 2 3 3 3" xfId="1263"/>
    <cellStyle name="Normal 2 2 3 3 4" xfId="1027"/>
    <cellStyle name="Normal 2 2 3 4" xfId="885"/>
    <cellStyle name="Normal 2 2 3 4 2" xfId="1327"/>
    <cellStyle name="Normal 2 2 3 4 3" xfId="1094"/>
    <cellStyle name="Normal 2 2 3 5" xfId="1211"/>
    <cellStyle name="Normal 2 2 3 6" xfId="974"/>
    <cellStyle name="Normal 2 2 4" xfId="650"/>
    <cellStyle name="Normal 2 2 4 2" xfId="829"/>
    <cellStyle name="Normal 2 2 4 2 2" xfId="1160"/>
    <cellStyle name="Normal 2 2 4 2 2 2" xfId="1393"/>
    <cellStyle name="Normal 2 2 4 2 3" xfId="1277"/>
    <cellStyle name="Normal 2 2 4 2 4" xfId="1041"/>
    <cellStyle name="Normal 2 2 4 3" xfId="899"/>
    <cellStyle name="Normal 2 2 4 3 2" xfId="1311"/>
    <cellStyle name="Normal 2 2 4 3 3" xfId="1078"/>
    <cellStyle name="Normal 2 2 4 4" xfId="1195"/>
    <cellStyle name="Normal 2 2 4 5" xfId="958"/>
    <cellStyle name="Normal 2 2 5" xfId="793"/>
    <cellStyle name="Normal 2 2 5 2" xfId="1104"/>
    <cellStyle name="Normal 2 2 5 2 2" xfId="1337"/>
    <cellStyle name="Normal 2 2 5 3" xfId="1221"/>
    <cellStyle name="Normal 2 2 5 4" xfId="984"/>
    <cellStyle name="Normal 2 2 6" xfId="869"/>
    <cellStyle name="Normal 2 2 6 2" xfId="1130"/>
    <cellStyle name="Normal 2 2 6 2 2" xfId="1363"/>
    <cellStyle name="Normal 2 2 6 3" xfId="1247"/>
    <cellStyle name="Normal 2 2 6 4" xfId="1011"/>
    <cellStyle name="Normal 2 2 7" xfId="1068"/>
    <cellStyle name="Normal 2 2 7 2" xfId="1301"/>
    <cellStyle name="Normal 2 2 8" xfId="1185"/>
    <cellStyle name="Normal 2 2 9" xfId="947"/>
    <cellStyle name="Normal 2 3" xfId="636"/>
    <cellStyle name="Normal 2 4" xfId="696"/>
    <cellStyle name="Normal 20" xfId="521"/>
    <cellStyle name="Normal 21" xfId="606"/>
    <cellStyle name="Normal 22" xfId="632"/>
    <cellStyle name="Normal 22 2" xfId="640"/>
    <cellStyle name="Normal 22 3" xfId="815"/>
    <cellStyle name="Normal 22 3 2" xfId="1382"/>
    <cellStyle name="Normal 22 3 3" xfId="1149"/>
    <cellStyle name="Normal 22 4" xfId="888"/>
    <cellStyle name="Normal 22 4 2" xfId="1266"/>
    <cellStyle name="Normal 22 5" xfId="1030"/>
    <cellStyle name="Normal 23" xfId="637"/>
    <cellStyle name="Normal 23 2" xfId="818"/>
    <cellStyle name="Normal 23 2 2" xfId="1383"/>
    <cellStyle name="Normal 23 2 3" xfId="1150"/>
    <cellStyle name="Normal 23 3" xfId="889"/>
    <cellStyle name="Normal 23 3 2" xfId="1267"/>
    <cellStyle name="Normal 23 4" xfId="1031"/>
    <cellStyle name="Normal 24" xfId="848"/>
    <cellStyle name="Normal 24 2" xfId="1062"/>
    <cellStyle name="Normal 25" xfId="859"/>
    <cellStyle name="Normal 25 2" xfId="1298"/>
    <cellStyle name="Normal 25 3" xfId="1061"/>
    <cellStyle name="Normal 26" xfId="849"/>
    <cellStyle name="Normal 26 2" xfId="1180"/>
    <cellStyle name="Normal 27" xfId="855"/>
    <cellStyle name="Normal 28" xfId="860"/>
    <cellStyle name="Normal 29" xfId="930"/>
    <cellStyle name="Normal 3" xfId="522"/>
    <cellStyle name="Normal 3 2" xfId="607"/>
    <cellStyle name="Normal 3 3" xfId="608"/>
    <cellStyle name="Normal 3 3 2" xfId="601"/>
    <cellStyle name="Normal 3 4" xfId="633"/>
    <cellStyle name="Normal 3 4 2" xfId="816"/>
    <cellStyle name="Normal 3 5" xfId="700"/>
    <cellStyle name="Normal 3 6" xfId="923"/>
    <cellStyle name="Normal 30" xfId="926"/>
    <cellStyle name="Normal 31" xfId="1413"/>
    <cellStyle name="Normal 32" xfId="924"/>
    <cellStyle name="Normal 33" xfId="928"/>
    <cellStyle name="Normal 34" xfId="938"/>
    <cellStyle name="Normal 35" xfId="1422"/>
    <cellStyle name="Normal 36" xfId="1424"/>
    <cellStyle name="Normal 37" xfId="1426"/>
    <cellStyle name="Normal 38" xfId="1428"/>
    <cellStyle name="Normal 39" xfId="1430"/>
    <cellStyle name="Normal 4" xfId="523"/>
    <cellStyle name="Normal 4 2" xfId="609"/>
    <cellStyle name="Normal 4 3" xfId="739"/>
    <cellStyle name="Normal 40" xfId="1432"/>
    <cellStyle name="Normal 41" xfId="1434"/>
    <cellStyle name="Normal 42" xfId="1436"/>
    <cellStyle name="Normal 43" xfId="1438"/>
    <cellStyle name="Normal 44" xfId="1440"/>
    <cellStyle name="Normal 45" xfId="1442"/>
    <cellStyle name="Normal 46" xfId="1444"/>
    <cellStyle name="Normal 5" xfId="524"/>
    <cellStyle name="Normal 5 2" xfId="767"/>
    <cellStyle name="Normal 5 2 2" xfId="1446"/>
    <cellStyle name="Normal 5 3" xfId="741"/>
    <cellStyle name="Normal 6" xfId="525"/>
    <cellStyle name="Normal 6 2" xfId="744"/>
    <cellStyle name="Normal 7" xfId="526"/>
    <cellStyle name="Normal 8" xfId="527"/>
    <cellStyle name="Normal 9" xfId="528"/>
    <cellStyle name="Note 10" xfId="529"/>
    <cellStyle name="Note 11" xfId="530"/>
    <cellStyle name="Note 12" xfId="531"/>
    <cellStyle name="Note 13" xfId="532"/>
    <cellStyle name="Note 14" xfId="533"/>
    <cellStyle name="Note 15" xfId="534"/>
    <cellStyle name="Note 16" xfId="777"/>
    <cellStyle name="Note 2" xfId="535"/>
    <cellStyle name="Note 2 2" xfId="712"/>
    <cellStyle name="Note 3" xfId="536"/>
    <cellStyle name="Note 4" xfId="537"/>
    <cellStyle name="Note 5" xfId="538"/>
    <cellStyle name="Note 6" xfId="539"/>
    <cellStyle name="Note 7" xfId="540"/>
    <cellStyle name="Note 8" xfId="541"/>
    <cellStyle name="Note 9" xfId="542"/>
    <cellStyle name="Output 10" xfId="543"/>
    <cellStyle name="Output 11" xfId="544"/>
    <cellStyle name="Output 12" xfId="545"/>
    <cellStyle name="Output 13" xfId="546"/>
    <cellStyle name="Output 14" xfId="547"/>
    <cellStyle name="Output 15" xfId="548"/>
    <cellStyle name="Output 16" xfId="774"/>
    <cellStyle name="Output 2" xfId="549"/>
    <cellStyle name="Output 2 2" xfId="707"/>
    <cellStyle name="Output 3" xfId="550"/>
    <cellStyle name="Output 4" xfId="551"/>
    <cellStyle name="Output 5" xfId="552"/>
    <cellStyle name="Output 6" xfId="553"/>
    <cellStyle name="Output 7" xfId="554"/>
    <cellStyle name="Output 8" xfId="555"/>
    <cellStyle name="Output 9" xfId="556"/>
    <cellStyle name="Percent" xfId="557" builtinId="5"/>
    <cellStyle name="Percent [2]" xfId="766"/>
    <cellStyle name="Percent 10" xfId="856"/>
    <cellStyle name="Percent 11" xfId="863"/>
    <cellStyle name="Percent 12" xfId="941"/>
    <cellStyle name="Percent 13" xfId="925"/>
    <cellStyle name="Percent 14" xfId="929"/>
    <cellStyle name="Percent 15" xfId="918"/>
    <cellStyle name="Percent 16" xfId="1414"/>
    <cellStyle name="Percent 17" xfId="934"/>
    <cellStyle name="Percent 18" xfId="943"/>
    <cellStyle name="Percent 19" xfId="920"/>
    <cellStyle name="Percent 2" xfId="558"/>
    <cellStyle name="Percent 2 2" xfId="610"/>
    <cellStyle name="Percent 2 2 2" xfId="622"/>
    <cellStyle name="Percent 2 2 2 2" xfId="659"/>
    <cellStyle name="Percent 2 2 2 2 2" xfId="838"/>
    <cellStyle name="Percent 2 2 2 2 2 2" xfId="1169"/>
    <cellStyle name="Percent 2 2 2 2 2 2 2" xfId="1402"/>
    <cellStyle name="Percent 2 2 2 2 2 3" xfId="1286"/>
    <cellStyle name="Percent 2 2 2 2 2 4" xfId="1050"/>
    <cellStyle name="Percent 2 2 2 2 3" xfId="908"/>
    <cellStyle name="Percent 2 2 2 2 3 2" xfId="1346"/>
    <cellStyle name="Percent 2 2 2 2 3 3" xfId="1113"/>
    <cellStyle name="Percent 2 2 2 2 4" xfId="1230"/>
    <cellStyle name="Percent 2 2 2 2 5" xfId="993"/>
    <cellStyle name="Percent 2 2 2 3" xfId="805"/>
    <cellStyle name="Percent 2 2 2 3 2" xfId="1139"/>
    <cellStyle name="Percent 2 2 2 3 2 2" xfId="1372"/>
    <cellStyle name="Percent 2 2 2 3 3" xfId="1256"/>
    <cellStyle name="Percent 2 2 2 3 4" xfId="1020"/>
    <cellStyle name="Percent 2 2 2 4" xfId="878"/>
    <cellStyle name="Percent 2 2 2 4 2" xfId="1320"/>
    <cellStyle name="Percent 2 2 2 4 3" xfId="1087"/>
    <cellStyle name="Percent 2 2 2 5" xfId="1204"/>
    <cellStyle name="Percent 2 2 2 6" xfId="967"/>
    <cellStyle name="Percent 2 2 3" xfId="630"/>
    <cellStyle name="Percent 2 2 3 2" xfId="667"/>
    <cellStyle name="Percent 2 2 3 2 2" xfId="846"/>
    <cellStyle name="Percent 2 2 3 2 2 2" xfId="1177"/>
    <cellStyle name="Percent 2 2 3 2 2 2 2" xfId="1410"/>
    <cellStyle name="Percent 2 2 3 2 2 3" xfId="1294"/>
    <cellStyle name="Percent 2 2 3 2 2 4" xfId="1058"/>
    <cellStyle name="Percent 2 2 3 2 3" xfId="916"/>
    <cellStyle name="Percent 2 2 3 2 3 2" xfId="1354"/>
    <cellStyle name="Percent 2 2 3 2 3 3" xfId="1121"/>
    <cellStyle name="Percent 2 2 3 2 4" xfId="1238"/>
    <cellStyle name="Percent 2 2 3 2 5" xfId="1001"/>
    <cellStyle name="Percent 2 2 3 3" xfId="813"/>
    <cellStyle name="Percent 2 2 3 3 2" xfId="1147"/>
    <cellStyle name="Percent 2 2 3 3 2 2" xfId="1380"/>
    <cellStyle name="Percent 2 2 3 3 3" xfId="1264"/>
    <cellStyle name="Percent 2 2 3 3 4" xfId="1028"/>
    <cellStyle name="Percent 2 2 3 4" xfId="886"/>
    <cellStyle name="Percent 2 2 3 4 2" xfId="1328"/>
    <cellStyle name="Percent 2 2 3 4 3" xfId="1095"/>
    <cellStyle name="Percent 2 2 3 5" xfId="1212"/>
    <cellStyle name="Percent 2 2 3 6" xfId="975"/>
    <cellStyle name="Percent 2 2 4" xfId="651"/>
    <cellStyle name="Percent 2 2 4 2" xfId="830"/>
    <cellStyle name="Percent 2 2 4 2 2" xfId="1161"/>
    <cellStyle name="Percent 2 2 4 2 2 2" xfId="1394"/>
    <cellStyle name="Percent 2 2 4 2 3" xfId="1278"/>
    <cellStyle name="Percent 2 2 4 2 4" xfId="1042"/>
    <cellStyle name="Percent 2 2 4 3" xfId="900"/>
    <cellStyle name="Percent 2 2 4 3 2" xfId="1338"/>
    <cellStyle name="Percent 2 2 4 3 3" xfId="1105"/>
    <cellStyle name="Percent 2 2 4 4" xfId="1222"/>
    <cellStyle name="Percent 2 2 4 5" xfId="985"/>
    <cellStyle name="Percent 2 2 5" xfId="797"/>
    <cellStyle name="Percent 2 2 5 2" xfId="1131"/>
    <cellStyle name="Percent 2 2 5 2 2" xfId="1364"/>
    <cellStyle name="Percent 2 2 5 3" xfId="1248"/>
    <cellStyle name="Percent 2 2 5 4" xfId="1012"/>
    <cellStyle name="Percent 2 2 6" xfId="870"/>
    <cellStyle name="Percent 2 2 6 2" xfId="1312"/>
    <cellStyle name="Percent 2 2 6 3" xfId="1079"/>
    <cellStyle name="Percent 2 2 7" xfId="1196"/>
    <cellStyle name="Percent 2 2 8" xfId="959"/>
    <cellStyle name="Percent 2 3" xfId="615"/>
    <cellStyle name="Percent 2 3 2" xfId="623"/>
    <cellStyle name="Percent 2 3 2 2" xfId="660"/>
    <cellStyle name="Percent 2 3 2 2 2" xfId="839"/>
    <cellStyle name="Percent 2 3 2 2 2 2" xfId="1170"/>
    <cellStyle name="Percent 2 3 2 2 2 2 2" xfId="1403"/>
    <cellStyle name="Percent 2 3 2 2 2 3" xfId="1287"/>
    <cellStyle name="Percent 2 3 2 2 2 4" xfId="1051"/>
    <cellStyle name="Percent 2 3 2 2 3" xfId="909"/>
    <cellStyle name="Percent 2 3 2 2 3 2" xfId="1347"/>
    <cellStyle name="Percent 2 3 2 2 3 3" xfId="1114"/>
    <cellStyle name="Percent 2 3 2 2 4" xfId="1231"/>
    <cellStyle name="Percent 2 3 2 2 5" xfId="994"/>
    <cellStyle name="Percent 2 3 2 3" xfId="806"/>
    <cellStyle name="Percent 2 3 2 3 2" xfId="1140"/>
    <cellStyle name="Percent 2 3 2 3 2 2" xfId="1373"/>
    <cellStyle name="Percent 2 3 2 3 3" xfId="1257"/>
    <cellStyle name="Percent 2 3 2 3 4" xfId="1021"/>
    <cellStyle name="Percent 2 3 2 4" xfId="879"/>
    <cellStyle name="Percent 2 3 2 4 2" xfId="1321"/>
    <cellStyle name="Percent 2 3 2 4 3" xfId="1088"/>
    <cellStyle name="Percent 2 3 2 5" xfId="1205"/>
    <cellStyle name="Percent 2 3 2 6" xfId="968"/>
    <cellStyle name="Percent 2 3 3" xfId="631"/>
    <cellStyle name="Percent 2 3 3 2" xfId="668"/>
    <cellStyle name="Percent 2 3 3 2 2" xfId="847"/>
    <cellStyle name="Percent 2 3 3 2 2 2" xfId="1178"/>
    <cellStyle name="Percent 2 3 3 2 2 2 2" xfId="1411"/>
    <cellStyle name="Percent 2 3 3 2 2 3" xfId="1295"/>
    <cellStyle name="Percent 2 3 3 2 2 4" xfId="1059"/>
    <cellStyle name="Percent 2 3 3 2 3" xfId="917"/>
    <cellStyle name="Percent 2 3 3 2 3 2" xfId="1355"/>
    <cellStyle name="Percent 2 3 3 2 3 3" xfId="1122"/>
    <cellStyle name="Percent 2 3 3 2 4" xfId="1239"/>
    <cellStyle name="Percent 2 3 3 2 5" xfId="1002"/>
    <cellStyle name="Percent 2 3 3 3" xfId="814"/>
    <cellStyle name="Percent 2 3 3 3 2" xfId="1148"/>
    <cellStyle name="Percent 2 3 3 3 2 2" xfId="1381"/>
    <cellStyle name="Percent 2 3 3 3 3" xfId="1265"/>
    <cellStyle name="Percent 2 3 3 3 4" xfId="1029"/>
    <cellStyle name="Percent 2 3 3 4" xfId="887"/>
    <cellStyle name="Percent 2 3 3 4 2" xfId="1329"/>
    <cellStyle name="Percent 2 3 3 4 3" xfId="1096"/>
    <cellStyle name="Percent 2 3 3 5" xfId="1213"/>
    <cellStyle name="Percent 2 3 3 6" xfId="976"/>
    <cellStyle name="Percent 2 3 4" xfId="652"/>
    <cellStyle name="Percent 2 3 4 2" xfId="831"/>
    <cellStyle name="Percent 2 3 4 2 2" xfId="1162"/>
    <cellStyle name="Percent 2 3 4 2 2 2" xfId="1395"/>
    <cellStyle name="Percent 2 3 4 2 3" xfId="1279"/>
    <cellStyle name="Percent 2 3 4 2 4" xfId="1043"/>
    <cellStyle name="Percent 2 3 4 3" xfId="901"/>
    <cellStyle name="Percent 2 3 4 3 2" xfId="1339"/>
    <cellStyle name="Percent 2 3 4 3 3" xfId="1106"/>
    <cellStyle name="Percent 2 3 4 4" xfId="1223"/>
    <cellStyle name="Percent 2 3 4 5" xfId="986"/>
    <cellStyle name="Percent 2 3 5" xfId="798"/>
    <cellStyle name="Percent 2 3 5 2" xfId="1132"/>
    <cellStyle name="Percent 2 3 5 2 2" xfId="1365"/>
    <cellStyle name="Percent 2 3 5 3" xfId="1249"/>
    <cellStyle name="Percent 2 3 5 4" xfId="1013"/>
    <cellStyle name="Percent 2 3 6" xfId="871"/>
    <cellStyle name="Percent 2 3 6 2" xfId="1313"/>
    <cellStyle name="Percent 2 3 6 3" xfId="1080"/>
    <cellStyle name="Percent 2 3 7" xfId="1197"/>
    <cellStyle name="Percent 2 3 8" xfId="960"/>
    <cellStyle name="Percent 2 4" xfId="1415"/>
    <cellStyle name="Percent 20" xfId="919"/>
    <cellStyle name="Percent 21" xfId="921"/>
    <cellStyle name="Percent 22" xfId="932"/>
    <cellStyle name="Percent 23" xfId="1416"/>
    <cellStyle name="Percent 24" xfId="935"/>
    <cellStyle name="Percent 25" xfId="1418"/>
    <cellStyle name="Percent 26" xfId="945"/>
    <cellStyle name="Percent 27" xfId="922"/>
    <cellStyle name="Percent 28" xfId="931"/>
    <cellStyle name="Percent 29" xfId="1420"/>
    <cellStyle name="Percent 3" xfId="559"/>
    <cellStyle name="Percent 3 2" xfId="611"/>
    <cellStyle name="Percent 3 2 2" xfId="769"/>
    <cellStyle name="Percent 3 3" xfId="635"/>
    <cellStyle name="Percent 3 4" xfId="743"/>
    <cellStyle name="Percent 30" xfId="942"/>
    <cellStyle name="Percent 31" xfId="944"/>
    <cellStyle name="Percent 32" xfId="933"/>
    <cellStyle name="Percent 33" xfId="1419"/>
    <cellStyle name="Percent 34" xfId="927"/>
    <cellStyle name="Percent 35" xfId="1417"/>
    <cellStyle name="Percent 36" xfId="1421"/>
    <cellStyle name="Percent 37" xfId="1423"/>
    <cellStyle name="Percent 38" xfId="1425"/>
    <cellStyle name="Percent 39" xfId="1427"/>
    <cellStyle name="Percent 4" xfId="612"/>
    <cellStyle name="Percent 4 2" xfId="788"/>
    <cellStyle name="Percent 40" xfId="1429"/>
    <cellStyle name="Percent 41" xfId="1431"/>
    <cellStyle name="Percent 42" xfId="1433"/>
    <cellStyle name="Percent 43" xfId="1435"/>
    <cellStyle name="Percent 44" xfId="1437"/>
    <cellStyle name="Percent 45" xfId="1439"/>
    <cellStyle name="Percent 46" xfId="1441"/>
    <cellStyle name="Percent 47" xfId="1443"/>
    <cellStyle name="Percent 48" xfId="1445"/>
    <cellStyle name="Percent 5" xfId="644"/>
    <cellStyle name="Percent 6" xfId="639"/>
    <cellStyle name="Percent 6 2" xfId="820"/>
    <cellStyle name="Percent 6 2 2" xfId="1385"/>
    <cellStyle name="Percent 6 2 3" xfId="1152"/>
    <cellStyle name="Percent 6 3" xfId="891"/>
    <cellStyle name="Percent 6 3 2" xfId="1269"/>
    <cellStyle name="Percent 6 4" xfId="1033"/>
    <cellStyle name="Percent 7" xfId="853"/>
    <cellStyle name="Percent 7 2" xfId="1066"/>
    <cellStyle name="Percent 8" xfId="854"/>
    <cellStyle name="Percent 8 2" xfId="1182"/>
    <cellStyle name="Percent 9" xfId="857"/>
    <cellStyle name="Style 23" xfId="613"/>
    <cellStyle name="Style 23 2" xfId="614"/>
    <cellStyle name="Title" xfId="560" builtinId="15" customBuiltin="1"/>
    <cellStyle name="Title 2" xfId="697"/>
    <cellStyle name="Title 2 2" xfId="946"/>
    <cellStyle name="Title 3" xfId="693"/>
    <cellStyle name="Total 10" xfId="561"/>
    <cellStyle name="Total 11" xfId="562"/>
    <cellStyle name="Total 12" xfId="563"/>
    <cellStyle name="Total 13" xfId="564"/>
    <cellStyle name="Total 14" xfId="565"/>
    <cellStyle name="Total 15" xfId="566"/>
    <cellStyle name="Total 16" xfId="694"/>
    <cellStyle name="Total 2" xfId="567"/>
    <cellStyle name="Total 2 2" xfId="714"/>
    <cellStyle name="Total 3" xfId="568"/>
    <cellStyle name="Total 4" xfId="569"/>
    <cellStyle name="Total 5" xfId="570"/>
    <cellStyle name="Total 6" xfId="571"/>
    <cellStyle name="Total 7" xfId="572"/>
    <cellStyle name="Total 8" xfId="573"/>
    <cellStyle name="Total 9" xfId="574"/>
    <cellStyle name="Warning Text 10" xfId="575"/>
    <cellStyle name="Warning Text 11" xfId="576"/>
    <cellStyle name="Warning Text 12" xfId="577"/>
    <cellStyle name="Warning Text 13" xfId="578"/>
    <cellStyle name="Warning Text 14" xfId="579"/>
    <cellStyle name="Warning Text 15" xfId="580"/>
    <cellStyle name="Warning Text 16" xfId="695"/>
    <cellStyle name="Warning Text 2" xfId="581"/>
    <cellStyle name="Warning Text 2 2" xfId="711"/>
    <cellStyle name="Warning Text 3" xfId="582"/>
    <cellStyle name="Warning Text 4" xfId="583"/>
    <cellStyle name="Warning Text 5" xfId="584"/>
    <cellStyle name="Warning Text 6" xfId="585"/>
    <cellStyle name="Warning Text 7" xfId="586"/>
    <cellStyle name="Warning Text 8" xfId="587"/>
    <cellStyle name="Warning Text 9" xfId="588"/>
  </cellStyles>
  <dxfs count="2">
    <dxf>
      <font>
        <color auto="1"/>
      </font>
      <fill>
        <patternFill>
          <bgColor rgb="FFFF0000"/>
        </patternFill>
      </fill>
    </dxf>
    <dxf>
      <font>
        <color rgb="FF000000"/>
      </font>
    </dxf>
  </dxfs>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sharedStrings.xml" Type="http://schemas.openxmlformats.org/officeDocument/2006/relationships/sharedStrings"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styles.xml" Type="http://schemas.openxmlformats.org/officeDocument/2006/relationships/styles" Id="rId25"></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connections.xml" Type="http://schemas.openxmlformats.org/officeDocument/2006/relationships/connections" Id="rId24"></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theme/theme1.xml" Type="http://schemas.openxmlformats.org/officeDocument/2006/relationships/theme" Id="rId23"></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externalLinks/externalLink1.xml" Type="http://schemas.openxmlformats.org/officeDocument/2006/relationships/externalLink" Id="rId22"></Relationship><Relationship Target="calcChain.xml" Type="http://schemas.openxmlformats.org/officeDocument/2006/relationships/calcChain" Id="rId27"></Relationship></Relationships>
</file>

<file path=xl/drawings/_rels/drawing1.xml.rels><?xml version="1.0" encoding="UTF-8" ?><Relationships xmlns="http://schemas.openxmlformats.org/package/2006/relationships"><Relationship Target="../media/image1.png" Type="http://schemas.openxmlformats.org/officeDocument/2006/relationships/image" Id="rId1"></Relationship></Relationships>
</file>

<file path=xl/drawings/_rels/drawing10.xml.rels><?xml version="1.0" encoding="UTF-8" ?><Relationships xmlns="http://schemas.openxmlformats.org/package/2006/relationships"><Relationship Target="../media/image1.png" Type="http://schemas.openxmlformats.org/officeDocument/2006/relationships/image" Id="rId1"></Relationship></Relationships>
</file>

<file path=xl/drawings/_rels/drawing11.xml.rels><?xml version="1.0" encoding="UTF-8" ?><Relationships xmlns="http://schemas.openxmlformats.org/package/2006/relationships"><Relationship Target="../media/image1.png" Type="http://schemas.openxmlformats.org/officeDocument/2006/relationships/image" Id="rId1"></Relationship></Relationships>
</file>

<file path=xl/drawings/_rels/drawing12.xml.rels><?xml version="1.0" encoding="UTF-8" ?><Relationships xmlns="http://schemas.openxmlformats.org/package/2006/relationships"><Relationship Target="../media/image1.png" Type="http://schemas.openxmlformats.org/officeDocument/2006/relationships/image" Id="rId1"></Relationship></Relationships>
</file>

<file path=xl/drawings/_rels/drawing13.xml.rels><?xml version="1.0" encoding="UTF-8" ?><Relationships xmlns="http://schemas.openxmlformats.org/package/2006/relationships"><Relationship Target="../media/image1.png" Type="http://schemas.openxmlformats.org/officeDocument/2006/relationships/image" Id="rId1"></Relationship></Relationships>
</file>

<file path=xl/drawings/_rels/drawing14.xml.rels><?xml version="1.0" encoding="UTF-8" ?><Relationships xmlns="http://schemas.openxmlformats.org/package/2006/relationships"><Relationship Target="../media/image1.png" Type="http://schemas.openxmlformats.org/officeDocument/2006/relationships/image" Id="rId1"></Relationship></Relationships>
</file>

<file path=xl/drawings/_rels/drawing15.xml.rels><?xml version="1.0" encoding="UTF-8" ?><Relationships xmlns="http://schemas.openxmlformats.org/package/2006/relationships"><Relationship Target="../media/image1.png" Type="http://schemas.openxmlformats.org/officeDocument/2006/relationships/image" Id="rId1"></Relationship></Relationships>
</file>

<file path=xl/drawings/_rels/drawing2.xml.rels><?xml version="1.0" encoding="UTF-8" ?><Relationships xmlns="http://schemas.openxmlformats.org/package/2006/relationships"><Relationship Target="../media/image1.png" Type="http://schemas.openxmlformats.org/officeDocument/2006/relationships/image" Id="rId1"></Relationship></Relationships>
</file>

<file path=xl/drawings/_rels/drawing3.xml.rels><?xml version="1.0" encoding="UTF-8" ?><Relationships xmlns="http://schemas.openxmlformats.org/package/2006/relationships"><Relationship Target="../media/image1.png" Type="http://schemas.openxmlformats.org/officeDocument/2006/relationships/image" Id="rId1"></Relationship></Relationships>
</file>

<file path=xl/drawings/_rels/drawing4.xml.rels><?xml version="1.0" encoding="UTF-8" ?><Relationships xmlns="http://schemas.openxmlformats.org/package/2006/relationships"><Relationship Target="../media/image1.png" Type="http://schemas.openxmlformats.org/officeDocument/2006/relationships/image" Id="rId1"></Relationship></Relationships>
</file>

<file path=xl/drawings/_rels/drawing5.xml.rels><?xml version="1.0" encoding="UTF-8" ?><Relationships xmlns="http://schemas.openxmlformats.org/package/2006/relationships"><Relationship Target="../media/image1.png" Type="http://schemas.openxmlformats.org/officeDocument/2006/relationships/image" Id="rId1"></Relationship></Relationships>
</file>

<file path=xl/drawings/_rels/drawing6.xml.rels><?xml version="1.0" encoding="UTF-8" ?><Relationships xmlns="http://schemas.openxmlformats.org/package/2006/relationships"><Relationship Target="../media/image1.png" Type="http://schemas.openxmlformats.org/officeDocument/2006/relationships/image" Id="rId1"></Relationship></Relationships>
</file>

<file path=xl/drawings/_rels/drawing7.xml.rels><?xml version="1.0" encoding="UTF-8" ?><Relationships xmlns="http://schemas.openxmlformats.org/package/2006/relationships"><Relationship Target="../media/image1.png" Type="http://schemas.openxmlformats.org/officeDocument/2006/relationships/image" Id="rId1"></Relationship></Relationships>
</file>

<file path=xl/drawings/_rels/drawing8.xml.rels><?xml version="1.0" encoding="UTF-8" ?><Relationships xmlns="http://schemas.openxmlformats.org/package/2006/relationships"><Relationship Target="../media/image1.png" Type="http://schemas.openxmlformats.org/officeDocument/2006/relationships/image" Id="rId1"></Relationship></Relationships>
</file>

<file path=xl/drawings/_rels/drawing9.xml.rels><?xml version="1.0" encoding="UTF-8" ?><Relationships xmlns="http://schemas.openxmlformats.org/package/2006/relationships"><Relationship Target="../media/image1.png" Type="http://schemas.openxmlformats.org/officeDocument/2006/relationships/image" Id="rId1"></Relationship></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631</xdr:colOff>
      <xdr:row>7</xdr:row>
      <xdr:rowOff>28575</xdr:rowOff>
    </xdr:to>
    <xdr:pic>
      <xdr:nvPicPr>
        <xdr:cNvPr id="4" name="Picture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1315081</xdr:colOff>
      <xdr:row>7</xdr:row>
      <xdr:rowOff>28575</xdr:rowOff>
    </xdr:to>
    <xdr:pic>
      <xdr:nvPicPr>
        <xdr:cNvPr id="4" name="Picture 3">
          <a:extLst>
            <a:ext uri="{FF2B5EF4-FFF2-40B4-BE49-F238E27FC236}">
              <a16:creationId xmlns:a16="http://schemas.microsoft.com/office/drawing/2014/main" xmlns="" id="{00000000-0008-0000-0A00-00000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xmlns="" id="{00000000-0008-0000-0B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xmlns="" id="{00000000-0008-0000-0C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xmlns="" id="{00000000-0008-0000-0D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xmlns="" id="{00000000-0008-0000-0E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667381</xdr:colOff>
      <xdr:row>7</xdr:row>
      <xdr:rowOff>28575</xdr:rowOff>
    </xdr:to>
    <xdr:pic>
      <xdr:nvPicPr>
        <xdr:cNvPr id="7" name="Picture 6">
          <a:extLst>
            <a:ext uri="{FF2B5EF4-FFF2-40B4-BE49-F238E27FC236}">
              <a16:creationId xmlns:a16="http://schemas.microsoft.com/office/drawing/2014/main" xmlns="" id="{00000000-0008-0000-0F00-000007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114300</xdr:colOff>
      <xdr:row>13</xdr:row>
      <xdr:rowOff>9525</xdr:rowOff>
    </xdr:from>
    <xdr:to>
      <xdr:col>4</xdr:col>
      <xdr:colOff>209550</xdr:colOff>
      <xdr:row>16</xdr:row>
      <xdr:rowOff>123825</xdr:rowOff>
    </xdr:to>
    <xdr:sp macro="" textlink="">
      <xdr:nvSpPr>
        <xdr:cNvPr id="2" name="Right Brace 1">
          <a:extLst>
            <a:ext uri="{FF2B5EF4-FFF2-40B4-BE49-F238E27FC236}">
              <a16:creationId xmlns:a16="http://schemas.microsoft.com/office/drawing/2014/main" xmlns="" id="{00000000-0008-0000-0100-000002000000}"/>
            </a:ext>
          </a:extLst>
        </xdr:cNvPr>
        <xdr:cNvSpPr/>
      </xdr:nvSpPr>
      <xdr:spPr>
        <a:xfrm>
          <a:off x="7696200" y="1676400"/>
          <a:ext cx="95250" cy="6000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4</xdr:col>
      <xdr:colOff>76201</xdr:colOff>
      <xdr:row>16</xdr:row>
      <xdr:rowOff>161926</xdr:rowOff>
    </xdr:from>
    <xdr:to>
      <xdr:col>4</xdr:col>
      <xdr:colOff>190501</xdr:colOff>
      <xdr:row>19</xdr:row>
      <xdr:rowOff>152401</xdr:rowOff>
    </xdr:to>
    <xdr:sp macro="" textlink="">
      <xdr:nvSpPr>
        <xdr:cNvPr id="3" name="Right Brace 2">
          <a:extLst>
            <a:ext uri="{FF2B5EF4-FFF2-40B4-BE49-F238E27FC236}">
              <a16:creationId xmlns:a16="http://schemas.microsoft.com/office/drawing/2014/main" xmlns="" id="{00000000-0008-0000-0100-000003000000}"/>
            </a:ext>
          </a:extLst>
        </xdr:cNvPr>
        <xdr:cNvSpPr/>
      </xdr:nvSpPr>
      <xdr:spPr>
        <a:xfrm>
          <a:off x="7658101" y="2333626"/>
          <a:ext cx="114300" cy="495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5" name="Picture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409575</xdr:colOff>
      <xdr:row>12</xdr:row>
      <xdr:rowOff>47625</xdr:rowOff>
    </xdr:from>
    <xdr:to>
      <xdr:col>0</xdr:col>
      <xdr:colOff>552450</xdr:colOff>
      <xdr:row>12</xdr:row>
      <xdr:rowOff>180975</xdr:rowOff>
    </xdr:to>
    <xdr:sp macro="" textlink="">
      <xdr:nvSpPr>
        <xdr:cNvPr id="2" name="Isosceles Triangle 1">
          <a:extLst>
            <a:ext uri="{FF2B5EF4-FFF2-40B4-BE49-F238E27FC236}">
              <a16:creationId xmlns:a16="http://schemas.microsoft.com/office/drawing/2014/main" xmlns="" id="{00000000-0008-0000-0200-000002000000}"/>
            </a:ext>
          </a:extLst>
        </xdr:cNvPr>
        <xdr:cNvSpPr/>
      </xdr:nvSpPr>
      <xdr:spPr>
        <a:xfrm>
          <a:off x="409575" y="2162175"/>
          <a:ext cx="142875" cy="1333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0</xdr:col>
      <xdr:colOff>390525</xdr:colOff>
      <xdr:row>14</xdr:row>
      <xdr:rowOff>132848</xdr:rowOff>
    </xdr:from>
    <xdr:to>
      <xdr:col>0</xdr:col>
      <xdr:colOff>542925</xdr:colOff>
      <xdr:row>15</xdr:row>
      <xdr:rowOff>85223</xdr:rowOff>
    </xdr:to>
    <xdr:sp macro="" textlink="">
      <xdr:nvSpPr>
        <xdr:cNvPr id="3" name="Oval 2">
          <a:extLst>
            <a:ext uri="{FF2B5EF4-FFF2-40B4-BE49-F238E27FC236}">
              <a16:creationId xmlns:a16="http://schemas.microsoft.com/office/drawing/2014/main" xmlns="" id="{00000000-0008-0000-0200-000003000000}"/>
            </a:ext>
          </a:extLst>
        </xdr:cNvPr>
        <xdr:cNvSpPr/>
      </xdr:nvSpPr>
      <xdr:spPr>
        <a:xfrm>
          <a:off x="390525" y="2618873"/>
          <a:ext cx="152400" cy="133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0</xdr:col>
      <xdr:colOff>413586</xdr:colOff>
      <xdr:row>13</xdr:row>
      <xdr:rowOff>101767</xdr:rowOff>
    </xdr:from>
    <xdr:to>
      <xdr:col>0</xdr:col>
      <xdr:colOff>543928</xdr:colOff>
      <xdr:row>14</xdr:row>
      <xdr:rowOff>46121</xdr:rowOff>
    </xdr:to>
    <xdr:sp macro="" textlink="">
      <xdr:nvSpPr>
        <xdr:cNvPr id="4" name="Rectangle 3">
          <a:extLst>
            <a:ext uri="{FF2B5EF4-FFF2-40B4-BE49-F238E27FC236}">
              <a16:creationId xmlns:a16="http://schemas.microsoft.com/office/drawing/2014/main" xmlns="" id="{00000000-0008-0000-0200-000004000000}"/>
            </a:ext>
          </a:extLst>
        </xdr:cNvPr>
        <xdr:cNvSpPr/>
      </xdr:nvSpPr>
      <xdr:spPr>
        <a:xfrm>
          <a:off x="413586" y="2406817"/>
          <a:ext cx="130342" cy="1253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320385</xdr:colOff>
      <xdr:row>23</xdr:row>
      <xdr:rowOff>7056</xdr:rowOff>
    </xdr:from>
    <xdr:to>
      <xdr:col>3</xdr:col>
      <xdr:colOff>458610</xdr:colOff>
      <xdr:row>23</xdr:row>
      <xdr:rowOff>151308</xdr:rowOff>
    </xdr:to>
    <xdr:sp macro="" textlink="">
      <xdr:nvSpPr>
        <xdr:cNvPr id="5" name="Rectangle 4">
          <a:extLst>
            <a:ext uri="{FF2B5EF4-FFF2-40B4-BE49-F238E27FC236}">
              <a16:creationId xmlns:a16="http://schemas.microsoft.com/office/drawing/2014/main" xmlns="" id="{00000000-0008-0000-0200-000005000000}"/>
            </a:ext>
          </a:extLst>
        </xdr:cNvPr>
        <xdr:cNvSpPr/>
      </xdr:nvSpPr>
      <xdr:spPr>
        <a:xfrm>
          <a:off x="1816163" y="2310695"/>
          <a:ext cx="138225" cy="14425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5</xdr:col>
      <xdr:colOff>346363</xdr:colOff>
      <xdr:row>23</xdr:row>
      <xdr:rowOff>6735</xdr:rowOff>
    </xdr:from>
    <xdr:to>
      <xdr:col>5</xdr:col>
      <xdr:colOff>486832</xdr:colOff>
      <xdr:row>23</xdr:row>
      <xdr:rowOff>151694</xdr:rowOff>
    </xdr:to>
    <xdr:sp macro="" textlink="">
      <xdr:nvSpPr>
        <xdr:cNvPr id="6" name="Rectangle 5">
          <a:extLst>
            <a:ext uri="{FF2B5EF4-FFF2-40B4-BE49-F238E27FC236}">
              <a16:creationId xmlns:a16="http://schemas.microsoft.com/office/drawing/2014/main" xmlns="" id="{00000000-0008-0000-0200-000006000000}"/>
            </a:ext>
          </a:extLst>
        </xdr:cNvPr>
        <xdr:cNvSpPr/>
      </xdr:nvSpPr>
      <xdr:spPr>
        <a:xfrm>
          <a:off x="3464919" y="2310374"/>
          <a:ext cx="140469" cy="14495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9</xdr:col>
      <xdr:colOff>329045</xdr:colOff>
      <xdr:row>23</xdr:row>
      <xdr:rowOff>8659</xdr:rowOff>
    </xdr:from>
    <xdr:to>
      <xdr:col>9</xdr:col>
      <xdr:colOff>472723</xdr:colOff>
      <xdr:row>23</xdr:row>
      <xdr:rowOff>151694</xdr:rowOff>
    </xdr:to>
    <xdr:sp macro="" textlink="">
      <xdr:nvSpPr>
        <xdr:cNvPr id="7" name="Rectangle 6">
          <a:extLst>
            <a:ext uri="{FF2B5EF4-FFF2-40B4-BE49-F238E27FC236}">
              <a16:creationId xmlns:a16="http://schemas.microsoft.com/office/drawing/2014/main" xmlns="" id="{00000000-0008-0000-0200-000007000000}"/>
            </a:ext>
          </a:extLst>
        </xdr:cNvPr>
        <xdr:cNvSpPr/>
      </xdr:nvSpPr>
      <xdr:spPr>
        <a:xfrm>
          <a:off x="5070378" y="2312298"/>
          <a:ext cx="143678" cy="14303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10</xdr:col>
      <xdr:colOff>329045</xdr:colOff>
      <xdr:row>23</xdr:row>
      <xdr:rowOff>8659</xdr:rowOff>
    </xdr:from>
    <xdr:to>
      <xdr:col>10</xdr:col>
      <xdr:colOff>481262</xdr:colOff>
      <xdr:row>23</xdr:row>
      <xdr:rowOff>155408</xdr:rowOff>
    </xdr:to>
    <xdr:sp macro="" textlink="">
      <xdr:nvSpPr>
        <xdr:cNvPr id="8" name="Rectangle 7">
          <a:extLst>
            <a:ext uri="{FF2B5EF4-FFF2-40B4-BE49-F238E27FC236}">
              <a16:creationId xmlns:a16="http://schemas.microsoft.com/office/drawing/2014/main" xmlns="" id="{00000000-0008-0000-0200-000008000000}"/>
            </a:ext>
          </a:extLst>
        </xdr:cNvPr>
        <xdr:cNvSpPr/>
      </xdr:nvSpPr>
      <xdr:spPr>
        <a:xfrm>
          <a:off x="5883624" y="2304685"/>
          <a:ext cx="152217" cy="1467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15</xdr:col>
      <xdr:colOff>341231</xdr:colOff>
      <xdr:row>23</xdr:row>
      <xdr:rowOff>7056</xdr:rowOff>
    </xdr:from>
    <xdr:to>
      <xdr:col>15</xdr:col>
      <xdr:colOff>493888</xdr:colOff>
      <xdr:row>23</xdr:row>
      <xdr:rowOff>151694</xdr:rowOff>
    </xdr:to>
    <xdr:sp macro="" textlink="">
      <xdr:nvSpPr>
        <xdr:cNvPr id="9" name="Rectangle 8">
          <a:extLst>
            <a:ext uri="{FF2B5EF4-FFF2-40B4-BE49-F238E27FC236}">
              <a16:creationId xmlns:a16="http://schemas.microsoft.com/office/drawing/2014/main" xmlns="" id="{00000000-0008-0000-0200-000009000000}"/>
            </a:ext>
          </a:extLst>
        </xdr:cNvPr>
        <xdr:cNvSpPr/>
      </xdr:nvSpPr>
      <xdr:spPr>
        <a:xfrm>
          <a:off x="7516731" y="2310695"/>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16</xdr:col>
      <xdr:colOff>351495</xdr:colOff>
      <xdr:row>23</xdr:row>
      <xdr:rowOff>11866</xdr:rowOff>
    </xdr:from>
    <xdr:to>
      <xdr:col>16</xdr:col>
      <xdr:colOff>490361</xdr:colOff>
      <xdr:row>23</xdr:row>
      <xdr:rowOff>151694</xdr:rowOff>
    </xdr:to>
    <xdr:sp macro="" textlink="">
      <xdr:nvSpPr>
        <xdr:cNvPr id="10" name="Rectangle 9">
          <a:extLst>
            <a:ext uri="{FF2B5EF4-FFF2-40B4-BE49-F238E27FC236}">
              <a16:creationId xmlns:a16="http://schemas.microsoft.com/office/drawing/2014/main" xmlns="" id="{00000000-0008-0000-0200-00000A000000}"/>
            </a:ext>
          </a:extLst>
        </xdr:cNvPr>
        <xdr:cNvSpPr/>
      </xdr:nvSpPr>
      <xdr:spPr>
        <a:xfrm>
          <a:off x="8338384" y="2315505"/>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341231</xdr:colOff>
      <xdr:row>23</xdr:row>
      <xdr:rowOff>7056</xdr:rowOff>
    </xdr:from>
    <xdr:to>
      <xdr:col>12</xdr:col>
      <xdr:colOff>493888</xdr:colOff>
      <xdr:row>23</xdr:row>
      <xdr:rowOff>151694</xdr:rowOff>
    </xdr:to>
    <xdr:sp macro="" textlink="">
      <xdr:nvSpPr>
        <xdr:cNvPr id="12" name="Rectangle 11">
          <a:extLst>
            <a:ext uri="{FF2B5EF4-FFF2-40B4-BE49-F238E27FC236}">
              <a16:creationId xmlns:a16="http://schemas.microsoft.com/office/drawing/2014/main" xmlns="" id="{00000000-0008-0000-0200-00000C000000}"/>
            </a:ext>
          </a:extLst>
        </xdr:cNvPr>
        <xdr:cNvSpPr/>
      </xdr:nvSpPr>
      <xdr:spPr>
        <a:xfrm>
          <a:off x="9932906" y="2312106"/>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13</xdr:col>
      <xdr:colOff>351495</xdr:colOff>
      <xdr:row>23</xdr:row>
      <xdr:rowOff>11866</xdr:rowOff>
    </xdr:from>
    <xdr:to>
      <xdr:col>13</xdr:col>
      <xdr:colOff>490361</xdr:colOff>
      <xdr:row>23</xdr:row>
      <xdr:rowOff>151694</xdr:rowOff>
    </xdr:to>
    <xdr:sp macro="" textlink="">
      <xdr:nvSpPr>
        <xdr:cNvPr id="13" name="Rectangle 12">
          <a:extLst>
            <a:ext uri="{FF2B5EF4-FFF2-40B4-BE49-F238E27FC236}">
              <a16:creationId xmlns:a16="http://schemas.microsoft.com/office/drawing/2014/main" xmlns="" id="{00000000-0008-0000-0200-00000D000000}"/>
            </a:ext>
          </a:extLst>
        </xdr:cNvPr>
        <xdr:cNvSpPr/>
      </xdr:nvSpPr>
      <xdr:spPr>
        <a:xfrm>
          <a:off x="10752795" y="2316916"/>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7</xdr:col>
      <xdr:colOff>346363</xdr:colOff>
      <xdr:row>23</xdr:row>
      <xdr:rowOff>6735</xdr:rowOff>
    </xdr:from>
    <xdr:to>
      <xdr:col>7</xdr:col>
      <xdr:colOff>483304</xdr:colOff>
      <xdr:row>23</xdr:row>
      <xdr:rowOff>148167</xdr:rowOff>
    </xdr:to>
    <xdr:sp macro="" textlink="">
      <xdr:nvSpPr>
        <xdr:cNvPr id="22" name="Rectangle 21">
          <a:extLst>
            <a:ext uri="{FF2B5EF4-FFF2-40B4-BE49-F238E27FC236}">
              <a16:creationId xmlns:a16="http://schemas.microsoft.com/office/drawing/2014/main" xmlns="" id="{00000000-0008-0000-0200-000016000000}"/>
            </a:ext>
          </a:extLst>
        </xdr:cNvPr>
        <xdr:cNvSpPr/>
      </xdr:nvSpPr>
      <xdr:spPr>
        <a:xfrm>
          <a:off x="1675793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20" name="Picture 19">
          <a:extLst>
            <a:ext uri="{FF2B5EF4-FFF2-40B4-BE49-F238E27FC236}">
              <a16:creationId xmlns:a16="http://schemas.microsoft.com/office/drawing/2014/main" xmlns="" id="{00000000-0008-0000-0200-00001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4" name="Picture 3">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18</xdr:col>
      <xdr:colOff>428625</xdr:colOff>
      <xdr:row>17</xdr:row>
      <xdr:rowOff>104775</xdr:rowOff>
    </xdr:from>
    <xdr:to>
      <xdr:col>18</xdr:col>
      <xdr:colOff>676275</xdr:colOff>
      <xdr:row>17</xdr:row>
      <xdr:rowOff>333375</xdr:rowOff>
    </xdr:to>
    <xdr:sp macro="" textlink="">
      <xdr:nvSpPr>
        <xdr:cNvPr id="2" name="5-Point Star 1">
          <a:extLst>
            <a:ext uri="{FF2B5EF4-FFF2-40B4-BE49-F238E27FC236}">
              <a16:creationId xmlns:a16="http://schemas.microsoft.com/office/drawing/2014/main" xmlns="" id="{00000000-0008-0000-0500-000002000000}"/>
            </a:ext>
          </a:extLst>
        </xdr:cNvPr>
        <xdr:cNvSpPr/>
      </xdr:nvSpPr>
      <xdr:spPr>
        <a:xfrm>
          <a:off x="13420725" y="723900"/>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9</xdr:col>
      <xdr:colOff>95250</xdr:colOff>
      <xdr:row>18</xdr:row>
      <xdr:rowOff>302559</xdr:rowOff>
    </xdr:from>
    <xdr:to>
      <xdr:col>9</xdr:col>
      <xdr:colOff>910477</xdr:colOff>
      <xdr:row>18</xdr:row>
      <xdr:rowOff>348278</xdr:rowOff>
    </xdr:to>
    <xdr:sp macro="" textlink="">
      <xdr:nvSpPr>
        <xdr:cNvPr id="6" name="Right Arrow 5">
          <a:extLst>
            <a:ext uri="{FF2B5EF4-FFF2-40B4-BE49-F238E27FC236}">
              <a16:creationId xmlns:a16="http://schemas.microsoft.com/office/drawing/2014/main" xmlns="" id="{00000000-0008-0000-0500-000006000000}"/>
            </a:ext>
          </a:extLst>
        </xdr:cNvPr>
        <xdr:cNvSpPr/>
      </xdr:nvSpPr>
      <xdr:spPr>
        <a:xfrm>
          <a:off x="9058275" y="4245909"/>
          <a:ext cx="815227"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7" name="Picture 6">
          <a:extLst>
            <a:ext uri="{FF2B5EF4-FFF2-40B4-BE49-F238E27FC236}">
              <a16:creationId xmlns:a16="http://schemas.microsoft.com/office/drawing/2014/main" xmlns="" id="{00000000-0008-0000-0500-000007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173394</xdr:colOff>
      <xdr:row>27</xdr:row>
      <xdr:rowOff>34636</xdr:rowOff>
    </xdr:from>
    <xdr:to>
      <xdr:col>0</xdr:col>
      <xdr:colOff>536863</xdr:colOff>
      <xdr:row>30</xdr:row>
      <xdr:rowOff>164521</xdr:rowOff>
    </xdr:to>
    <xdr:sp macro="" textlink="">
      <xdr:nvSpPr>
        <xdr:cNvPr id="2" name="Right Brace 1">
          <a:extLst>
            <a:ext uri="{FF2B5EF4-FFF2-40B4-BE49-F238E27FC236}">
              <a16:creationId xmlns:a16="http://schemas.microsoft.com/office/drawing/2014/main" xmlns="" id="{00000000-0008-0000-0700-000002000000}"/>
            </a:ext>
          </a:extLst>
        </xdr:cNvPr>
        <xdr:cNvSpPr/>
      </xdr:nvSpPr>
      <xdr:spPr>
        <a:xfrm rot="10800000">
          <a:off x="173394" y="5602431"/>
          <a:ext cx="363469" cy="79663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CA"/>
        </a:p>
      </xdr:txBody>
    </xdr:sp>
    <xdr:clientData/>
  </xdr:twoCellAnchor>
  <xdr:twoCellAnchor>
    <xdr:from>
      <xdr:col>4</xdr:col>
      <xdr:colOff>256308</xdr:colOff>
      <xdr:row>30</xdr:row>
      <xdr:rowOff>0</xdr:rowOff>
    </xdr:from>
    <xdr:to>
      <xdr:col>4</xdr:col>
      <xdr:colOff>511752</xdr:colOff>
      <xdr:row>33</xdr:row>
      <xdr:rowOff>141143</xdr:rowOff>
    </xdr:to>
    <xdr:sp macro="" textlink="">
      <xdr:nvSpPr>
        <xdr:cNvPr id="3" name="Down Arrow 2">
          <a:extLst>
            <a:ext uri="{FF2B5EF4-FFF2-40B4-BE49-F238E27FC236}">
              <a16:creationId xmlns:a16="http://schemas.microsoft.com/office/drawing/2014/main" xmlns="" id="{00000000-0008-0000-0700-000003000000}"/>
            </a:ext>
          </a:extLst>
        </xdr:cNvPr>
        <xdr:cNvSpPr/>
      </xdr:nvSpPr>
      <xdr:spPr>
        <a:xfrm>
          <a:off x="3666258" y="61912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13</xdr:col>
      <xdr:colOff>289213</xdr:colOff>
      <xdr:row>30</xdr:row>
      <xdr:rowOff>19050</xdr:rowOff>
    </xdr:from>
    <xdr:to>
      <xdr:col>13</xdr:col>
      <xdr:colOff>554182</xdr:colOff>
      <xdr:row>33</xdr:row>
      <xdr:rowOff>142009</xdr:rowOff>
    </xdr:to>
    <xdr:sp macro="" textlink="">
      <xdr:nvSpPr>
        <xdr:cNvPr id="4" name="Down Arrow 3">
          <a:extLst>
            <a:ext uri="{FF2B5EF4-FFF2-40B4-BE49-F238E27FC236}">
              <a16:creationId xmlns:a16="http://schemas.microsoft.com/office/drawing/2014/main" xmlns="" id="{00000000-0008-0000-0700-000004000000}"/>
            </a:ext>
          </a:extLst>
        </xdr:cNvPr>
        <xdr:cNvSpPr/>
      </xdr:nvSpPr>
      <xdr:spPr>
        <a:xfrm>
          <a:off x="9890413" y="6210300"/>
          <a:ext cx="264969" cy="60873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xdr:col>
      <xdr:colOff>247650</xdr:colOff>
      <xdr:row>19</xdr:row>
      <xdr:rowOff>76200</xdr:rowOff>
    </xdr:from>
    <xdr:to>
      <xdr:col>4</xdr:col>
      <xdr:colOff>495300</xdr:colOff>
      <xdr:row>19</xdr:row>
      <xdr:rowOff>238125</xdr:rowOff>
    </xdr:to>
    <xdr:sp macro="" textlink="">
      <xdr:nvSpPr>
        <xdr:cNvPr id="6" name="5-Point Star 5">
          <a:extLst>
            <a:ext uri="{FF2B5EF4-FFF2-40B4-BE49-F238E27FC236}">
              <a16:creationId xmlns:a16="http://schemas.microsoft.com/office/drawing/2014/main" xmlns="" id="{00000000-0008-0000-0700-000006000000}"/>
            </a:ext>
          </a:extLst>
        </xdr:cNvPr>
        <xdr:cNvSpPr/>
      </xdr:nvSpPr>
      <xdr:spPr>
        <a:xfrm>
          <a:off x="3657600" y="41433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13</xdr:col>
      <xdr:colOff>209550</xdr:colOff>
      <xdr:row>19</xdr:row>
      <xdr:rowOff>104775</xdr:rowOff>
    </xdr:from>
    <xdr:to>
      <xdr:col>13</xdr:col>
      <xdr:colOff>457200</xdr:colOff>
      <xdr:row>19</xdr:row>
      <xdr:rowOff>257175</xdr:rowOff>
    </xdr:to>
    <xdr:sp macro="" textlink="">
      <xdr:nvSpPr>
        <xdr:cNvPr id="7" name="5-Point Star 6">
          <a:extLst>
            <a:ext uri="{FF2B5EF4-FFF2-40B4-BE49-F238E27FC236}">
              <a16:creationId xmlns:a16="http://schemas.microsoft.com/office/drawing/2014/main" xmlns="" id="{00000000-0008-0000-0700-000007000000}"/>
            </a:ext>
          </a:extLst>
        </xdr:cNvPr>
        <xdr:cNvSpPr/>
      </xdr:nvSpPr>
      <xdr:spPr>
        <a:xfrm>
          <a:off x="9810750" y="4171950"/>
          <a:ext cx="247650" cy="1524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xdr:col>
      <xdr:colOff>323850</xdr:colOff>
      <xdr:row>19</xdr:row>
      <xdr:rowOff>104774</xdr:rowOff>
    </xdr:from>
    <xdr:to>
      <xdr:col>2</xdr:col>
      <xdr:colOff>523875</xdr:colOff>
      <xdr:row>19</xdr:row>
      <xdr:rowOff>247649</xdr:rowOff>
    </xdr:to>
    <xdr:sp macro="" textlink="">
      <xdr:nvSpPr>
        <xdr:cNvPr id="10" name="Rectangle 9">
          <a:extLst>
            <a:ext uri="{FF2B5EF4-FFF2-40B4-BE49-F238E27FC236}">
              <a16:creationId xmlns:a16="http://schemas.microsoft.com/office/drawing/2014/main" xmlns="" id="{00000000-0008-0000-0700-00000A000000}"/>
            </a:ext>
          </a:extLst>
        </xdr:cNvPr>
        <xdr:cNvSpPr/>
      </xdr:nvSpPr>
      <xdr:spPr>
        <a:xfrm>
          <a:off x="1962150" y="4171949"/>
          <a:ext cx="200025" cy="1428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323850</xdr:colOff>
      <xdr:row>19</xdr:row>
      <xdr:rowOff>133350</xdr:rowOff>
    </xdr:from>
    <xdr:to>
      <xdr:col>11</xdr:col>
      <xdr:colOff>523875</xdr:colOff>
      <xdr:row>19</xdr:row>
      <xdr:rowOff>266700</xdr:rowOff>
    </xdr:to>
    <xdr:sp macro="" textlink="">
      <xdr:nvSpPr>
        <xdr:cNvPr id="11" name="Rectangle 10">
          <a:extLst>
            <a:ext uri="{FF2B5EF4-FFF2-40B4-BE49-F238E27FC236}">
              <a16:creationId xmlns:a16="http://schemas.microsoft.com/office/drawing/2014/main" xmlns="" id="{00000000-0008-0000-0700-00000B000000}"/>
            </a:ext>
          </a:extLst>
        </xdr:cNvPr>
        <xdr:cNvSpPr/>
      </xdr:nvSpPr>
      <xdr:spPr>
        <a:xfrm>
          <a:off x="8210550" y="4200525"/>
          <a:ext cx="200025" cy="133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276225</xdr:colOff>
      <xdr:row>19</xdr:row>
      <xdr:rowOff>114300</xdr:rowOff>
    </xdr:from>
    <xdr:to>
      <xdr:col>12</xdr:col>
      <xdr:colOff>514350</xdr:colOff>
      <xdr:row>19</xdr:row>
      <xdr:rowOff>276225</xdr:rowOff>
    </xdr:to>
    <xdr:sp macro="" textlink="">
      <xdr:nvSpPr>
        <xdr:cNvPr id="14" name="Isosceles Triangle 13">
          <a:extLst>
            <a:ext uri="{FF2B5EF4-FFF2-40B4-BE49-F238E27FC236}">
              <a16:creationId xmlns:a16="http://schemas.microsoft.com/office/drawing/2014/main" xmlns="" id="{00000000-0008-0000-0700-00000E000000}"/>
            </a:ext>
          </a:extLst>
        </xdr:cNvPr>
        <xdr:cNvSpPr/>
      </xdr:nvSpPr>
      <xdr:spPr>
        <a:xfrm>
          <a:off x="9020175" y="4181475"/>
          <a:ext cx="238125" cy="1619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295275</xdr:colOff>
      <xdr:row>19</xdr:row>
      <xdr:rowOff>85725</xdr:rowOff>
    </xdr:from>
    <xdr:to>
      <xdr:col>3</xdr:col>
      <xdr:colOff>523875</xdr:colOff>
      <xdr:row>19</xdr:row>
      <xdr:rowOff>257175</xdr:rowOff>
    </xdr:to>
    <xdr:sp macro="" textlink="">
      <xdr:nvSpPr>
        <xdr:cNvPr id="15" name="Isosceles Triangle 14">
          <a:extLst>
            <a:ext uri="{FF2B5EF4-FFF2-40B4-BE49-F238E27FC236}">
              <a16:creationId xmlns:a16="http://schemas.microsoft.com/office/drawing/2014/main" xmlns="" id="{00000000-0008-0000-0700-00000F000000}"/>
            </a:ext>
          </a:extLst>
        </xdr:cNvPr>
        <xdr:cNvSpPr/>
      </xdr:nvSpPr>
      <xdr:spPr>
        <a:xfrm>
          <a:off x="2847975" y="4152900"/>
          <a:ext cx="228600" cy="1714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28" name="Picture 27">
          <a:extLst>
            <a:ext uri="{FF2B5EF4-FFF2-40B4-BE49-F238E27FC236}">
              <a16:creationId xmlns:a16="http://schemas.microsoft.com/office/drawing/2014/main" xmlns="" id="{00000000-0008-0000-0700-00001C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484908</xdr:colOff>
      <xdr:row>38</xdr:row>
      <xdr:rowOff>66675</xdr:rowOff>
    </xdr:from>
    <xdr:to>
      <xdr:col>5</xdr:col>
      <xdr:colOff>740352</xdr:colOff>
      <xdr:row>42</xdr:row>
      <xdr:rowOff>45893</xdr:rowOff>
    </xdr:to>
    <xdr:sp macro="" textlink="">
      <xdr:nvSpPr>
        <xdr:cNvPr id="8" name="Down Arrow 7">
          <a:extLst>
            <a:ext uri="{FF2B5EF4-FFF2-40B4-BE49-F238E27FC236}">
              <a16:creationId xmlns:a16="http://schemas.microsoft.com/office/drawing/2014/main" xmlns="" id="{00000000-0008-0000-0800-000008000000}"/>
            </a:ext>
          </a:extLst>
        </xdr:cNvPr>
        <xdr:cNvSpPr/>
      </xdr:nvSpPr>
      <xdr:spPr>
        <a:xfrm>
          <a:off x="4733058" y="7515225"/>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16</xdr:col>
      <xdr:colOff>837333</xdr:colOff>
      <xdr:row>38</xdr:row>
      <xdr:rowOff>57150</xdr:rowOff>
    </xdr:from>
    <xdr:to>
      <xdr:col>17</xdr:col>
      <xdr:colOff>226002</xdr:colOff>
      <xdr:row>42</xdr:row>
      <xdr:rowOff>36368</xdr:rowOff>
    </xdr:to>
    <xdr:sp macro="" textlink="">
      <xdr:nvSpPr>
        <xdr:cNvPr id="9" name="Down Arrow 8">
          <a:extLst>
            <a:ext uri="{FF2B5EF4-FFF2-40B4-BE49-F238E27FC236}">
              <a16:creationId xmlns:a16="http://schemas.microsoft.com/office/drawing/2014/main" xmlns="" id="{00000000-0008-0000-0800-000009000000}"/>
            </a:ext>
          </a:extLst>
        </xdr:cNvPr>
        <xdr:cNvSpPr/>
      </xdr:nvSpPr>
      <xdr:spPr>
        <a:xfrm>
          <a:off x="13781808" y="75057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26</xdr:col>
      <xdr:colOff>770658</xdr:colOff>
      <xdr:row>38</xdr:row>
      <xdr:rowOff>76200</xdr:rowOff>
    </xdr:from>
    <xdr:to>
      <xdr:col>27</xdr:col>
      <xdr:colOff>159327</xdr:colOff>
      <xdr:row>42</xdr:row>
      <xdr:rowOff>55418</xdr:rowOff>
    </xdr:to>
    <xdr:sp macro="" textlink="">
      <xdr:nvSpPr>
        <xdr:cNvPr id="10" name="Down Arrow 9">
          <a:extLst>
            <a:ext uri="{FF2B5EF4-FFF2-40B4-BE49-F238E27FC236}">
              <a16:creationId xmlns:a16="http://schemas.microsoft.com/office/drawing/2014/main" xmlns="" id="{00000000-0008-0000-0800-00000A000000}"/>
            </a:ext>
          </a:extLst>
        </xdr:cNvPr>
        <xdr:cNvSpPr/>
      </xdr:nvSpPr>
      <xdr:spPr>
        <a:xfrm>
          <a:off x="21763758" y="75247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37</xdr:col>
      <xdr:colOff>65808</xdr:colOff>
      <xdr:row>38</xdr:row>
      <xdr:rowOff>57150</xdr:rowOff>
    </xdr:from>
    <xdr:to>
      <xdr:col>37</xdr:col>
      <xdr:colOff>321252</xdr:colOff>
      <xdr:row>42</xdr:row>
      <xdr:rowOff>36368</xdr:rowOff>
    </xdr:to>
    <xdr:sp macro="" textlink="">
      <xdr:nvSpPr>
        <xdr:cNvPr id="11" name="Down Arrow 10">
          <a:extLst>
            <a:ext uri="{FF2B5EF4-FFF2-40B4-BE49-F238E27FC236}">
              <a16:creationId xmlns:a16="http://schemas.microsoft.com/office/drawing/2014/main" xmlns="" id="{00000000-0008-0000-0800-00000B000000}"/>
            </a:ext>
          </a:extLst>
        </xdr:cNvPr>
        <xdr:cNvSpPr/>
      </xdr:nvSpPr>
      <xdr:spPr>
        <a:xfrm>
          <a:off x="29707608" y="75057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15" name="Picture 14">
          <a:extLst>
            <a:ext uri="{FF2B5EF4-FFF2-40B4-BE49-F238E27FC236}">
              <a16:creationId xmlns:a16="http://schemas.microsoft.com/office/drawing/2014/main" xmlns="" id="{00000000-0008-0000-0800-00000F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xmlns="" id="{00000000-0008-0000-09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externalLinks/_rels/externalLink1.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 Rate Design"/>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Relationship Target="../drawings/drawing1.xml" Type="http://schemas.openxmlformats.org/officeDocument/2006/relationships/drawing" Id="rId3"></Relationship><Relationship TargetMode="External" Target="mailto:jklassen@notlhydro.com" Type="http://schemas.openxmlformats.org/officeDocument/2006/relationships/hyperlink" Id="rId1"></Relationship></Relationships>
</file>

<file path=xl/worksheets/_rels/sheet10.xml.rels><?xml version="1.0" encoding="UTF-8" ?><Relationships xmlns="http://schemas.openxmlformats.org/package/2006/relationships"><Relationship Target="../drawings/drawing9.xml" Type="http://schemas.openxmlformats.org/officeDocument/2006/relationships/drawing" Id="rId2"></Relationship></Relationships>
</file>

<file path=xl/worksheets/_rels/sheet12.xml.rels><?xml version="1.0" encoding="UTF-8" ?><Relationships xmlns="http://schemas.openxmlformats.org/package/2006/relationships"><Relationship Target="../drawings/vmlDrawing4.vml" Type="http://schemas.openxmlformats.org/officeDocument/2006/relationships/vmlDrawing" Id="rId3"></Relationship><Relationship Target="../drawings/drawing10.xml" Type="http://schemas.openxmlformats.org/officeDocument/2006/relationships/drawing" Id="rId2"></Relationship></Relationships>
</file>

<file path=xl/worksheets/_rels/sheet13.xml.rels><?xml version="1.0" encoding="UTF-8" ?><Relationships xmlns="http://schemas.openxmlformats.org/package/2006/relationships"><Relationship Target="../drawings/drawing11.xml" Type="http://schemas.openxmlformats.org/officeDocument/2006/relationships/drawing" Id="rId1"></Relationship></Relationships>
</file>

<file path=xl/worksheets/_rels/sheet14.xml.rels><?xml version="1.0" encoding="UTF-8" ?><Relationships xmlns="http://schemas.openxmlformats.org/package/2006/relationships"><Relationship Target="../drawings/drawing12.xml" Type="http://schemas.openxmlformats.org/officeDocument/2006/relationships/drawing" Id="rId2"></Relationship></Relationships>
</file>

<file path=xl/worksheets/_rels/sheet15.xml.rels><?xml version="1.0" encoding="UTF-8" ?><Relationships xmlns="http://schemas.openxmlformats.org/package/2006/relationships"><Relationship Target="../drawings/drawing13.xml" Type="http://schemas.openxmlformats.org/officeDocument/2006/relationships/drawing" Id="rId1"></Relationship></Relationships>
</file>

<file path=xl/worksheets/_rels/sheet16.xml.rels><?xml version="1.0" encoding="UTF-8" ?><Relationships xmlns="http://schemas.openxmlformats.org/package/2006/relationships"><Relationship Target="../drawings/drawing14.xml" Type="http://schemas.openxmlformats.org/officeDocument/2006/relationships/drawing" Id="rId1"></Relationship></Relationships>
</file>

<file path=xl/worksheets/_rels/sheet2.xml.rels><?xml version="1.0" encoding="UTF-8" ?><Relationships xmlns="http://schemas.openxmlformats.org/package/2006/relationships"><Relationship Target="../drawings/drawing2.xml" Type="http://schemas.openxmlformats.org/officeDocument/2006/relationships/drawing" Id="rId2"></Relationship></Relationships>
</file>

<file path=xl/worksheets/_rels/sheet21.xml.rels><?xml version="1.0" encoding="UTF-8" ?><Relationships xmlns="http://schemas.openxmlformats.org/package/2006/relationships"><Relationship Target="../drawings/vmlDrawing5.vml" Type="http://schemas.openxmlformats.org/officeDocument/2006/relationships/vmlDrawing" Id="rId2"></Relationship><Relationship Target="../drawings/drawing15.xml" Type="http://schemas.openxmlformats.org/officeDocument/2006/relationships/drawing" Id="rId1"></Relationship></Relationships>
</file>

<file path=xl/worksheets/_rels/sheet3.xml.rels><?xml version="1.0" encoding="UTF-8" ?><Relationships xmlns="http://schemas.openxmlformats.org/package/2006/relationships"><Relationship Target="../drawings/drawing3.xml" Type="http://schemas.openxmlformats.org/officeDocument/2006/relationships/drawing" Id="rId2"></Relationship></Relationships>
</file>

<file path=xl/worksheets/_rels/sheet4.xml.rels><?xml version="1.0" encoding="UTF-8" ?><Relationships xmlns="http://schemas.openxmlformats.org/package/2006/relationships"><Relationship Target="../drawings/vmlDrawing1.vml" Type="http://schemas.openxmlformats.org/officeDocument/2006/relationships/vmlDrawing" Id="rId3"></Relationship><Relationship Target="../drawings/drawing4.xml" Type="http://schemas.openxmlformats.org/officeDocument/2006/relationships/drawing" Id="rId2"></Relationship></Relationships>
</file>

<file path=xl/worksheets/_rels/sheet5.xml.rels><?xml version="1.0" encoding="UTF-8" ?><Relationships xmlns="http://schemas.openxmlformats.org/package/2006/relationships"><Relationship Target="../drawings/drawing5.xml" Type="http://schemas.openxmlformats.org/officeDocument/2006/relationships/drawing" Id="rId2"></Relationship></Relationships>
</file>

<file path=xl/worksheets/_rels/sheet7.xml.rels><?xml version="1.0" encoding="UTF-8" ?><Relationships xmlns="http://schemas.openxmlformats.org/package/2006/relationships"><Relationship Target="../drawings/vmlDrawing2.vml" Type="http://schemas.openxmlformats.org/officeDocument/2006/relationships/vmlDrawing" Id="rId3"></Relationship><Relationship Target="../drawings/drawing6.xml" Type="http://schemas.openxmlformats.org/officeDocument/2006/relationships/drawing" Id="rId2"></Relationship></Relationships>
</file>

<file path=xl/worksheets/_rels/sheet8.xml.rels><?xml version="1.0" encoding="UTF-8" ?><Relationships xmlns="http://schemas.openxmlformats.org/package/2006/relationships"><Relationship Target="../drawings/drawing7.xml" Type="http://schemas.openxmlformats.org/officeDocument/2006/relationships/drawing" Id="rId2"></Relationship></Relationships>
</file>

<file path=xl/worksheets/_rels/sheet9.xml.rels><?xml version="1.0" encoding="UTF-8" ?><Relationships xmlns="http://schemas.openxmlformats.org/package/2006/relationships"><Relationship Target="../drawings/vmlDrawing3.vml" Type="http://schemas.openxmlformats.org/officeDocument/2006/relationships/vmlDrawing" Id="rId3"></Relationship><Relationship Target="../drawings/drawing8.xml" Type="http://schemas.openxmlformats.org/officeDocument/2006/relationships/drawing" Id="rId2"></Relationshi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6" tint="0.79998168889431442"/>
  </sheetPr>
  <dimension ref="A1:AB34"/>
  <sheetViews>
    <sheetView showGridLines="0" tabSelected="1" workbookViewId="0">
      <selection activeCell="F22" sqref="F22"/>
    </sheetView>
  </sheetViews>
  <sheetFormatPr defaultRowHeight="12.75" x14ac:dyDescent="0.2"/>
  <cols>
    <col min="1" max="1" width="13.6640625" style="1" customWidth="1"/>
    <col min="2" max="16384" width="9.33203125" style="1"/>
  </cols>
  <sheetData>
    <row r="1" spans="1:28" s="296" customFormat="1" x14ac:dyDescent="0.2">
      <c r="A1" s="366" t="s">
        <v>198</v>
      </c>
      <c r="B1" s="366"/>
    </row>
    <row r="2" spans="1:28" s="296" customFormat="1" x14ac:dyDescent="0.2"/>
    <row r="3" spans="1:28" s="296" customFormat="1" x14ac:dyDescent="0.2"/>
    <row r="4" spans="1:28" s="296" customFormat="1" x14ac:dyDescent="0.2"/>
    <row r="5" spans="1:28" s="296" customFormat="1" x14ac:dyDescent="0.2"/>
    <row r="6" spans="1:28" s="296" customFormat="1" x14ac:dyDescent="0.2"/>
    <row r="7" spans="1:28" s="296" customFormat="1" x14ac:dyDescent="0.2"/>
    <row r="8" spans="1:28" s="296" customFormat="1" x14ac:dyDescent="0.2"/>
    <row r="9" spans="1:28" s="296" customFormat="1" x14ac:dyDescent="0.2"/>
    <row r="10" spans="1:28" customFormat="1" ht="12.75" customHeight="1" x14ac:dyDescent="0.2">
      <c r="B10" s="839"/>
      <c r="C10" s="839"/>
      <c r="D10" s="839"/>
      <c r="E10" s="839"/>
      <c r="F10" s="839"/>
      <c r="G10" s="839"/>
      <c r="H10" s="839"/>
      <c r="I10" s="839"/>
      <c r="J10" s="83"/>
      <c r="K10" s="83"/>
      <c r="L10" s="83"/>
      <c r="M10" s="83"/>
    </row>
    <row r="11" spans="1:28" customFormat="1" ht="23.25" x14ac:dyDescent="0.2">
      <c r="B11" s="840" t="s">
        <v>77</v>
      </c>
      <c r="C11" s="840"/>
      <c r="D11" s="840"/>
      <c r="E11" s="840"/>
      <c r="F11" s="840"/>
      <c r="G11" s="840"/>
      <c r="H11" s="840"/>
      <c r="I11" s="840"/>
      <c r="J11" s="83"/>
      <c r="K11" s="83"/>
      <c r="L11" s="83"/>
      <c r="M11" s="83"/>
    </row>
    <row r="12" spans="1:28" x14ac:dyDescent="0.2">
      <c r="M12"/>
    </row>
    <row r="13" spans="1:28" ht="15" x14ac:dyDescent="0.2">
      <c r="B13" s="102" t="s">
        <v>63</v>
      </c>
      <c r="F13" s="90" t="s">
        <v>265</v>
      </c>
      <c r="G13" s="90"/>
      <c r="H13" s="90"/>
      <c r="I13" s="90"/>
      <c r="J13" s="90"/>
      <c r="K13" s="86"/>
      <c r="L13" s="86"/>
      <c r="AB13" s="80"/>
    </row>
    <row r="14" spans="1:28" x14ac:dyDescent="0.2">
      <c r="B14" s="103"/>
      <c r="F14" s="84"/>
      <c r="G14" s="85"/>
      <c r="H14" s="84"/>
      <c r="I14" s="84"/>
      <c r="J14" s="84"/>
      <c r="K14" s="87"/>
      <c r="L14" s="87"/>
      <c r="AB14" s="80"/>
    </row>
    <row r="15" spans="1:28" ht="15" x14ac:dyDescent="0.2">
      <c r="B15" s="102" t="s">
        <v>64</v>
      </c>
      <c r="F15" s="837" t="s">
        <v>266</v>
      </c>
      <c r="G15" s="837"/>
      <c r="H15" s="837"/>
      <c r="I15" s="837"/>
      <c r="J15" s="837"/>
      <c r="K15" s="87"/>
      <c r="L15" s="87"/>
      <c r="AB15" s="80"/>
    </row>
    <row r="16" spans="1:28" x14ac:dyDescent="0.2">
      <c r="B16" s="104"/>
      <c r="F16" s="81"/>
      <c r="G16" s="81"/>
      <c r="H16" s="81"/>
      <c r="I16" s="81"/>
      <c r="J16" s="81"/>
      <c r="K16" s="81"/>
      <c r="L16" s="81"/>
      <c r="AB16" s="80"/>
    </row>
    <row r="17" spans="2:28" ht="15" x14ac:dyDescent="0.2">
      <c r="B17" s="102" t="s">
        <v>65</v>
      </c>
      <c r="F17" s="837" t="s">
        <v>267</v>
      </c>
      <c r="G17" s="837"/>
      <c r="H17" s="837"/>
      <c r="I17" s="837"/>
      <c r="J17" s="837"/>
      <c r="K17" s="81"/>
      <c r="L17" s="81"/>
      <c r="AB17" s="80"/>
    </row>
    <row r="18" spans="2:28" x14ac:dyDescent="0.2">
      <c r="B18" s="104"/>
      <c r="F18" s="81"/>
      <c r="G18" s="81"/>
      <c r="H18" s="81"/>
      <c r="I18" s="81"/>
      <c r="J18" s="81"/>
      <c r="K18" s="81"/>
      <c r="L18" s="81"/>
      <c r="AB18" s="80"/>
    </row>
    <row r="19" spans="2:28" ht="15" x14ac:dyDescent="0.2">
      <c r="B19" s="102" t="s">
        <v>66</v>
      </c>
      <c r="F19" s="837" t="s">
        <v>268</v>
      </c>
      <c r="G19" s="837"/>
      <c r="H19" s="837"/>
      <c r="I19" s="837"/>
      <c r="J19" s="837"/>
      <c r="K19" s="838"/>
      <c r="L19" s="838"/>
      <c r="AB19" s="80"/>
    </row>
    <row r="20" spans="2:28" x14ac:dyDescent="0.2">
      <c r="B20" s="103"/>
      <c r="F20" s="88"/>
      <c r="G20" s="89"/>
      <c r="H20" s="88"/>
      <c r="I20" s="88"/>
      <c r="J20" s="88"/>
      <c r="K20" s="81"/>
      <c r="L20" s="81"/>
      <c r="AB20" s="80"/>
    </row>
    <row r="21" spans="2:28" ht="15" x14ac:dyDescent="0.2">
      <c r="B21" s="102" t="s">
        <v>67</v>
      </c>
      <c r="F21" s="837" t="s">
        <v>269</v>
      </c>
      <c r="G21" s="837"/>
      <c r="H21" s="837"/>
      <c r="I21" s="837"/>
      <c r="J21" s="837"/>
      <c r="K21" s="81"/>
      <c r="L21" s="81"/>
      <c r="AB21" s="80"/>
    </row>
    <row r="22" spans="2:28" x14ac:dyDescent="0.2">
      <c r="B22" s="103"/>
      <c r="F22" s="88"/>
      <c r="G22" s="89"/>
      <c r="H22" s="88"/>
      <c r="I22" s="88"/>
      <c r="J22" s="88"/>
      <c r="K22" s="81"/>
      <c r="L22" s="81"/>
      <c r="AB22" s="80"/>
    </row>
    <row r="23" spans="2:28" ht="15" x14ac:dyDescent="0.2">
      <c r="B23" s="102" t="s">
        <v>68</v>
      </c>
      <c r="F23" s="836" t="s">
        <v>270</v>
      </c>
      <c r="G23" s="837"/>
      <c r="H23" s="837"/>
      <c r="I23" s="837"/>
      <c r="J23" s="837"/>
      <c r="K23" s="81"/>
      <c r="L23" s="81"/>
      <c r="AB23" s="80"/>
    </row>
    <row r="24" spans="2:28" x14ac:dyDescent="0.2">
      <c r="B24" s="103"/>
      <c r="F24" s="88"/>
      <c r="G24" s="89"/>
      <c r="H24" s="88"/>
      <c r="I24" s="88"/>
      <c r="J24" s="88"/>
      <c r="K24" s="81"/>
      <c r="L24" s="81"/>
      <c r="AB24" s="80"/>
    </row>
    <row r="25" spans="2:28" ht="15" x14ac:dyDescent="0.2">
      <c r="B25" s="102" t="s">
        <v>69</v>
      </c>
      <c r="F25" s="106" t="s">
        <v>239</v>
      </c>
      <c r="G25" s="107"/>
      <c r="H25" s="107"/>
      <c r="I25" s="88"/>
      <c r="J25" s="88"/>
      <c r="K25" s="81"/>
      <c r="L25" s="81"/>
      <c r="AB25" s="80"/>
    </row>
    <row r="26" spans="2:28" x14ac:dyDescent="0.2">
      <c r="B26" s="40"/>
      <c r="F26" s="38"/>
      <c r="G26" s="108"/>
      <c r="H26" s="108"/>
      <c r="AB26" s="80"/>
    </row>
    <row r="27" spans="2:28" ht="15" x14ac:dyDescent="0.2">
      <c r="B27" s="102" t="s">
        <v>70</v>
      </c>
      <c r="F27" s="106" t="s">
        <v>238</v>
      </c>
      <c r="G27" s="107"/>
      <c r="H27" s="107"/>
      <c r="AB27" s="80"/>
    </row>
    <row r="28" spans="2:28" x14ac:dyDescent="0.2">
      <c r="B28" s="105"/>
      <c r="F28" s="38"/>
      <c r="G28" s="108"/>
      <c r="H28" s="108"/>
      <c r="AB28" s="80"/>
    </row>
    <row r="29" spans="2:28" ht="15" x14ac:dyDescent="0.2">
      <c r="B29" s="102" t="s">
        <v>71</v>
      </c>
      <c r="F29" s="106" t="s">
        <v>196</v>
      </c>
      <c r="G29" s="107"/>
      <c r="H29" s="107"/>
      <c r="AB29" s="80"/>
    </row>
    <row r="30" spans="2:28" x14ac:dyDescent="0.2">
      <c r="AB30" s="80"/>
    </row>
    <row r="32" spans="2:28" x14ac:dyDescent="0.2">
      <c r="B32" s="118" t="s">
        <v>201</v>
      </c>
      <c r="D32" s="41"/>
    </row>
    <row r="33" spans="2:4" x14ac:dyDescent="0.2">
      <c r="B33" s="1" t="s">
        <v>199</v>
      </c>
      <c r="D33" s="367"/>
    </row>
    <row r="34" spans="2:4" x14ac:dyDescent="0.2">
      <c r="B34" s="1" t="s">
        <v>200</v>
      </c>
      <c r="D34" s="369"/>
    </row>
  </sheetData>
  <mergeCells count="8">
    <mergeCell ref="F23:J23"/>
    <mergeCell ref="K19:L19"/>
    <mergeCell ref="F21:J21"/>
    <mergeCell ref="B10:I10"/>
    <mergeCell ref="B11:I11"/>
    <mergeCell ref="F15:J15"/>
    <mergeCell ref="F17:J17"/>
    <mergeCell ref="F19:J19"/>
  </mergeCells>
  <hyperlinks>
    <hyperlink ref="F23" r:id="rId1"/>
  </hyperlinks>
  <pageMargins left="0.7" right="0.7" top="0.75" bottom="0.75" header="0.3" footer="0.3"/>
  <pageSetup paperSize="9" orientation="portrait" horizontalDpi="0" verticalDpi="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42"/>
  <sheetViews>
    <sheetView showGridLines="0" topLeftCell="A10" zoomScaleNormal="100" workbookViewId="0">
      <selection activeCell="G41" sqref="G41"/>
    </sheetView>
  </sheetViews>
  <sheetFormatPr defaultColWidth="10.5" defaultRowHeight="12.75" x14ac:dyDescent="0.2"/>
  <cols>
    <col min="1" max="1" width="13.6640625" style="1" customWidth="1"/>
    <col min="2" max="2" width="50.1640625" style="1" customWidth="1"/>
    <col min="3" max="3" width="12.5" style="1" bestFit="1" customWidth="1"/>
    <col min="4" max="12" width="16.33203125" style="1" bestFit="1" customWidth="1"/>
    <col min="13" max="14" width="10.5" style="1"/>
    <col min="15" max="16" width="1.83203125" style="1" bestFit="1" customWidth="1"/>
    <col min="17" max="16384" width="10.5" style="1"/>
  </cols>
  <sheetData>
    <row r="1" spans="1:12" s="296" customFormat="1" x14ac:dyDescent="0.2">
      <c r="A1" s="366" t="s">
        <v>198</v>
      </c>
    </row>
    <row r="2" spans="1:12" s="296" customFormat="1" x14ac:dyDescent="0.2"/>
    <row r="3" spans="1:12" s="296" customFormat="1" x14ac:dyDescent="0.2"/>
    <row r="4" spans="1:12" s="296" customFormat="1" x14ac:dyDescent="0.2"/>
    <row r="5" spans="1:12" s="296" customFormat="1" x14ac:dyDescent="0.2"/>
    <row r="6" spans="1:12" s="296" customFormat="1" x14ac:dyDescent="0.2"/>
    <row r="7" spans="1:12" s="296" customFormat="1" x14ac:dyDescent="0.2"/>
    <row r="8" spans="1:12" s="296" customFormat="1" x14ac:dyDescent="0.2"/>
    <row r="9" spans="1:12" s="296" customFormat="1" x14ac:dyDescent="0.2"/>
    <row r="11" spans="1:12" ht="23.25" x14ac:dyDescent="0.2">
      <c r="B11" s="79" t="s">
        <v>78</v>
      </c>
    </row>
    <row r="12" spans="1:12" ht="13.5" customHeight="1" x14ac:dyDescent="0.2">
      <c r="B12" s="42"/>
    </row>
    <row r="13" spans="1:12" ht="13.5" customHeight="1" x14ac:dyDescent="0.2">
      <c r="B13" s="71"/>
    </row>
    <row r="14" spans="1:12" ht="13.5" customHeight="1" x14ac:dyDescent="0.2"/>
    <row r="15" spans="1:12" x14ac:dyDescent="0.2">
      <c r="B15" s="707"/>
      <c r="C15" s="708" t="s">
        <v>32</v>
      </c>
      <c r="D15" s="709">
        <f>'4. Customer Growth'!B17</f>
        <v>2011</v>
      </c>
      <c r="E15" s="709">
        <f>'4. Customer Growth'!B18</f>
        <v>2012</v>
      </c>
      <c r="F15" s="709">
        <f>'4. Customer Growth'!B19</f>
        <v>2013</v>
      </c>
      <c r="G15" s="709">
        <f>'4. Customer Growth'!B20</f>
        <v>2014</v>
      </c>
      <c r="H15" s="709">
        <f>'4. Customer Growth'!B21</f>
        <v>2015</v>
      </c>
      <c r="I15" s="709">
        <f>'4. Customer Growth'!B22</f>
        <v>2016</v>
      </c>
      <c r="J15" s="709">
        <f>'4. Customer Growth'!B23</f>
        <v>2017</v>
      </c>
      <c r="K15" s="709" t="str">
        <f>'4. Customer Growth'!B27</f>
        <v>2018</v>
      </c>
      <c r="L15" s="710" t="str">
        <f>'4. Customer Growth'!B28</f>
        <v>2019</v>
      </c>
    </row>
    <row r="16" spans="1:12" x14ac:dyDescent="0.2">
      <c r="B16" s="692" t="s">
        <v>6</v>
      </c>
      <c r="C16" s="693" t="s">
        <v>105</v>
      </c>
      <c r="D16" s="694">
        <f>+'7. Weather Senstive Class'!$H21</f>
        <v>6594.125</v>
      </c>
      <c r="E16" s="694">
        <f>+'7. Weather Senstive Class'!$H22</f>
        <v>6716.25</v>
      </c>
      <c r="F16" s="694">
        <f>+'7. Weather Senstive Class'!$H23</f>
        <v>6912.458333333333</v>
      </c>
      <c r="G16" s="694">
        <f>+'7. Weather Senstive Class'!$H24</f>
        <v>7110.208333333333</v>
      </c>
      <c r="H16" s="694">
        <f>+'7. Weather Senstive Class'!$H25</f>
        <v>7389.208333333333</v>
      </c>
      <c r="I16" s="694">
        <f>+'7. Weather Senstive Class'!$H26</f>
        <v>7660.791666666667</v>
      </c>
      <c r="J16" s="694">
        <f>+'7. Weather Senstive Class'!$H27</f>
        <v>7838.375</v>
      </c>
      <c r="K16" s="694">
        <f>+'7. Weather Senstive Class'!$H28</f>
        <v>7976.375</v>
      </c>
      <c r="L16" s="695">
        <f>+'7. Weather Senstive Class'!$H29</f>
        <v>8152.375</v>
      </c>
    </row>
    <row r="17" spans="2:12" x14ac:dyDescent="0.2">
      <c r="B17" s="696"/>
      <c r="C17" s="43" t="s">
        <v>35</v>
      </c>
      <c r="D17" s="687">
        <f>+'7. Weather Senstive Class'!$C21</f>
        <v>66976829.959999993</v>
      </c>
      <c r="E17" s="687">
        <f>+'7. Weather Senstive Class'!$C22</f>
        <v>67086975.060000002</v>
      </c>
      <c r="F17" s="687">
        <f>+'7. Weather Senstive Class'!$C23</f>
        <v>68126808.569999993</v>
      </c>
      <c r="G17" s="687">
        <f>+'7. Weather Senstive Class'!$C24</f>
        <v>68599527.920000017</v>
      </c>
      <c r="H17" s="687">
        <f>+'7. Weather Senstive Class'!$C25</f>
        <v>69624978.280000001</v>
      </c>
      <c r="I17" s="687">
        <f>+'7. Weather Senstive Class'!$C26</f>
        <v>74189661.459999993</v>
      </c>
      <c r="J17" s="687">
        <f>+'7. Weather Senstive Class'!$C27</f>
        <v>71017298.550000012</v>
      </c>
      <c r="K17" s="687">
        <f>+'7. Weather Senstive Class'!I39</f>
        <v>73760865.328503177</v>
      </c>
      <c r="L17" s="697">
        <f>+'7. Weather Senstive Class'!I40</f>
        <v>74690535.299300596</v>
      </c>
    </row>
    <row r="18" spans="2:12" x14ac:dyDescent="0.2">
      <c r="B18" s="696"/>
      <c r="C18" s="43" t="s">
        <v>36</v>
      </c>
      <c r="D18" s="688"/>
      <c r="E18" s="688"/>
      <c r="F18" s="688"/>
      <c r="G18" s="688"/>
      <c r="H18" s="688"/>
      <c r="I18" s="688"/>
      <c r="J18" s="688"/>
      <c r="K18" s="688"/>
      <c r="L18" s="698"/>
    </row>
    <row r="19" spans="2:12" x14ac:dyDescent="0.2">
      <c r="B19" s="696"/>
      <c r="C19" s="43"/>
      <c r="D19" s="688"/>
      <c r="E19" s="688"/>
      <c r="F19" s="688"/>
      <c r="G19" s="688"/>
      <c r="H19" s="688"/>
      <c r="I19" s="688"/>
      <c r="J19" s="688"/>
      <c r="K19" s="689"/>
      <c r="L19" s="699"/>
    </row>
    <row r="20" spans="2:12" x14ac:dyDescent="0.2">
      <c r="B20" s="700" t="s">
        <v>73</v>
      </c>
      <c r="C20" s="43" t="s">
        <v>105</v>
      </c>
      <c r="D20" s="687">
        <f>+'7. Weather Senstive Class'!$Q21</f>
        <v>1234.6666666666667</v>
      </c>
      <c r="E20" s="687">
        <f>+'7. Weather Senstive Class'!$Q22</f>
        <v>1268.9583333333333</v>
      </c>
      <c r="F20" s="687">
        <f>+'7. Weather Senstive Class'!$Q23</f>
        <v>1221.0416666666667</v>
      </c>
      <c r="G20" s="687">
        <f>+'7. Weather Senstive Class'!$Q24</f>
        <v>1311.8333333333333</v>
      </c>
      <c r="H20" s="687">
        <f>+'7. Weather Senstive Class'!$Q25</f>
        <v>1321.5416666666667</v>
      </c>
      <c r="I20" s="687">
        <f>+'7. Weather Senstive Class'!$Q26</f>
        <v>1332.7083333333333</v>
      </c>
      <c r="J20" s="687">
        <f>+'7. Weather Senstive Class'!$Q27</f>
        <v>1331.6666666666667</v>
      </c>
      <c r="K20" s="687">
        <f>+'7. Weather Senstive Class'!$Q28</f>
        <v>1336.6666666666667</v>
      </c>
      <c r="L20" s="697">
        <f>+'7. Weather Senstive Class'!$Q29</f>
        <v>1341.6666666666667</v>
      </c>
    </row>
    <row r="21" spans="2:12" x14ac:dyDescent="0.2">
      <c r="B21" s="696"/>
      <c r="C21" s="43" t="s">
        <v>35</v>
      </c>
      <c r="D21" s="687">
        <f>+'7. Weather Senstive Class'!$L21</f>
        <v>34321035.060000002</v>
      </c>
      <c r="E21" s="687">
        <f>+'7. Weather Senstive Class'!$L22</f>
        <v>35374878.009999998</v>
      </c>
      <c r="F21" s="687">
        <f>+'7. Weather Senstive Class'!$L23</f>
        <v>35291130.910000004</v>
      </c>
      <c r="G21" s="687">
        <f>+'7. Weather Senstive Class'!$L24</f>
        <v>39288460.370000005</v>
      </c>
      <c r="H21" s="687">
        <f>+'7. Weather Senstive Class'!$L25</f>
        <v>41172287.869999997</v>
      </c>
      <c r="I21" s="687">
        <f>+'7. Weather Senstive Class'!$L26</f>
        <v>43510840.949999996</v>
      </c>
      <c r="J21" s="687">
        <f>+'7. Weather Senstive Class'!$L27</f>
        <v>40733064.149999999</v>
      </c>
      <c r="K21" s="687">
        <f>+'7. Weather Senstive Class'!R39</f>
        <v>42369980.848468766</v>
      </c>
      <c r="L21" s="697">
        <f>+'7. Weather Senstive Class'!$R40</f>
        <v>42903766.327367291</v>
      </c>
    </row>
    <row r="22" spans="2:12" x14ac:dyDescent="0.2">
      <c r="B22" s="696"/>
      <c r="C22" s="43" t="s">
        <v>36</v>
      </c>
      <c r="D22" s="688"/>
      <c r="E22" s="688"/>
      <c r="F22" s="688"/>
      <c r="G22" s="688"/>
      <c r="H22" s="688"/>
      <c r="I22" s="688"/>
      <c r="J22" s="688"/>
      <c r="K22" s="688"/>
      <c r="L22" s="698"/>
    </row>
    <row r="23" spans="2:12" x14ac:dyDescent="0.2">
      <c r="B23" s="696"/>
      <c r="C23" s="43"/>
      <c r="D23" s="688"/>
      <c r="E23" s="688"/>
      <c r="F23" s="688"/>
      <c r="G23" s="688"/>
      <c r="H23" s="688"/>
      <c r="I23" s="688"/>
      <c r="J23" s="688"/>
      <c r="K23" s="689"/>
      <c r="L23" s="699"/>
    </row>
    <row r="24" spans="2:12" x14ac:dyDescent="0.2">
      <c r="B24" s="700" t="s">
        <v>197</v>
      </c>
      <c r="C24" s="43" t="s">
        <v>105</v>
      </c>
      <c r="D24" s="687">
        <f>+'8. KW and Non-Weather Sensitive'!$G21</f>
        <v>120.04166666666667</v>
      </c>
      <c r="E24" s="687">
        <f>+'8. KW and Non-Weather Sensitive'!$G22</f>
        <v>117.70833333333333</v>
      </c>
      <c r="F24" s="687">
        <f>+'8. KW and Non-Weather Sensitive'!$G23</f>
        <v>117.875</v>
      </c>
      <c r="G24" s="687">
        <f>+'8. KW and Non-Weather Sensitive'!$G24</f>
        <v>129.375</v>
      </c>
      <c r="H24" s="687">
        <f>+'8. KW and Non-Weather Sensitive'!$G25</f>
        <v>128</v>
      </c>
      <c r="I24" s="687">
        <f>+'8. KW and Non-Weather Sensitive'!$G26</f>
        <v>121.5</v>
      </c>
      <c r="J24" s="687">
        <f>+'8. KW and Non-Weather Sensitive'!$G27</f>
        <v>128.95833333333334</v>
      </c>
      <c r="K24" s="687">
        <f>+'8. KW and Non-Weather Sensitive'!$G28</f>
        <v>130.50755221180745</v>
      </c>
      <c r="L24" s="697">
        <f>+'8. KW and Non-Weather Sensitive'!$G29</f>
        <v>131</v>
      </c>
    </row>
    <row r="25" spans="2:12" x14ac:dyDescent="0.2">
      <c r="B25" s="696"/>
      <c r="C25" s="43" t="s">
        <v>35</v>
      </c>
      <c r="D25" s="687">
        <f>+'8. KW and Non-Weather Sensitive'!$E21</f>
        <v>78632456.620000005</v>
      </c>
      <c r="E25" s="687">
        <f>+'8. KW and Non-Weather Sensitive'!$E22</f>
        <v>77993647.680000007</v>
      </c>
      <c r="F25" s="687">
        <f>+'8. KW and Non-Weather Sensitive'!$E23</f>
        <v>77896093.379999995</v>
      </c>
      <c r="G25" s="687">
        <f>+'8. KW and Non-Weather Sensitive'!$E24</f>
        <v>80076898.530000001</v>
      </c>
      <c r="H25" s="687">
        <f>+'8. KW and Non-Weather Sensitive'!$E25</f>
        <v>81848511.329999983</v>
      </c>
      <c r="I25" s="687">
        <f>+'8. KW and Non-Weather Sensitive'!$E26</f>
        <v>83681623.590000004</v>
      </c>
      <c r="J25" s="687">
        <f>+'8. KW and Non-Weather Sensitive'!$E27</f>
        <v>84099297.00999999</v>
      </c>
      <c r="K25" s="687">
        <f>+'8. KW and Non-Weather Sensitive'!I46</f>
        <v>85961669.378012925</v>
      </c>
      <c r="L25" s="697">
        <f>+'8. KW and Non-Weather Sensitive'!I47</f>
        <v>84345116.302129641</v>
      </c>
    </row>
    <row r="26" spans="2:12" x14ac:dyDescent="0.2">
      <c r="B26" s="696"/>
      <c r="C26" s="43" t="s">
        <v>36</v>
      </c>
      <c r="D26" s="687">
        <f>+'8. KW and Non-Weather Sensitive'!$F21</f>
        <v>199917.50000000003</v>
      </c>
      <c r="E26" s="687">
        <f>+'8. KW and Non-Weather Sensitive'!$F22</f>
        <v>202737.81</v>
      </c>
      <c r="F26" s="687">
        <f>+'8. KW and Non-Weather Sensitive'!$F23</f>
        <v>204592.81999999998</v>
      </c>
      <c r="G26" s="687">
        <f>+'8. KW and Non-Weather Sensitive'!$F24</f>
        <v>208042.52000000002</v>
      </c>
      <c r="H26" s="687">
        <f>+'8. KW and Non-Weather Sensitive'!$F25</f>
        <v>213948.53999999998</v>
      </c>
      <c r="I26" s="687">
        <f>+'8. KW and Non-Weather Sensitive'!$F26</f>
        <v>211155.36</v>
      </c>
      <c r="J26" s="687">
        <f>+'8. KW and Non-Weather Sensitive'!$F27</f>
        <v>211533.96999999997</v>
      </c>
      <c r="K26" s="687">
        <f>+'8. KW and Non-Weather Sensitive'!J46</f>
        <v>221276.70912632582</v>
      </c>
      <c r="L26" s="697">
        <f>+'8. KW and Non-Weather Sensitive'!$J47</f>
        <v>217115.48764996644</v>
      </c>
    </row>
    <row r="27" spans="2:12" x14ac:dyDescent="0.2">
      <c r="B27" s="696"/>
      <c r="C27" s="43"/>
      <c r="D27" s="688"/>
      <c r="E27" s="688"/>
      <c r="F27" s="688"/>
      <c r="G27" s="688"/>
      <c r="H27" s="688"/>
      <c r="I27" s="688"/>
      <c r="J27" s="688"/>
      <c r="K27" s="689"/>
      <c r="L27" s="699"/>
    </row>
    <row r="28" spans="2:12" x14ac:dyDescent="0.2">
      <c r="B28" s="700" t="s">
        <v>80</v>
      </c>
      <c r="C28" s="43" t="s">
        <v>105</v>
      </c>
      <c r="D28" s="687">
        <f>+'8. KW and Non-Weather Sensitive'!$AB21</f>
        <v>22.083333333333332</v>
      </c>
      <c r="E28" s="687">
        <f>+'8. KW and Non-Weather Sensitive'!$AB22</f>
        <v>22</v>
      </c>
      <c r="F28" s="687">
        <f>+'8. KW and Non-Weather Sensitive'!$AB23</f>
        <v>21.375</v>
      </c>
      <c r="G28" s="687">
        <f>+'8. KW and Non-Weather Sensitive'!$AB24</f>
        <v>21.625</v>
      </c>
      <c r="H28" s="687">
        <f>+'8. KW and Non-Weather Sensitive'!$AB25</f>
        <v>20.208333333333332</v>
      </c>
      <c r="I28" s="687">
        <f>+'8. KW and Non-Weather Sensitive'!$AB26</f>
        <v>17.708333333333332</v>
      </c>
      <c r="J28" s="687">
        <f>+'8. KW and Non-Weather Sensitive'!$AB27</f>
        <v>21.25</v>
      </c>
      <c r="K28" s="687">
        <f>+'8. KW and Non-Weather Sensitive'!AB28</f>
        <v>26</v>
      </c>
      <c r="L28" s="697">
        <f>+'8. KW and Non-Weather Sensitive'!AB29</f>
        <v>26</v>
      </c>
    </row>
    <row r="29" spans="2:12" x14ac:dyDescent="0.2">
      <c r="B29" s="696"/>
      <c r="C29" s="43" t="s">
        <v>35</v>
      </c>
      <c r="D29" s="687">
        <f>+'8. KW and Non-Weather Sensitive'!$Z21</f>
        <v>225362.2</v>
      </c>
      <c r="E29" s="687">
        <f>+'8. KW and Non-Weather Sensitive'!$Z22</f>
        <v>226393.8</v>
      </c>
      <c r="F29" s="687">
        <f>+'8. KW and Non-Weather Sensitive'!$Z23</f>
        <v>234467.23</v>
      </c>
      <c r="G29" s="687">
        <f>+'8. KW and Non-Weather Sensitive'!$Z24</f>
        <v>230816.74</v>
      </c>
      <c r="H29" s="687">
        <f>+'8. KW and Non-Weather Sensitive'!$Z25</f>
        <v>224901.2</v>
      </c>
      <c r="I29" s="687">
        <f>+'8. KW and Non-Weather Sensitive'!$Z26</f>
        <v>224075.16999999998</v>
      </c>
      <c r="J29" s="687">
        <f>+'8. KW and Non-Weather Sensitive'!$Z27</f>
        <v>250759.37</v>
      </c>
      <c r="K29" s="687">
        <f>+'8. KW and Non-Weather Sensitive'!Z28</f>
        <v>251508.00000000023</v>
      </c>
      <c r="L29" s="697">
        <f>+'8. KW and Non-Weather Sensitive'!Z29</f>
        <v>251508.00000000023</v>
      </c>
    </row>
    <row r="30" spans="2:12" x14ac:dyDescent="0.2">
      <c r="B30" s="696"/>
      <c r="C30" s="43" t="s">
        <v>36</v>
      </c>
      <c r="D30" s="688"/>
      <c r="E30" s="688"/>
      <c r="F30" s="688"/>
      <c r="G30" s="688"/>
      <c r="H30" s="688"/>
      <c r="I30" s="688"/>
      <c r="J30" s="688"/>
      <c r="K30" s="688"/>
      <c r="L30" s="698"/>
    </row>
    <row r="31" spans="2:12" x14ac:dyDescent="0.2">
      <c r="B31" s="696"/>
      <c r="C31" s="43"/>
      <c r="D31" s="688"/>
      <c r="E31" s="688"/>
      <c r="F31" s="688"/>
      <c r="G31" s="688"/>
      <c r="H31" s="688"/>
      <c r="I31" s="688"/>
      <c r="J31" s="688"/>
      <c r="K31" s="689"/>
      <c r="L31" s="699"/>
    </row>
    <row r="32" spans="2:12" x14ac:dyDescent="0.2">
      <c r="B32" s="700" t="s">
        <v>259</v>
      </c>
      <c r="C32" s="43" t="s">
        <v>105</v>
      </c>
      <c r="D32" s="687">
        <f>+'8. KW and Non-Weather Sensitive'!$R21</f>
        <v>1946</v>
      </c>
      <c r="E32" s="687">
        <f>+'8. KW and Non-Weather Sensitive'!$R22</f>
        <v>1946.75</v>
      </c>
      <c r="F32" s="690">
        <f>+'8. KW and Non-Weather Sensitive'!$R23</f>
        <v>1948.75</v>
      </c>
      <c r="G32" s="687">
        <f>+'8. KW and Non-Weather Sensitive'!$R24</f>
        <v>2051.3333333333335</v>
      </c>
      <c r="H32" s="687">
        <f>+'8. KW and Non-Weather Sensitive'!$R25</f>
        <v>2080.75</v>
      </c>
      <c r="I32" s="687">
        <f>+'8. KW and Non-Weather Sensitive'!$R26</f>
        <v>2120.1666666666665</v>
      </c>
      <c r="J32" s="687">
        <f>+'8. KW and Non-Weather Sensitive'!$R27</f>
        <v>2123.9166666666665</v>
      </c>
      <c r="K32" s="687">
        <f>+'8. KW and Non-Weather Sensitive'!$R28</f>
        <v>2155.1123337847007</v>
      </c>
      <c r="L32" s="698">
        <f>+'8. KW and Non-Weather Sensitive'!$R29</f>
        <v>2186.7661966795336</v>
      </c>
    </row>
    <row r="33" spans="2:12" x14ac:dyDescent="0.2">
      <c r="B33" s="696"/>
      <c r="C33" s="43" t="s">
        <v>35</v>
      </c>
      <c r="D33" s="687">
        <f>+'8. KW and Non-Weather Sensitive'!$P21</f>
        <v>1153887.57</v>
      </c>
      <c r="E33" s="687">
        <f>+'8. KW and Non-Weather Sensitive'!$P22</f>
        <v>1163464.3800000001</v>
      </c>
      <c r="F33" s="687">
        <f>+'8. KW and Non-Weather Sensitive'!$P23</f>
        <v>1160023.9100000001</v>
      </c>
      <c r="G33" s="687">
        <f>+'8. KW and Non-Weather Sensitive'!$P24</f>
        <v>1160025.06</v>
      </c>
      <c r="H33" s="687">
        <f>+'8. KW and Non-Weather Sensitive'!$P25</f>
        <v>974371.32000000007</v>
      </c>
      <c r="I33" s="687">
        <f>+'8. KW and Non-Weather Sensitive'!$P26</f>
        <v>861899.34000000008</v>
      </c>
      <c r="J33" s="687">
        <f>+'8. KW and Non-Weather Sensitive'!$P27</f>
        <v>858843.55</v>
      </c>
      <c r="K33" s="687">
        <f>+'8. KW and Non-Weather Sensitive'!$T46</f>
        <v>873781.83894371043</v>
      </c>
      <c r="L33" s="697">
        <f>+'8. KW and Non-Weather Sensitive'!$T47</f>
        <v>886615.77344277513</v>
      </c>
    </row>
    <row r="34" spans="2:12" x14ac:dyDescent="0.2">
      <c r="B34" s="696"/>
      <c r="C34" s="43" t="s">
        <v>36</v>
      </c>
      <c r="D34" s="687">
        <f>+'8. KW and Non-Weather Sensitive'!$Q21</f>
        <v>3221.89</v>
      </c>
      <c r="E34" s="687">
        <f>+'8. KW and Non-Weather Sensitive'!$Q22</f>
        <v>3238.8</v>
      </c>
      <c r="F34" s="687">
        <f>+'8. KW and Non-Weather Sensitive'!$Q23</f>
        <v>3256.79</v>
      </c>
      <c r="G34" s="687">
        <f>+'8. KW and Non-Weather Sensitive'!$Q24</f>
        <v>3238.8</v>
      </c>
      <c r="H34" s="687">
        <f>+'8. KW and Non-Weather Sensitive'!$Q25</f>
        <v>2742.9900000000007</v>
      </c>
      <c r="I34" s="687">
        <f>+'8. KW and Non-Weather Sensitive'!$Q26</f>
        <v>2373.42</v>
      </c>
      <c r="J34" s="687">
        <f>+'8. KW and Non-Weather Sensitive'!$Q27</f>
        <v>2399.7999999999997</v>
      </c>
      <c r="K34" s="687">
        <f>+'8. KW and Non-Weather Sensitive'!$U46</f>
        <v>2438.9195714511152</v>
      </c>
      <c r="L34" s="697">
        <f>+'8. KW and Non-Weather Sensitive'!$U47</f>
        <v>2474.7419388126632</v>
      </c>
    </row>
    <row r="35" spans="2:12" x14ac:dyDescent="0.2">
      <c r="B35" s="696"/>
      <c r="C35" s="43"/>
      <c r="D35" s="688"/>
      <c r="E35" s="688"/>
      <c r="F35" s="688"/>
      <c r="G35" s="688"/>
      <c r="H35" s="688"/>
      <c r="I35" s="688"/>
      <c r="J35" s="688"/>
      <c r="K35" s="689"/>
      <c r="L35" s="699"/>
    </row>
    <row r="36" spans="2:12" x14ac:dyDescent="0.2">
      <c r="B36" s="700" t="s">
        <v>241</v>
      </c>
      <c r="C36" s="43" t="s">
        <v>105</v>
      </c>
      <c r="D36" s="687">
        <f>+'8. KW and Non-Weather Sensitive'!$AL$21</f>
        <v>0</v>
      </c>
      <c r="E36" s="687">
        <f>+'8. KW and Non-Weather Sensitive'!$AL$22</f>
        <v>0</v>
      </c>
      <c r="F36" s="687">
        <f>+'8. KW and Non-Weather Sensitive'!$AL$23</f>
        <v>0</v>
      </c>
      <c r="G36" s="687">
        <f>+'8. KW and Non-Weather Sensitive'!$AL$24</f>
        <v>0</v>
      </c>
      <c r="H36" s="687">
        <f>+'8. KW and Non-Weather Sensitive'!$AL$25</f>
        <v>0</v>
      </c>
      <c r="I36" s="687">
        <f>+'8. KW and Non-Weather Sensitive'!$AL$26</f>
        <v>0</v>
      </c>
      <c r="J36" s="687">
        <f>+'8. KW and Non-Weather Sensitive'!$AL$27</f>
        <v>0</v>
      </c>
      <c r="K36" s="687">
        <f>+'8. KW and Non-Weather Sensitive'!$AL$28</f>
        <v>0</v>
      </c>
      <c r="L36" s="697">
        <f>+'8. KW and Non-Weather Sensitive'!$AL$29</f>
        <v>1</v>
      </c>
    </row>
    <row r="37" spans="2:12" x14ac:dyDescent="0.2">
      <c r="B37" s="696"/>
      <c r="C37" s="43" t="s">
        <v>35</v>
      </c>
      <c r="D37" s="687">
        <f>+'8. KW and Non-Weather Sensitive'!$AJ$21</f>
        <v>0</v>
      </c>
      <c r="E37" s="687">
        <f>+'8. KW and Non-Weather Sensitive'!$AJ$22</f>
        <v>0</v>
      </c>
      <c r="F37" s="687">
        <f>+'8. KW and Non-Weather Sensitive'!$AJ$23</f>
        <v>0</v>
      </c>
      <c r="G37" s="687">
        <f>+'8. KW and Non-Weather Sensitive'!$AJ$24</f>
        <v>0</v>
      </c>
      <c r="H37" s="687">
        <f>+'8. KW and Non-Weather Sensitive'!$AJ$25</f>
        <v>0</v>
      </c>
      <c r="I37" s="687">
        <f>+'8. KW and Non-Weather Sensitive'!$AJ$26</f>
        <v>0</v>
      </c>
      <c r="J37" s="687">
        <f>+'8. KW and Non-Weather Sensitive'!$AJ$27</f>
        <v>0</v>
      </c>
      <c r="K37" s="687">
        <f>+'8. KW and Non-Weather Sensitive'!$AN$46</f>
        <v>0</v>
      </c>
      <c r="L37" s="697">
        <f>+'8. KW and Non-Weather Sensitive'!$AN$47</f>
        <v>23308825.330262251</v>
      </c>
    </row>
    <row r="38" spans="2:12" x14ac:dyDescent="0.2">
      <c r="B38" s="696"/>
      <c r="C38" s="43" t="s">
        <v>36</v>
      </c>
      <c r="D38" s="687">
        <f>+'8. KW and Non-Weather Sensitive'!$AK$21</f>
        <v>0</v>
      </c>
      <c r="E38" s="687">
        <f>+'8. KW and Non-Weather Sensitive'!$AK$22</f>
        <v>0</v>
      </c>
      <c r="F38" s="687">
        <f>+'8. KW and Non-Weather Sensitive'!$AK$23</f>
        <v>0</v>
      </c>
      <c r="G38" s="687">
        <f>+'8. KW and Non-Weather Sensitive'!$AK$24</f>
        <v>0</v>
      </c>
      <c r="H38" s="687">
        <f>+'8. KW and Non-Weather Sensitive'!$AK$25</f>
        <v>0</v>
      </c>
      <c r="I38" s="687">
        <f>+'8. KW and Non-Weather Sensitive'!$AK$26</f>
        <v>0</v>
      </c>
      <c r="J38" s="687">
        <f>+'8. KW and Non-Weather Sensitive'!$AK$27</f>
        <v>0</v>
      </c>
      <c r="K38" s="687">
        <f>+'8. KW and Non-Weather Sensitive'!$AO$46</f>
        <v>0</v>
      </c>
      <c r="L38" s="697">
        <f>+'8. KW and Non-Weather Sensitive'!$AO$47</f>
        <v>60000</v>
      </c>
    </row>
    <row r="39" spans="2:12" x14ac:dyDescent="0.2">
      <c r="B39" s="619"/>
      <c r="C39" s="43"/>
      <c r="D39" s="688"/>
      <c r="E39" s="688"/>
      <c r="F39" s="688"/>
      <c r="G39" s="688"/>
      <c r="H39" s="688"/>
      <c r="I39" s="688"/>
      <c r="J39" s="688"/>
      <c r="K39" s="689"/>
      <c r="L39" s="699"/>
    </row>
    <row r="40" spans="2:12" x14ac:dyDescent="0.2">
      <c r="B40" s="711" t="s">
        <v>16</v>
      </c>
      <c r="C40" s="712" t="s">
        <v>105</v>
      </c>
      <c r="D40" s="713">
        <f t="shared" ref="D40:L40" si="0">D16+D20+D24+D28+D32+D36</f>
        <v>9916.9166666666679</v>
      </c>
      <c r="E40" s="713">
        <f t="shared" si="0"/>
        <v>10071.666666666666</v>
      </c>
      <c r="F40" s="713">
        <f t="shared" si="0"/>
        <v>10221.5</v>
      </c>
      <c r="G40" s="713">
        <f t="shared" si="0"/>
        <v>10624.375</v>
      </c>
      <c r="H40" s="713">
        <f t="shared" si="0"/>
        <v>10939.708333333334</v>
      </c>
      <c r="I40" s="713">
        <f t="shared" si="0"/>
        <v>11252.875</v>
      </c>
      <c r="J40" s="713">
        <f t="shared" si="0"/>
        <v>11444.166666666666</v>
      </c>
      <c r="K40" s="713">
        <f t="shared" si="0"/>
        <v>11624.661552663174</v>
      </c>
      <c r="L40" s="714">
        <f t="shared" si="0"/>
        <v>11838.807863346199</v>
      </c>
    </row>
    <row r="41" spans="2:12" x14ac:dyDescent="0.2">
      <c r="B41" s="701"/>
      <c r="C41" s="568" t="s">
        <v>35</v>
      </c>
      <c r="D41" s="691">
        <f t="shared" ref="D41:L41" si="1">D17+D21+D25+D29+D33+D37</f>
        <v>181309571.40999997</v>
      </c>
      <c r="E41" s="691">
        <f t="shared" si="1"/>
        <v>181845358.93000001</v>
      </c>
      <c r="F41" s="691">
        <f t="shared" si="1"/>
        <v>182708523.99999997</v>
      </c>
      <c r="G41" s="691">
        <f t="shared" si="1"/>
        <v>189355728.62000003</v>
      </c>
      <c r="H41" s="691">
        <f t="shared" si="1"/>
        <v>193845049.99999997</v>
      </c>
      <c r="I41" s="691">
        <f t="shared" si="1"/>
        <v>202468100.50999999</v>
      </c>
      <c r="J41" s="691">
        <f t="shared" si="1"/>
        <v>196959262.63000003</v>
      </c>
      <c r="K41" s="691">
        <f t="shared" si="1"/>
        <v>203217805.39392859</v>
      </c>
      <c r="L41" s="702">
        <f t="shared" si="1"/>
        <v>226386367.03250256</v>
      </c>
    </row>
    <row r="42" spans="2:12" x14ac:dyDescent="0.2">
      <c r="B42" s="703"/>
      <c r="C42" s="704" t="s">
        <v>36</v>
      </c>
      <c r="D42" s="705">
        <f t="shared" ref="D42:L42" si="2">D18+D22+D26+D30+D34+D38</f>
        <v>203139.39000000004</v>
      </c>
      <c r="E42" s="705">
        <f t="shared" si="2"/>
        <v>205976.61</v>
      </c>
      <c r="F42" s="705">
        <f t="shared" si="2"/>
        <v>207849.61</v>
      </c>
      <c r="G42" s="705">
        <f t="shared" si="2"/>
        <v>211281.32</v>
      </c>
      <c r="H42" s="705">
        <f t="shared" si="2"/>
        <v>216691.52999999997</v>
      </c>
      <c r="I42" s="705">
        <f t="shared" si="2"/>
        <v>213528.78</v>
      </c>
      <c r="J42" s="705">
        <f t="shared" si="2"/>
        <v>213933.76999999996</v>
      </c>
      <c r="K42" s="705">
        <f t="shared" si="2"/>
        <v>223715.62869777693</v>
      </c>
      <c r="L42" s="706">
        <f t="shared" si="2"/>
        <v>279590.2295887791</v>
      </c>
    </row>
  </sheetData>
  <pageMargins left="0.7" right="0.7" top="0.75" bottom="0.75" header="0.3" footer="0.3"/>
  <pageSetup scale="44" orientation="landscape" horizontalDpi="4294967293"/>
  <colBreaks count="1" manualBreakCount="1">
    <brk id="13"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97"/>
  <sheetViews>
    <sheetView showGridLines="0" topLeftCell="A46" workbookViewId="0">
      <selection activeCell="A52" sqref="A52:K65"/>
    </sheetView>
  </sheetViews>
  <sheetFormatPr defaultRowHeight="12.75" outlineLevelRow="1" outlineLevelCol="1" x14ac:dyDescent="0.2"/>
  <cols>
    <col min="1" max="1" width="22.1640625" style="296" customWidth="1"/>
    <col min="2" max="2" width="14.33203125" style="296" customWidth="1"/>
    <col min="3" max="4" width="13.6640625" style="296" customWidth="1"/>
    <col min="5" max="5" width="19.33203125" style="296" customWidth="1"/>
    <col min="6" max="6" width="19.33203125" style="296" hidden="1" customWidth="1" outlineLevel="1"/>
    <col min="7" max="7" width="13.6640625" style="296" customWidth="1" collapsed="1"/>
    <col min="8" max="8" width="15.83203125" style="296" customWidth="1"/>
    <col min="9" max="9" width="15.1640625" style="296" customWidth="1"/>
    <col min="10" max="10" width="15.1640625" style="296" hidden="1" customWidth="1" outlineLevel="1"/>
    <col min="11" max="11" width="13.6640625" style="296" customWidth="1" collapsed="1"/>
    <col min="12" max="13" width="13.6640625" style="296" customWidth="1"/>
    <col min="14" max="14" width="9.33203125" style="296"/>
    <col min="15" max="20" width="13.83203125" style="296" customWidth="1"/>
    <col min="21" max="26" width="14.33203125" style="296" customWidth="1"/>
    <col min="27" max="16384" width="9.33203125" style="296"/>
  </cols>
  <sheetData>
    <row r="2" spans="1:26" ht="13.5" thickBot="1" x14ac:dyDescent="0.25"/>
    <row r="3" spans="1:26" ht="13.5" thickBot="1" x14ac:dyDescent="0.25">
      <c r="A3" s="296" t="s">
        <v>315</v>
      </c>
      <c r="O3" s="904" t="s">
        <v>334</v>
      </c>
      <c r="P3" s="905"/>
      <c r="Q3" s="905"/>
      <c r="R3" s="905"/>
      <c r="S3" s="905"/>
      <c r="T3" s="905"/>
      <c r="U3" s="904" t="s">
        <v>335</v>
      </c>
      <c r="V3" s="905"/>
      <c r="W3" s="905"/>
      <c r="X3" s="905"/>
      <c r="Y3" s="905"/>
      <c r="Z3" s="906"/>
    </row>
    <row r="4" spans="1:26" ht="38.25" x14ac:dyDescent="0.2">
      <c r="A4" s="821" t="s">
        <v>32</v>
      </c>
      <c r="B4" s="822" t="s">
        <v>305</v>
      </c>
      <c r="C4" s="822" t="s">
        <v>306</v>
      </c>
      <c r="D4" s="822" t="s">
        <v>307</v>
      </c>
      <c r="E4" s="822" t="s">
        <v>328</v>
      </c>
      <c r="F4" s="822" t="s">
        <v>306</v>
      </c>
      <c r="G4" s="822" t="s">
        <v>307</v>
      </c>
      <c r="H4" s="822" t="s">
        <v>327</v>
      </c>
      <c r="I4" s="822" t="s">
        <v>337</v>
      </c>
      <c r="J4" s="822" t="s">
        <v>306</v>
      </c>
      <c r="K4" s="823" t="s">
        <v>307</v>
      </c>
      <c r="L4" s="772" t="s">
        <v>330</v>
      </c>
      <c r="M4" s="772" t="s">
        <v>331</v>
      </c>
      <c r="O4" s="805" t="s">
        <v>6</v>
      </c>
      <c r="P4" s="92" t="s">
        <v>332</v>
      </c>
      <c r="Q4" s="92" t="s">
        <v>333</v>
      </c>
      <c r="R4" s="92" t="s">
        <v>289</v>
      </c>
      <c r="S4" s="92" t="s">
        <v>259</v>
      </c>
      <c r="T4" s="92" t="s">
        <v>241</v>
      </c>
      <c r="U4" s="805" t="s">
        <v>6</v>
      </c>
      <c r="V4" s="92" t="s">
        <v>332</v>
      </c>
      <c r="W4" s="92" t="s">
        <v>333</v>
      </c>
      <c r="X4" s="92" t="s">
        <v>289</v>
      </c>
      <c r="Y4" s="92" t="s">
        <v>259</v>
      </c>
      <c r="Z4" s="498" t="s">
        <v>241</v>
      </c>
    </row>
    <row r="5" spans="1:26" x14ac:dyDescent="0.2">
      <c r="A5" s="824">
        <v>2011</v>
      </c>
      <c r="B5" s="816">
        <f>+'9. Weather Adj LF'!$D$16</f>
        <v>6594.125</v>
      </c>
      <c r="C5" s="817"/>
      <c r="D5" s="818"/>
      <c r="E5" s="816">
        <f>+'9. Weather Adj LF'!$D$17</f>
        <v>66976829.959999993</v>
      </c>
      <c r="F5" s="817"/>
      <c r="G5" s="818"/>
      <c r="H5" s="816">
        <f>+E5/B5/12</f>
        <v>846.42048742883492</v>
      </c>
      <c r="I5" s="819">
        <f>(B5*L5*12)+(E5*M5)</f>
        <v>2279684.5104919998</v>
      </c>
      <c r="J5" s="817"/>
      <c r="K5" s="150"/>
      <c r="L5" s="512">
        <f>+O5</f>
        <v>18.059999999999999</v>
      </c>
      <c r="M5" s="815">
        <f>+U5</f>
        <v>1.2699999999999999E-2</v>
      </c>
      <c r="O5" s="576">
        <v>18.059999999999999</v>
      </c>
      <c r="P5" s="806">
        <v>45.35</v>
      </c>
      <c r="Q5" s="806">
        <v>323.99</v>
      </c>
      <c r="R5" s="806">
        <v>53.58</v>
      </c>
      <c r="S5" s="806">
        <v>4.92</v>
      </c>
      <c r="T5" s="806">
        <v>0</v>
      </c>
      <c r="U5" s="809">
        <v>1.2699999999999999E-2</v>
      </c>
      <c r="V5" s="810">
        <v>1.3599999999999999E-2</v>
      </c>
      <c r="W5" s="810">
        <v>2.5318000000000001</v>
      </c>
      <c r="X5" s="810">
        <v>1.61E-2</v>
      </c>
      <c r="Y5" s="810">
        <v>19.217300000000002</v>
      </c>
      <c r="Z5" s="811">
        <v>0</v>
      </c>
    </row>
    <row r="6" spans="1:26" x14ac:dyDescent="0.2">
      <c r="A6" s="824">
        <v>2012</v>
      </c>
      <c r="B6" s="816">
        <f>+'9. Weather Adj LF'!$E$16</f>
        <v>6716.25</v>
      </c>
      <c r="C6" s="828">
        <f>+B6-B5</f>
        <v>122.125</v>
      </c>
      <c r="D6" s="820">
        <f>+C6/B5</f>
        <v>1.852027372850833E-2</v>
      </c>
      <c r="E6" s="816">
        <f>+'9. Weather Adj LF'!$E$17</f>
        <v>67086975.060000002</v>
      </c>
      <c r="F6" s="828">
        <f>+E6-E5</f>
        <v>110145.10000000894</v>
      </c>
      <c r="G6" s="820">
        <f>+F6/E5</f>
        <v>1.6445254286562975E-3</v>
      </c>
      <c r="H6" s="816">
        <f t="shared" ref="H6:H14" si="0">+E6/B6/12</f>
        <v>832.39624120603014</v>
      </c>
      <c r="I6" s="819">
        <f t="shared" ref="I6:I14" si="1">(B6*L6*12)+(E6*M6)</f>
        <v>2327154.180768</v>
      </c>
      <c r="J6" s="828">
        <f>+I6-I5</f>
        <v>47469.670276000164</v>
      </c>
      <c r="K6" s="825">
        <f>+J6/I5</f>
        <v>2.082291214311725E-2</v>
      </c>
      <c r="L6" s="512">
        <f t="shared" ref="L6:L14" si="2">+O6</f>
        <v>18.22</v>
      </c>
      <c r="M6" s="815">
        <f t="shared" ref="M6:M14" si="3">+U6</f>
        <v>1.2800000000000001E-2</v>
      </c>
      <c r="O6" s="576">
        <v>18.22</v>
      </c>
      <c r="P6" s="806">
        <v>45.75</v>
      </c>
      <c r="Q6" s="806">
        <v>326.83999999999997</v>
      </c>
      <c r="R6" s="806">
        <v>54.05</v>
      </c>
      <c r="S6" s="806">
        <v>4.96</v>
      </c>
      <c r="T6" s="806">
        <v>0</v>
      </c>
      <c r="U6" s="809">
        <v>1.2800000000000001E-2</v>
      </c>
      <c r="V6" s="810">
        <v>1.37E-2</v>
      </c>
      <c r="W6" s="810">
        <v>2.5541</v>
      </c>
      <c r="X6" s="810">
        <v>1.6199999999999999E-2</v>
      </c>
      <c r="Y6" s="810">
        <v>19.386399999999998</v>
      </c>
      <c r="Z6" s="811">
        <v>0</v>
      </c>
    </row>
    <row r="7" spans="1:26" x14ac:dyDescent="0.2">
      <c r="A7" s="824">
        <v>2013</v>
      </c>
      <c r="B7" s="816">
        <f>+'9. Weather Adj LF'!$F$16</f>
        <v>6912.458333333333</v>
      </c>
      <c r="C7" s="828">
        <f>+B7-B6</f>
        <v>196.20833333333303</v>
      </c>
      <c r="D7" s="820">
        <f>+C7/B6</f>
        <v>2.9213971090017946E-2</v>
      </c>
      <c r="E7" s="816">
        <f>+'9. Weather Adj LF'!$F$17</f>
        <v>68126808.569999993</v>
      </c>
      <c r="F7" s="828">
        <f>+E7-E6</f>
        <v>1039833.5099999905</v>
      </c>
      <c r="G7" s="820">
        <f>+F7/E6</f>
        <v>1.5499782320934928E-2</v>
      </c>
      <c r="H7" s="816">
        <f t="shared" si="0"/>
        <v>821.30463197487632</v>
      </c>
      <c r="I7" s="819">
        <f t="shared" si="1"/>
        <v>2397641.1755529996</v>
      </c>
      <c r="J7" s="828">
        <f>+I7-I6</f>
        <v>70486.994784999639</v>
      </c>
      <c r="K7" s="825">
        <f>+J7/I6</f>
        <v>3.0288923427384491E-2</v>
      </c>
      <c r="L7" s="512">
        <f t="shared" si="2"/>
        <v>18.309999999999999</v>
      </c>
      <c r="M7" s="815">
        <f t="shared" si="3"/>
        <v>1.29E-2</v>
      </c>
      <c r="O7" s="576">
        <v>18.309999999999999</v>
      </c>
      <c r="P7" s="806">
        <v>45.97</v>
      </c>
      <c r="Q7" s="806">
        <v>328.41</v>
      </c>
      <c r="R7" s="806">
        <v>54.31</v>
      </c>
      <c r="S7" s="806">
        <v>4.9800000000000004</v>
      </c>
      <c r="T7" s="806">
        <v>0</v>
      </c>
      <c r="U7" s="809">
        <v>1.29E-2</v>
      </c>
      <c r="V7" s="810">
        <v>1.38E-2</v>
      </c>
      <c r="W7" s="810">
        <v>2.5663999999999998</v>
      </c>
      <c r="X7" s="810">
        <v>1.6299999999999999E-2</v>
      </c>
      <c r="Y7" s="810">
        <v>19.479500000000002</v>
      </c>
      <c r="Z7" s="811">
        <v>0</v>
      </c>
    </row>
    <row r="8" spans="1:26" x14ac:dyDescent="0.2">
      <c r="A8" s="824">
        <v>2014</v>
      </c>
      <c r="B8" s="816">
        <f>+'9. Weather Adj LF'!$G$16</f>
        <v>7110.208333333333</v>
      </c>
      <c r="C8" s="828">
        <f>+B8-B7</f>
        <v>197.75</v>
      </c>
      <c r="D8" s="820">
        <f>+C8/B7</f>
        <v>2.8607767376536329E-2</v>
      </c>
      <c r="E8" s="816">
        <f>+'9. Weather Adj LF'!$G$17</f>
        <v>68599527.920000017</v>
      </c>
      <c r="F8" s="828">
        <f>+E8-E7</f>
        <v>472719.35000002384</v>
      </c>
      <c r="G8" s="820">
        <f>+F8/E7</f>
        <v>6.9388154226292112E-3</v>
      </c>
      <c r="H8" s="816">
        <f t="shared" si="0"/>
        <v>804.00278847900643</v>
      </c>
      <c r="I8" s="819">
        <f t="shared" si="1"/>
        <v>2395039.7017919999</v>
      </c>
      <c r="J8" s="828">
        <f>+I8-I7</f>
        <v>-2601.4737609997392</v>
      </c>
      <c r="K8" s="825">
        <f>+J8/I7</f>
        <v>-1.0850137991977582E-3</v>
      </c>
      <c r="L8" s="512">
        <f t="shared" si="2"/>
        <v>17.940000000000001</v>
      </c>
      <c r="M8" s="815">
        <f t="shared" si="3"/>
        <v>1.26E-2</v>
      </c>
      <c r="O8" s="576">
        <v>17.940000000000001</v>
      </c>
      <c r="P8" s="806">
        <v>37.28</v>
      </c>
      <c r="Q8" s="806">
        <v>266.42</v>
      </c>
      <c r="R8" s="806">
        <v>20.05</v>
      </c>
      <c r="S8" s="806">
        <v>7.42</v>
      </c>
      <c r="T8" s="806">
        <v>0</v>
      </c>
      <c r="U8" s="809">
        <v>1.26E-2</v>
      </c>
      <c r="V8" s="810">
        <v>1.12E-2</v>
      </c>
      <c r="W8" s="810">
        <v>2.1025</v>
      </c>
      <c r="X8" s="810">
        <v>6.0000000000000001E-3</v>
      </c>
      <c r="Y8" s="810">
        <v>29.033799999999999</v>
      </c>
      <c r="Z8" s="811">
        <v>0</v>
      </c>
    </row>
    <row r="9" spans="1:26" x14ac:dyDescent="0.2">
      <c r="A9" s="824" t="s">
        <v>329</v>
      </c>
      <c r="B9" s="816">
        <v>7083</v>
      </c>
      <c r="C9" s="828">
        <f>+B9-B8</f>
        <v>-27.20833333333303</v>
      </c>
      <c r="D9" s="820">
        <f>+C9/B8</f>
        <v>-3.8266576811508851E-3</v>
      </c>
      <c r="E9" s="816">
        <v>67753410</v>
      </c>
      <c r="F9" s="828">
        <f>+E9-E8</f>
        <v>-846117.92000001669</v>
      </c>
      <c r="G9" s="820">
        <f>+F9/E8</f>
        <v>-1.2334165345667534E-2</v>
      </c>
      <c r="H9" s="816">
        <f t="shared" si="0"/>
        <v>797.13645348016371</v>
      </c>
      <c r="I9" s="819">
        <f t="shared" si="1"/>
        <v>2378521.2060000002</v>
      </c>
      <c r="J9" s="828">
        <f>+I9-I8</f>
        <v>-16518.495791999623</v>
      </c>
      <c r="K9" s="825">
        <f>+J9/I8</f>
        <v>-6.8969611566940918E-3</v>
      </c>
      <c r="L9" s="512">
        <f t="shared" si="2"/>
        <v>17.940000000000001</v>
      </c>
      <c r="M9" s="815">
        <f t="shared" si="3"/>
        <v>1.26E-2</v>
      </c>
      <c r="O9" s="576">
        <f>+O8</f>
        <v>17.940000000000001</v>
      </c>
      <c r="P9" s="806">
        <f>+P8</f>
        <v>37.28</v>
      </c>
      <c r="Q9" s="806">
        <f>+Q8</f>
        <v>266.42</v>
      </c>
      <c r="R9" s="806">
        <f>+R8</f>
        <v>20.05</v>
      </c>
      <c r="S9" s="806">
        <f>+S8</f>
        <v>7.42</v>
      </c>
      <c r="T9" s="806">
        <v>0</v>
      </c>
      <c r="U9" s="809">
        <f>+U8</f>
        <v>1.26E-2</v>
      </c>
      <c r="V9" s="810">
        <f>+V8</f>
        <v>1.12E-2</v>
      </c>
      <c r="W9" s="810">
        <f>+W8</f>
        <v>2.1025</v>
      </c>
      <c r="X9" s="810">
        <f>+X8</f>
        <v>6.0000000000000001E-3</v>
      </c>
      <c r="Y9" s="810">
        <f>+Y8</f>
        <v>29.033799999999999</v>
      </c>
      <c r="Z9" s="811">
        <v>0</v>
      </c>
    </row>
    <row r="10" spans="1:26" x14ac:dyDescent="0.2">
      <c r="A10" s="824">
        <v>2015</v>
      </c>
      <c r="B10" s="816">
        <f>+'9. Weather Adj LF'!$H$16</f>
        <v>7389.208333333333</v>
      </c>
      <c r="C10" s="828">
        <f>+B10-B8</f>
        <v>279</v>
      </c>
      <c r="D10" s="820">
        <f>+C10/B8</f>
        <v>3.9239356558938149E-2</v>
      </c>
      <c r="E10" s="816">
        <f>+'9. Weather Adj LF'!$H$17</f>
        <v>69624978.280000001</v>
      </c>
      <c r="F10" s="828">
        <f>+E10-E8</f>
        <v>1025450.3599999845</v>
      </c>
      <c r="G10" s="820">
        <f>+F10/E8</f>
        <v>1.4948358845790499E-2</v>
      </c>
      <c r="H10" s="816">
        <f t="shared" si="0"/>
        <v>785.21016888367615</v>
      </c>
      <c r="I10" s="819">
        <f t="shared" si="1"/>
        <v>2502342.7069840003</v>
      </c>
      <c r="J10" s="828">
        <f>+I10-I8</f>
        <v>107303.00519200042</v>
      </c>
      <c r="K10" s="825">
        <f>+J10/I8</f>
        <v>4.4802182240116901E-2</v>
      </c>
      <c r="L10" s="512">
        <f t="shared" si="2"/>
        <v>18.170000000000002</v>
      </c>
      <c r="M10" s="815">
        <f t="shared" si="3"/>
        <v>1.2800000000000001E-2</v>
      </c>
      <c r="O10" s="576">
        <v>18.170000000000002</v>
      </c>
      <c r="P10" s="806">
        <v>37.76</v>
      </c>
      <c r="Q10" s="806">
        <v>269.88</v>
      </c>
      <c r="R10" s="806">
        <v>20.309999999999999</v>
      </c>
      <c r="S10" s="806">
        <v>7.52</v>
      </c>
      <c r="T10" s="806">
        <v>0</v>
      </c>
      <c r="U10" s="809">
        <v>1.2800000000000001E-2</v>
      </c>
      <c r="V10" s="810">
        <v>1.1299999999999999E-2</v>
      </c>
      <c r="W10" s="810">
        <v>2.1297999999999999</v>
      </c>
      <c r="X10" s="810">
        <v>6.1000000000000004E-3</v>
      </c>
      <c r="Y10" s="810">
        <v>29.411200000000001</v>
      </c>
      <c r="Z10" s="811">
        <v>0</v>
      </c>
    </row>
    <row r="11" spans="1:26" x14ac:dyDescent="0.2">
      <c r="A11" s="824">
        <v>2016</v>
      </c>
      <c r="B11" s="816">
        <f>+'9. Weather Adj LF'!$I$16</f>
        <v>7660.791666666667</v>
      </c>
      <c r="C11" s="828">
        <f>+B11-B10</f>
        <v>271.58333333333394</v>
      </c>
      <c r="D11" s="820">
        <f>+C11/B10</f>
        <v>3.6754050106856367E-2</v>
      </c>
      <c r="E11" s="816">
        <f>+'9. Weather Adj LF'!$I$17</f>
        <v>74189661.459999993</v>
      </c>
      <c r="F11" s="828">
        <f>+E11-E10</f>
        <v>4564683.1799999923</v>
      </c>
      <c r="G11" s="820">
        <f>+F11/E10</f>
        <v>6.5560999698167408E-2</v>
      </c>
      <c r="H11" s="816">
        <f t="shared" si="0"/>
        <v>807.02779260193938</v>
      </c>
      <c r="I11" s="819">
        <f t="shared" si="1"/>
        <v>2663093.9523080001</v>
      </c>
      <c r="J11" s="828">
        <f>+I11-I10</f>
        <v>160751.24532399978</v>
      </c>
      <c r="K11" s="825">
        <f>+J11/I10</f>
        <v>6.4240299650142052E-2</v>
      </c>
      <c r="L11" s="512">
        <f t="shared" si="2"/>
        <v>21.06</v>
      </c>
      <c r="M11" s="815">
        <f t="shared" si="3"/>
        <v>9.7999999999999997E-3</v>
      </c>
      <c r="O11" s="576">
        <v>21.06</v>
      </c>
      <c r="P11" s="806">
        <v>38.44</v>
      </c>
      <c r="Q11" s="806">
        <v>274.74</v>
      </c>
      <c r="R11" s="806">
        <v>20.68</v>
      </c>
      <c r="S11" s="806">
        <v>7.66</v>
      </c>
      <c r="T11" s="806">
        <v>0</v>
      </c>
      <c r="U11" s="809">
        <v>9.7999999999999997E-3</v>
      </c>
      <c r="V11" s="810">
        <v>1.15E-2</v>
      </c>
      <c r="W11" s="810">
        <v>2.1680999999999999</v>
      </c>
      <c r="X11" s="810">
        <v>6.1999999999999998E-3</v>
      </c>
      <c r="Y11" s="810">
        <v>29.9406</v>
      </c>
      <c r="Z11" s="811">
        <v>0</v>
      </c>
    </row>
    <row r="12" spans="1:26" x14ac:dyDescent="0.2">
      <c r="A12" s="824">
        <v>2017</v>
      </c>
      <c r="B12" s="816">
        <f>+'9. Weather Adj LF'!$J$16</f>
        <v>7838.375</v>
      </c>
      <c r="C12" s="828">
        <f>+B12-B11</f>
        <v>177.58333333333303</v>
      </c>
      <c r="D12" s="820">
        <f>+C12/B11</f>
        <v>2.3180807031475167E-2</v>
      </c>
      <c r="E12" s="816">
        <f>+'9. Weather Adj LF'!$J$17</f>
        <v>71017298.550000012</v>
      </c>
      <c r="F12" s="828">
        <f>+E12-E11</f>
        <v>-3172362.9099999815</v>
      </c>
      <c r="G12" s="820">
        <f>+F12/E11</f>
        <v>-4.2760175037466493E-2</v>
      </c>
      <c r="H12" s="816">
        <f t="shared" si="0"/>
        <v>755.01723412059266</v>
      </c>
      <c r="I12" s="819">
        <f t="shared" si="1"/>
        <v>2728047.3804299999</v>
      </c>
      <c r="J12" s="828">
        <f>+I12-I11</f>
        <v>64953.428121999837</v>
      </c>
      <c r="K12" s="825">
        <f>+J12/I11</f>
        <v>2.4390212769514655E-2</v>
      </c>
      <c r="L12" s="512">
        <f t="shared" si="2"/>
        <v>24.02</v>
      </c>
      <c r="M12" s="815">
        <f t="shared" si="3"/>
        <v>6.6E-3</v>
      </c>
      <c r="O12" s="576">
        <v>24.02</v>
      </c>
      <c r="P12" s="806">
        <v>39.06</v>
      </c>
      <c r="Q12" s="806">
        <v>279.14</v>
      </c>
      <c r="R12" s="806">
        <v>21.01</v>
      </c>
      <c r="S12" s="806">
        <v>7.78</v>
      </c>
      <c r="T12" s="806">
        <v>0</v>
      </c>
      <c r="U12" s="809">
        <v>6.6E-3</v>
      </c>
      <c r="V12" s="810">
        <v>1.17E-2</v>
      </c>
      <c r="W12" s="810">
        <v>2.2027999999999999</v>
      </c>
      <c r="X12" s="810">
        <v>6.3E-3</v>
      </c>
      <c r="Y12" s="810">
        <v>30.419599999999999</v>
      </c>
      <c r="Z12" s="811">
        <v>0</v>
      </c>
    </row>
    <row r="13" spans="1:26" x14ac:dyDescent="0.2">
      <c r="A13" s="824" t="s">
        <v>310</v>
      </c>
      <c r="B13" s="816">
        <f>+'9. Weather Adj LF'!$K$16</f>
        <v>7976.375</v>
      </c>
      <c r="C13" s="828">
        <f>+B13-B12</f>
        <v>138</v>
      </c>
      <c r="D13" s="820">
        <f>+C13/B12</f>
        <v>1.7605689954869472E-2</v>
      </c>
      <c r="E13" s="816">
        <f>+'9. Weather Adj LF'!$K$17</f>
        <v>73760865.328503177</v>
      </c>
      <c r="F13" s="828">
        <f>+E13-E12</f>
        <v>2743566.7785031646</v>
      </c>
      <c r="G13" s="820">
        <f>+F13/E12</f>
        <v>3.8632373161470591E-2</v>
      </c>
      <c r="H13" s="816">
        <f t="shared" si="0"/>
        <v>770.61807868552626</v>
      </c>
      <c r="I13" s="819">
        <f t="shared" si="1"/>
        <v>2814356.0455840603</v>
      </c>
      <c r="J13" s="828">
        <f>+I13-I12</f>
        <v>86308.665154060349</v>
      </c>
      <c r="K13" s="825">
        <f>+J13/I12</f>
        <v>3.1637524250204267E-2</v>
      </c>
      <c r="L13" s="512">
        <f t="shared" si="2"/>
        <v>26.86</v>
      </c>
      <c r="M13" s="815">
        <f t="shared" si="3"/>
        <v>3.3E-3</v>
      </c>
      <c r="O13" s="576">
        <v>26.86</v>
      </c>
      <c r="P13" s="806">
        <v>39.409999999999997</v>
      </c>
      <c r="Q13" s="806">
        <v>281.64999999999998</v>
      </c>
      <c r="R13" s="806">
        <v>21.1</v>
      </c>
      <c r="S13" s="806">
        <v>7.85</v>
      </c>
      <c r="T13" s="806">
        <v>0</v>
      </c>
      <c r="U13" s="809">
        <v>3.3E-3</v>
      </c>
      <c r="V13" s="810">
        <v>1.18E-2</v>
      </c>
      <c r="W13" s="810">
        <v>2.2225999999999999</v>
      </c>
      <c r="X13" s="810">
        <v>6.4000000000000003E-3</v>
      </c>
      <c r="Y13" s="810">
        <v>30.6934</v>
      </c>
      <c r="Z13" s="811">
        <v>0</v>
      </c>
    </row>
    <row r="14" spans="1:26" ht="13.5" thickBot="1" x14ac:dyDescent="0.25">
      <c r="A14" s="824" t="s">
        <v>309</v>
      </c>
      <c r="B14" s="816">
        <f>+'9. Weather Adj LF'!$L$16</f>
        <v>8152.375</v>
      </c>
      <c r="C14" s="828">
        <f>+B14-B13</f>
        <v>176</v>
      </c>
      <c r="D14" s="820">
        <f>+C14/B13</f>
        <v>2.2065161179107052E-2</v>
      </c>
      <c r="E14" s="816">
        <f>+'9. Weather Adj LF'!$L$17</f>
        <v>74690535.299300596</v>
      </c>
      <c r="F14" s="828">
        <f>+E14-E13</f>
        <v>929669.97079741955</v>
      </c>
      <c r="G14" s="820">
        <f>+F14/E13</f>
        <v>1.2603837640149947E-2</v>
      </c>
      <c r="H14" s="816">
        <f t="shared" si="0"/>
        <v>763.48441711056182</v>
      </c>
      <c r="I14" s="819">
        <f t="shared" si="1"/>
        <v>2958333.84</v>
      </c>
      <c r="J14" s="828">
        <f>+I14-I13</f>
        <v>143977.7944159396</v>
      </c>
      <c r="K14" s="825">
        <f>+J14/I13</f>
        <v>5.1158343892504919E-2</v>
      </c>
      <c r="L14" s="512">
        <f t="shared" si="2"/>
        <v>30.24</v>
      </c>
      <c r="M14" s="815">
        <f t="shared" si="3"/>
        <v>0</v>
      </c>
      <c r="O14" s="807">
        <v>30.24</v>
      </c>
      <c r="P14" s="808">
        <v>39.409999999999997</v>
      </c>
      <c r="Q14" s="808">
        <v>281.64999999999998</v>
      </c>
      <c r="R14" s="808">
        <v>20.149999999999999</v>
      </c>
      <c r="S14" s="808">
        <v>6.87</v>
      </c>
      <c r="T14" s="808">
        <v>4538.8100000000004</v>
      </c>
      <c r="U14" s="812">
        <v>0</v>
      </c>
      <c r="V14" s="813">
        <v>1.3299999999999999E-2</v>
      </c>
      <c r="W14" s="813">
        <v>2.6132</v>
      </c>
      <c r="X14" s="813">
        <v>8.5000000000000006E-3</v>
      </c>
      <c r="Y14" s="813">
        <v>17.760899999999999</v>
      </c>
      <c r="Z14" s="814">
        <f>+W14</f>
        <v>2.6132</v>
      </c>
    </row>
    <row r="15" spans="1:26" ht="13.5" thickBot="1" x14ac:dyDescent="0.25">
      <c r="A15" s="63" t="s">
        <v>313</v>
      </c>
      <c r="B15" s="64"/>
      <c r="C15" s="64"/>
      <c r="D15" s="826">
        <f>AVERAGE(D6,D7,D8,D10,D11,D12,D13,D14)</f>
        <v>2.6898384628288603E-2</v>
      </c>
      <c r="E15" s="64"/>
      <c r="F15" s="64"/>
      <c r="G15" s="826">
        <f>AVERAGE(G6,G7,G8,G10,G11,G12,G13,G14)</f>
        <v>1.4133564685041549E-2</v>
      </c>
      <c r="H15" s="64"/>
      <c r="I15" s="64"/>
      <c r="J15" s="64"/>
      <c r="K15" s="827">
        <f>AVERAGE(K6,K7,K8,K10,K11,K12,K13,K14)</f>
        <v>3.3281923071723347E-2</v>
      </c>
    </row>
    <row r="16" spans="1:26" x14ac:dyDescent="0.2">
      <c r="A16" s="296" t="s">
        <v>336</v>
      </c>
    </row>
    <row r="17" spans="1:13" x14ac:dyDescent="0.2">
      <c r="A17" s="296" t="s">
        <v>338</v>
      </c>
    </row>
    <row r="19" spans="1:13" ht="13.5" thickBot="1" x14ac:dyDescent="0.25">
      <c r="A19" s="296" t="s">
        <v>332</v>
      </c>
    </row>
    <row r="20" spans="1:13" ht="38.25" x14ac:dyDescent="0.2">
      <c r="A20" s="821" t="s">
        <v>32</v>
      </c>
      <c r="B20" s="822" t="s">
        <v>305</v>
      </c>
      <c r="C20" s="822" t="s">
        <v>306</v>
      </c>
      <c r="D20" s="822" t="s">
        <v>307</v>
      </c>
      <c r="E20" s="822" t="s">
        <v>328</v>
      </c>
      <c r="F20" s="822" t="s">
        <v>306</v>
      </c>
      <c r="G20" s="822" t="s">
        <v>307</v>
      </c>
      <c r="H20" s="822" t="s">
        <v>327</v>
      </c>
      <c r="I20" s="822" t="s">
        <v>337</v>
      </c>
      <c r="J20" s="822" t="s">
        <v>306</v>
      </c>
      <c r="K20" s="823" t="s">
        <v>307</v>
      </c>
      <c r="L20" s="772" t="s">
        <v>330</v>
      </c>
      <c r="M20" s="772" t="s">
        <v>331</v>
      </c>
    </row>
    <row r="21" spans="1:13" x14ac:dyDescent="0.2">
      <c r="A21" s="824">
        <v>2011</v>
      </c>
      <c r="B21" s="816">
        <f>+'9. Weather Adj LF'!$D$20</f>
        <v>1234.6666666666667</v>
      </c>
      <c r="C21" s="817"/>
      <c r="D21" s="818"/>
      <c r="E21" s="816">
        <f>+'9. Weather Adj LF'!$D$21</f>
        <v>34321035.060000002</v>
      </c>
      <c r="F21" s="817"/>
      <c r="G21" s="818"/>
      <c r="H21" s="816">
        <f>+E21/B21/12</f>
        <v>2316.4845477861772</v>
      </c>
      <c r="I21" s="819">
        <f>(B21*L21*12)+(E21*M21)</f>
        <v>1138671.6768160001</v>
      </c>
      <c r="J21" s="817"/>
      <c r="K21" s="150"/>
      <c r="L21" s="512">
        <f>+P5</f>
        <v>45.35</v>
      </c>
      <c r="M21" s="815">
        <f>+V5</f>
        <v>1.3599999999999999E-2</v>
      </c>
    </row>
    <row r="22" spans="1:13" x14ac:dyDescent="0.2">
      <c r="A22" s="824">
        <v>2012</v>
      </c>
      <c r="B22" s="816">
        <f>+'9. Weather Adj LF'!$E$20</f>
        <v>1268.9583333333333</v>
      </c>
      <c r="C22" s="828">
        <f>+B22-B21</f>
        <v>34.291666666666515</v>
      </c>
      <c r="D22" s="820">
        <f>+C22/B21</f>
        <v>2.7774028077753657E-2</v>
      </c>
      <c r="E22" s="816">
        <f>+'9. Weather Adj LF'!$E$21</f>
        <v>35374878.009999998</v>
      </c>
      <c r="F22" s="828">
        <f>+E22-E21</f>
        <v>1053842.9499999955</v>
      </c>
      <c r="G22" s="820">
        <f>+F22/E21</f>
        <v>3.0705453613437596E-2</v>
      </c>
      <c r="H22" s="816">
        <f t="shared" ref="H22:H30" si="4">+E22/B22/12</f>
        <v>2323.091644065014</v>
      </c>
      <c r="I22" s="819">
        <f t="shared" ref="I22:I30" si="5">(B22*L22*12)+(E22*M22)</f>
        <v>1181293.953737</v>
      </c>
      <c r="J22" s="828">
        <f>+I22-I21</f>
        <v>42622.276920999866</v>
      </c>
      <c r="K22" s="825">
        <f>+J22/I21</f>
        <v>3.7431577327173012E-2</v>
      </c>
      <c r="L22" s="512">
        <f t="shared" ref="L22:L30" si="6">+P6</f>
        <v>45.75</v>
      </c>
      <c r="M22" s="815">
        <f t="shared" ref="M22:M30" si="7">+V6</f>
        <v>1.37E-2</v>
      </c>
    </row>
    <row r="23" spans="1:13" x14ac:dyDescent="0.2">
      <c r="A23" s="824">
        <v>2013</v>
      </c>
      <c r="B23" s="816">
        <f>+'9. Weather Adj LF'!$F$20</f>
        <v>1221.0416666666667</v>
      </c>
      <c r="C23" s="828">
        <f>+B23-B22</f>
        <v>-47.916666666666515</v>
      </c>
      <c r="D23" s="820">
        <f>+C23/B22</f>
        <v>-3.7760630438351546E-2</v>
      </c>
      <c r="E23" s="816">
        <f>+'9. Weather Adj LF'!$F$21</f>
        <v>35291130.910000004</v>
      </c>
      <c r="F23" s="828">
        <f>+E23-E22</f>
        <v>-83747.09999999404</v>
      </c>
      <c r="G23" s="820">
        <f>+F23/E22</f>
        <v>-2.3674173512717098E-3</v>
      </c>
      <c r="H23" s="816">
        <f t="shared" si="4"/>
        <v>2408.5399017232553</v>
      </c>
      <c r="I23" s="819">
        <f t="shared" si="5"/>
        <v>1160593.031558</v>
      </c>
      <c r="J23" s="828">
        <f>+I23-I22</f>
        <v>-20700.922178999986</v>
      </c>
      <c r="K23" s="825">
        <f>+J23/I22</f>
        <v>-1.7523938147243564E-2</v>
      </c>
      <c r="L23" s="512">
        <f t="shared" si="6"/>
        <v>45.97</v>
      </c>
      <c r="M23" s="815">
        <f t="shared" si="7"/>
        <v>1.38E-2</v>
      </c>
    </row>
    <row r="24" spans="1:13" x14ac:dyDescent="0.2">
      <c r="A24" s="824">
        <v>2014</v>
      </c>
      <c r="B24" s="816">
        <f>+'9. Weather Adj LF'!$G$20</f>
        <v>1311.8333333333333</v>
      </c>
      <c r="C24" s="828">
        <f>+B24-B23</f>
        <v>90.791666666666515</v>
      </c>
      <c r="D24" s="820">
        <f>+C24/B23</f>
        <v>7.4355911960416188E-2</v>
      </c>
      <c r="E24" s="816">
        <f>+'9. Weather Adj LF'!$G$21</f>
        <v>39288460.370000005</v>
      </c>
      <c r="F24" s="828">
        <f>+E24-E23</f>
        <v>3997329.4600000009</v>
      </c>
      <c r="G24" s="820">
        <f>+F24/E23</f>
        <v>0.11326725318590819</v>
      </c>
      <c r="H24" s="816">
        <f t="shared" si="4"/>
        <v>2495.7731145978914</v>
      </c>
      <c r="I24" s="819">
        <f t="shared" si="5"/>
        <v>1026892.516144</v>
      </c>
      <c r="J24" s="828">
        <f>+I24-I23</f>
        <v>-133700.51541400002</v>
      </c>
      <c r="K24" s="825">
        <f>+J24/I23</f>
        <v>-0.11520017075625394</v>
      </c>
      <c r="L24" s="512">
        <f t="shared" si="6"/>
        <v>37.28</v>
      </c>
      <c r="M24" s="815">
        <f t="shared" si="7"/>
        <v>1.12E-2</v>
      </c>
    </row>
    <row r="25" spans="1:13" x14ac:dyDescent="0.2">
      <c r="A25" s="824" t="s">
        <v>329</v>
      </c>
      <c r="B25" s="816">
        <v>1291</v>
      </c>
      <c r="C25" s="828">
        <f>+B25-B24</f>
        <v>-20.833333333333258</v>
      </c>
      <c r="D25" s="820">
        <f>+C25/B24</f>
        <v>-1.5881082454580048E-2</v>
      </c>
      <c r="E25" s="816">
        <v>37260698</v>
      </c>
      <c r="F25" s="828">
        <f>+E25-E24</f>
        <v>-2027762.3700000048</v>
      </c>
      <c r="G25" s="820">
        <f>+F25/E24</f>
        <v>-5.1612161711187071E-2</v>
      </c>
      <c r="H25" s="816">
        <f t="shared" si="4"/>
        <v>2405.1573715466047</v>
      </c>
      <c r="I25" s="819">
        <f t="shared" si="5"/>
        <v>994861.57759999996</v>
      </c>
      <c r="J25" s="828">
        <f>+I25-I24</f>
        <v>-32030.938544000033</v>
      </c>
      <c r="K25" s="825">
        <f>+J25/I24</f>
        <v>-3.1192104373568508E-2</v>
      </c>
      <c r="L25" s="512">
        <f t="shared" si="6"/>
        <v>37.28</v>
      </c>
      <c r="M25" s="815">
        <f t="shared" si="7"/>
        <v>1.12E-2</v>
      </c>
    </row>
    <row r="26" spans="1:13" x14ac:dyDescent="0.2">
      <c r="A26" s="824">
        <v>2015</v>
      </c>
      <c r="B26" s="816">
        <f>+'9. Weather Adj LF'!$H$20</f>
        <v>1321.5416666666667</v>
      </c>
      <c r="C26" s="828">
        <f>+B26-B24</f>
        <v>9.7083333333334849</v>
      </c>
      <c r="D26" s="820">
        <f>+C26/B24</f>
        <v>7.400584423834445E-3</v>
      </c>
      <c r="E26" s="816">
        <f>+'9. Weather Adj LF'!$H$21</f>
        <v>41172287.869999997</v>
      </c>
      <c r="F26" s="828">
        <f>+E26-E24</f>
        <v>1883827.4999999925</v>
      </c>
      <c r="G26" s="820">
        <f>+F26/E24</f>
        <v>4.7948621102965161E-2</v>
      </c>
      <c r="H26" s="816">
        <f t="shared" si="4"/>
        <v>2596.2283866696093</v>
      </c>
      <c r="I26" s="819">
        <f t="shared" si="5"/>
        <v>1064063.8129309998</v>
      </c>
      <c r="J26" s="828">
        <f>+I26-I24</f>
        <v>37171.296786999796</v>
      </c>
      <c r="K26" s="825">
        <f>+J26/I24</f>
        <v>3.6197845638780861E-2</v>
      </c>
      <c r="L26" s="512">
        <f t="shared" si="6"/>
        <v>37.76</v>
      </c>
      <c r="M26" s="815">
        <f t="shared" si="7"/>
        <v>1.1299999999999999E-2</v>
      </c>
    </row>
    <row r="27" spans="1:13" x14ac:dyDescent="0.2">
      <c r="A27" s="824">
        <v>2016</v>
      </c>
      <c r="B27" s="816">
        <f>+'9. Weather Adj LF'!$I$20</f>
        <v>1332.7083333333333</v>
      </c>
      <c r="C27" s="828">
        <f>+B27-B26</f>
        <v>11.166666666666515</v>
      </c>
      <c r="D27" s="820">
        <f>+C27/B26</f>
        <v>8.449727275593415E-3</v>
      </c>
      <c r="E27" s="816">
        <f>+'9. Weather Adj LF'!$I$21</f>
        <v>43510840.949999996</v>
      </c>
      <c r="F27" s="828">
        <f>+E27-E26</f>
        <v>2338553.0799999982</v>
      </c>
      <c r="G27" s="820">
        <f>+F27/E26</f>
        <v>5.679920162279771E-2</v>
      </c>
      <c r="H27" s="816">
        <f t="shared" si="4"/>
        <v>2720.7028888541504</v>
      </c>
      <c r="I27" s="819">
        <f t="shared" si="5"/>
        <v>1115126.3709249999</v>
      </c>
      <c r="J27" s="828">
        <f>+I27-I26</f>
        <v>51062.557994000148</v>
      </c>
      <c r="K27" s="825">
        <f>+J27/I26</f>
        <v>4.7988247860197973E-2</v>
      </c>
      <c r="L27" s="512">
        <f t="shared" si="6"/>
        <v>38.44</v>
      </c>
      <c r="M27" s="815">
        <f t="shared" si="7"/>
        <v>1.15E-2</v>
      </c>
    </row>
    <row r="28" spans="1:13" x14ac:dyDescent="0.2">
      <c r="A28" s="824">
        <v>2017</v>
      </c>
      <c r="B28" s="816">
        <f>+'9. Weather Adj LF'!$J$20</f>
        <v>1331.6666666666667</v>
      </c>
      <c r="C28" s="828">
        <f>+B28-B27</f>
        <v>-1.0416666666665151</v>
      </c>
      <c r="D28" s="820">
        <f>+C28/B27</f>
        <v>-7.8161638267926724E-4</v>
      </c>
      <c r="E28" s="816">
        <f>+'9. Weather Adj LF'!$J$21</f>
        <v>40733064.149999999</v>
      </c>
      <c r="F28" s="828">
        <f>+E28-E27</f>
        <v>-2777776.799999997</v>
      </c>
      <c r="G28" s="820">
        <f>+F28/E27</f>
        <v>-6.38410276462376E-2</v>
      </c>
      <c r="H28" s="816">
        <f t="shared" si="4"/>
        <v>2549.0027628285357</v>
      </c>
      <c r="I28" s="819">
        <f t="shared" si="5"/>
        <v>1100755.6505550002</v>
      </c>
      <c r="J28" s="828">
        <f>+I28-I27</f>
        <v>-14370.720369999763</v>
      </c>
      <c r="K28" s="825">
        <f>+J28/I27</f>
        <v>-1.2887077863721595E-2</v>
      </c>
      <c r="L28" s="512">
        <f t="shared" si="6"/>
        <v>39.06</v>
      </c>
      <c r="M28" s="815">
        <f t="shared" si="7"/>
        <v>1.17E-2</v>
      </c>
    </row>
    <row r="29" spans="1:13" x14ac:dyDescent="0.2">
      <c r="A29" s="824" t="s">
        <v>310</v>
      </c>
      <c r="B29" s="816">
        <f>+'9. Weather Adj LF'!$K$20</f>
        <v>1336.6666666666667</v>
      </c>
      <c r="C29" s="828">
        <f>+B29-B28</f>
        <v>5</v>
      </c>
      <c r="D29" s="820">
        <f>+C29/B28</f>
        <v>3.7546933667083854E-3</v>
      </c>
      <c r="E29" s="816">
        <f>+'9. Weather Adj LF'!$K$21</f>
        <v>42369980.848468766</v>
      </c>
      <c r="F29" s="828">
        <f>+E29-E28</f>
        <v>1636916.6984687671</v>
      </c>
      <c r="G29" s="820">
        <f>+F29/E28</f>
        <v>4.0186436562709885E-2</v>
      </c>
      <c r="H29" s="816">
        <f t="shared" si="4"/>
        <v>2641.5200030217434</v>
      </c>
      <c r="I29" s="819">
        <f t="shared" si="5"/>
        <v>1132102.1740119315</v>
      </c>
      <c r="J29" s="828">
        <f>+I29-I28</f>
        <v>31346.523456931347</v>
      </c>
      <c r="K29" s="825">
        <f>+J29/I28</f>
        <v>2.847727689712649E-2</v>
      </c>
      <c r="L29" s="512">
        <f t="shared" si="6"/>
        <v>39.409999999999997</v>
      </c>
      <c r="M29" s="815">
        <f t="shared" si="7"/>
        <v>1.18E-2</v>
      </c>
    </row>
    <row r="30" spans="1:13" x14ac:dyDescent="0.2">
      <c r="A30" s="824" t="s">
        <v>309</v>
      </c>
      <c r="B30" s="816">
        <f>+'9. Weather Adj LF'!$L$20</f>
        <v>1341.6666666666667</v>
      </c>
      <c r="C30" s="828">
        <f>+B30-B29</f>
        <v>5</v>
      </c>
      <c r="D30" s="820">
        <f>+C30/B29</f>
        <v>3.740648379052369E-3</v>
      </c>
      <c r="E30" s="816">
        <f>+'9. Weather Adj LF'!$L$21</f>
        <v>42903766.327367291</v>
      </c>
      <c r="F30" s="828">
        <f>+E30-E29</f>
        <v>533785.47889852524</v>
      </c>
      <c r="G30" s="820">
        <f>+F30/E29</f>
        <v>1.2598199673668629E-2</v>
      </c>
      <c r="H30" s="816">
        <f t="shared" si="4"/>
        <v>2664.8302066687756</v>
      </c>
      <c r="I30" s="819">
        <f t="shared" si="5"/>
        <v>1205121.0921539851</v>
      </c>
      <c r="J30" s="828">
        <f>+I30-I29</f>
        <v>73018.918142053531</v>
      </c>
      <c r="K30" s="825">
        <f>+J30/I29</f>
        <v>6.4498523029321533E-2</v>
      </c>
      <c r="L30" s="512">
        <f t="shared" si="6"/>
        <v>39.409999999999997</v>
      </c>
      <c r="M30" s="815">
        <f t="shared" si="7"/>
        <v>1.3299999999999999E-2</v>
      </c>
    </row>
    <row r="31" spans="1:13" ht="13.5" thickBot="1" x14ac:dyDescent="0.25">
      <c r="A31" s="63" t="s">
        <v>313</v>
      </c>
      <c r="B31" s="64"/>
      <c r="C31" s="64"/>
      <c r="D31" s="826">
        <f>AVERAGE(D22,D23,D24,D26,D27,D28,D29,D30)</f>
        <v>1.0866668332790956E-2</v>
      </c>
      <c r="E31" s="64"/>
      <c r="F31" s="64"/>
      <c r="G31" s="826">
        <f>AVERAGE(G22,G23,G24,G26,G27,G28,G29,G30)</f>
        <v>2.9412090095497227E-2</v>
      </c>
      <c r="H31" s="64"/>
      <c r="I31" s="64"/>
      <c r="J31" s="64"/>
      <c r="K31" s="827">
        <f>AVERAGE(K22,K23,K24,K26,K27,K28,K29,K30)</f>
        <v>8.6227854981725978E-3</v>
      </c>
    </row>
    <row r="32" spans="1:13" x14ac:dyDescent="0.2">
      <c r="A32" s="296" t="s">
        <v>336</v>
      </c>
    </row>
    <row r="33" spans="1:13" x14ac:dyDescent="0.2">
      <c r="A33" s="296" t="s">
        <v>338</v>
      </c>
    </row>
    <row r="35" spans="1:13" ht="13.5" thickBot="1" x14ac:dyDescent="0.25">
      <c r="A35" s="296" t="s">
        <v>333</v>
      </c>
    </row>
    <row r="36" spans="1:13" ht="38.25" x14ac:dyDescent="0.2">
      <c r="A36" s="821" t="s">
        <v>32</v>
      </c>
      <c r="B36" s="822" t="s">
        <v>305</v>
      </c>
      <c r="C36" s="822" t="s">
        <v>306</v>
      </c>
      <c r="D36" s="822" t="s">
        <v>307</v>
      </c>
      <c r="E36" s="822" t="s">
        <v>340</v>
      </c>
      <c r="F36" s="822" t="s">
        <v>306</v>
      </c>
      <c r="G36" s="822" t="s">
        <v>307</v>
      </c>
      <c r="H36" s="822" t="s">
        <v>327</v>
      </c>
      <c r="I36" s="822" t="s">
        <v>337</v>
      </c>
      <c r="J36" s="822" t="s">
        <v>306</v>
      </c>
      <c r="K36" s="823" t="s">
        <v>307</v>
      </c>
      <c r="L36" s="772" t="s">
        <v>330</v>
      </c>
      <c r="M36" s="772" t="s">
        <v>331</v>
      </c>
    </row>
    <row r="37" spans="1:13" x14ac:dyDescent="0.2">
      <c r="A37" s="824">
        <v>2011</v>
      </c>
      <c r="B37" s="816">
        <f>+'9. Weather Adj LF'!$D$24</f>
        <v>120.04166666666667</v>
      </c>
      <c r="C37" s="817"/>
      <c r="D37" s="818"/>
      <c r="E37" s="816">
        <f>+'9. Weather Adj LF'!$D$26</f>
        <v>199917.50000000003</v>
      </c>
      <c r="F37" s="817"/>
      <c r="G37" s="818"/>
      <c r="H37" s="816">
        <f>+E37/B37/12</f>
        <v>138.78340853870185</v>
      </c>
      <c r="I37" s="819">
        <f>(B37*L37*12)+(E37*M37)</f>
        <v>972858.72149999999</v>
      </c>
      <c r="J37" s="817"/>
      <c r="K37" s="150"/>
      <c r="L37" s="512">
        <f>+Q5</f>
        <v>323.99</v>
      </c>
      <c r="M37" s="815">
        <f>+W5</f>
        <v>2.5318000000000001</v>
      </c>
    </row>
    <row r="38" spans="1:13" x14ac:dyDescent="0.2">
      <c r="A38" s="824">
        <v>2012</v>
      </c>
      <c r="B38" s="816">
        <f>+'9. Weather Adj LF'!$E$24</f>
        <v>117.70833333333333</v>
      </c>
      <c r="C38" s="828">
        <f>+B38-B37</f>
        <v>-2.3333333333333428</v>
      </c>
      <c r="D38" s="820">
        <f>+C38/B37</f>
        <v>-1.9437695244706777E-2</v>
      </c>
      <c r="E38" s="816">
        <f>+'9. Weather Adj LF'!$E$26</f>
        <v>202737.81</v>
      </c>
      <c r="F38" s="828">
        <f>+E38-E37</f>
        <v>2820.3099999999686</v>
      </c>
      <c r="G38" s="820">
        <f>+F38/E37</f>
        <v>1.4107369289831896E-2</v>
      </c>
      <c r="H38" s="816">
        <f t="shared" ref="H38:H46" si="8">+E38/B38/12</f>
        <v>143.53119292035399</v>
      </c>
      <c r="I38" s="819">
        <f t="shared" ref="I38:I46" si="9">(B38*L38*12)+(E38*M38)</f>
        <v>979474.14052100002</v>
      </c>
      <c r="J38" s="828">
        <f>+I38-I37</f>
        <v>6615.4190210000379</v>
      </c>
      <c r="K38" s="825">
        <f>+J38/I37</f>
        <v>6.7999791488738155E-3</v>
      </c>
      <c r="L38" s="512">
        <f t="shared" ref="L38:L46" si="10">+Q6</f>
        <v>326.83999999999997</v>
      </c>
      <c r="M38" s="815">
        <f t="shared" ref="M38:M46" si="11">+W6</f>
        <v>2.5541</v>
      </c>
    </row>
    <row r="39" spans="1:13" x14ac:dyDescent="0.2">
      <c r="A39" s="824">
        <v>2013</v>
      </c>
      <c r="B39" s="816">
        <f>+'9. Weather Adj LF'!$F$24</f>
        <v>117.875</v>
      </c>
      <c r="C39" s="828">
        <f>+B39-B38</f>
        <v>0.1666666666666714</v>
      </c>
      <c r="D39" s="820">
        <f>+C39/B38</f>
        <v>1.4159292035398634E-3</v>
      </c>
      <c r="E39" s="816">
        <f>+'9. Weather Adj LF'!$F$26</f>
        <v>204592.81999999998</v>
      </c>
      <c r="F39" s="828">
        <f>+E39-E38</f>
        <v>1855.0099999999802</v>
      </c>
      <c r="G39" s="820">
        <f>+F39/E38</f>
        <v>9.1497979582593897E-3</v>
      </c>
      <c r="H39" s="816">
        <f t="shared" si="8"/>
        <v>144.63967479674795</v>
      </c>
      <c r="I39" s="819">
        <f t="shared" si="9"/>
        <v>989602.95824799989</v>
      </c>
      <c r="J39" s="828">
        <f>+I39-I38</f>
        <v>10128.817726999871</v>
      </c>
      <c r="K39" s="825">
        <f>+J39/I38</f>
        <v>1.0341077224981324E-2</v>
      </c>
      <c r="L39" s="512">
        <f t="shared" si="10"/>
        <v>328.41</v>
      </c>
      <c r="M39" s="815">
        <f t="shared" si="11"/>
        <v>2.5663999999999998</v>
      </c>
    </row>
    <row r="40" spans="1:13" x14ac:dyDescent="0.2">
      <c r="A40" s="824">
        <v>2014</v>
      </c>
      <c r="B40" s="816">
        <f>+'9. Weather Adj LF'!$G$24</f>
        <v>129.375</v>
      </c>
      <c r="C40" s="828">
        <f>+B40-B39</f>
        <v>11.5</v>
      </c>
      <c r="D40" s="820">
        <f>+C40/B39</f>
        <v>9.7560975609756101E-2</v>
      </c>
      <c r="E40" s="816">
        <f>+'9. Weather Adj LF'!$G$26</f>
        <v>208042.52000000002</v>
      </c>
      <c r="F40" s="828">
        <f>+E40-E39</f>
        <v>3449.7000000000407</v>
      </c>
      <c r="G40" s="820">
        <f>+F40/E39</f>
        <v>1.6861295523469697E-2</v>
      </c>
      <c r="H40" s="816">
        <f t="shared" si="8"/>
        <v>134.00484380032208</v>
      </c>
      <c r="I40" s="819">
        <f t="shared" si="9"/>
        <v>851026.44830000005</v>
      </c>
      <c r="J40" s="828">
        <f>+I40-I39</f>
        <v>-138576.50994799985</v>
      </c>
      <c r="K40" s="825">
        <f>+J40/I39</f>
        <v>-0.14003243300054063</v>
      </c>
      <c r="L40" s="512">
        <f t="shared" si="10"/>
        <v>266.42</v>
      </c>
      <c r="M40" s="815">
        <f t="shared" si="11"/>
        <v>2.1025</v>
      </c>
    </row>
    <row r="41" spans="1:13" x14ac:dyDescent="0.2">
      <c r="A41" s="824" t="s">
        <v>329</v>
      </c>
      <c r="B41" s="816">
        <v>125</v>
      </c>
      <c r="C41" s="828">
        <f>+B41-B40</f>
        <v>-4.375</v>
      </c>
      <c r="D41" s="820">
        <f>+C41/B40</f>
        <v>-3.3816425120772944E-2</v>
      </c>
      <c r="E41" s="816">
        <v>201178</v>
      </c>
      <c r="F41" s="828">
        <f>+E41-E40</f>
        <v>-6864.5200000000186</v>
      </c>
      <c r="G41" s="820">
        <f>+F41/E40</f>
        <v>-3.2995754906256752E-2</v>
      </c>
      <c r="H41" s="816">
        <f t="shared" si="8"/>
        <v>134.11866666666666</v>
      </c>
      <c r="I41" s="819">
        <f t="shared" si="9"/>
        <v>822606.745</v>
      </c>
      <c r="J41" s="828">
        <f>+I41-I40</f>
        <v>-28419.703300000052</v>
      </c>
      <c r="K41" s="825">
        <f>+J41/I40</f>
        <v>-3.3394618177579438E-2</v>
      </c>
      <c r="L41" s="512">
        <f t="shared" si="10"/>
        <v>266.42</v>
      </c>
      <c r="M41" s="815">
        <f t="shared" si="11"/>
        <v>2.1025</v>
      </c>
    </row>
    <row r="42" spans="1:13" x14ac:dyDescent="0.2">
      <c r="A42" s="824">
        <v>2015</v>
      </c>
      <c r="B42" s="816">
        <f>+'9. Weather Adj LF'!$H$24</f>
        <v>128</v>
      </c>
      <c r="C42" s="828">
        <f>+B42-B40</f>
        <v>-1.375</v>
      </c>
      <c r="D42" s="820">
        <f>+C42/B40</f>
        <v>-1.0628019323671498E-2</v>
      </c>
      <c r="E42" s="816">
        <f>+'9. Weather Adj LF'!$H$26</f>
        <v>213948.53999999998</v>
      </c>
      <c r="F42" s="828">
        <f>+E42-E40</f>
        <v>5906.0199999999604</v>
      </c>
      <c r="G42" s="820">
        <f>+F42/E40</f>
        <v>2.8388523653722134E-2</v>
      </c>
      <c r="H42" s="816">
        <f t="shared" si="8"/>
        <v>139.28941406249999</v>
      </c>
      <c r="I42" s="819">
        <f t="shared" si="9"/>
        <v>870203.28049199993</v>
      </c>
      <c r="J42" s="828">
        <f>+I42-I40</f>
        <v>19176.832191999885</v>
      </c>
      <c r="K42" s="825">
        <f>+J42/I40</f>
        <v>2.253376758185047E-2</v>
      </c>
      <c r="L42" s="512">
        <f t="shared" si="10"/>
        <v>269.88</v>
      </c>
      <c r="M42" s="815">
        <f t="shared" si="11"/>
        <v>2.1297999999999999</v>
      </c>
    </row>
    <row r="43" spans="1:13" x14ac:dyDescent="0.2">
      <c r="A43" s="824">
        <v>2016</v>
      </c>
      <c r="B43" s="816">
        <f>+'9. Weather Adj LF'!$I$24</f>
        <v>121.5</v>
      </c>
      <c r="C43" s="828">
        <f>+B43-B42</f>
        <v>-6.5</v>
      </c>
      <c r="D43" s="820">
        <f>+C43/B42</f>
        <v>-5.078125E-2</v>
      </c>
      <c r="E43" s="816">
        <f>+'9. Weather Adj LF'!$I$26</f>
        <v>211155.36</v>
      </c>
      <c r="F43" s="828">
        <f>+E43-E42</f>
        <v>-2793.179999999993</v>
      </c>
      <c r="G43" s="820">
        <f>+F43/E42</f>
        <v>-1.3055382383072085E-2</v>
      </c>
      <c r="H43" s="816">
        <f t="shared" si="8"/>
        <v>144.82534979423869</v>
      </c>
      <c r="I43" s="819">
        <f t="shared" si="9"/>
        <v>858376.85601600003</v>
      </c>
      <c r="J43" s="828">
        <f>+I43-I42</f>
        <v>-11826.424475999898</v>
      </c>
      <c r="K43" s="825">
        <f>+J43/I42</f>
        <v>-1.3590415873074409E-2</v>
      </c>
      <c r="L43" s="512">
        <f t="shared" si="10"/>
        <v>274.74</v>
      </c>
      <c r="M43" s="815">
        <f t="shared" si="11"/>
        <v>2.1680999999999999</v>
      </c>
    </row>
    <row r="44" spans="1:13" x14ac:dyDescent="0.2">
      <c r="A44" s="824">
        <v>2017</v>
      </c>
      <c r="B44" s="816">
        <f>+'9. Weather Adj LF'!$J$24</f>
        <v>128.95833333333334</v>
      </c>
      <c r="C44" s="828">
        <f>+B44-B43</f>
        <v>7.4583333333333428</v>
      </c>
      <c r="D44" s="820">
        <f>+C44/B43</f>
        <v>6.1385459533607759E-2</v>
      </c>
      <c r="E44" s="816">
        <f>+'9. Weather Adj LF'!$J$26</f>
        <v>211533.96999999997</v>
      </c>
      <c r="F44" s="828">
        <f>+E44-E43</f>
        <v>378.60999999998603</v>
      </c>
      <c r="G44" s="820">
        <f>+F44/E43</f>
        <v>1.7930399682962632E-3</v>
      </c>
      <c r="H44" s="816">
        <f t="shared" si="8"/>
        <v>136.69400323101775</v>
      </c>
      <c r="I44" s="819">
        <f t="shared" si="9"/>
        <v>897936.17911599996</v>
      </c>
      <c r="J44" s="828">
        <f>+I44-I43</f>
        <v>39559.323099999921</v>
      </c>
      <c r="K44" s="825">
        <f>+J44/I43</f>
        <v>4.6086194918636691E-2</v>
      </c>
      <c r="L44" s="512">
        <f t="shared" si="10"/>
        <v>279.14</v>
      </c>
      <c r="M44" s="815">
        <f t="shared" si="11"/>
        <v>2.2027999999999999</v>
      </c>
    </row>
    <row r="45" spans="1:13" x14ac:dyDescent="0.2">
      <c r="A45" s="824" t="s">
        <v>310</v>
      </c>
      <c r="B45" s="816">
        <f>+'9. Weather Adj LF'!$K$24</f>
        <v>130.50755221180745</v>
      </c>
      <c r="C45" s="828">
        <f>+B45-B44</f>
        <v>1.5492188784741074</v>
      </c>
      <c r="D45" s="820">
        <f>+C45/B44</f>
        <v>1.2013328944548813E-2</v>
      </c>
      <c r="E45" s="816">
        <f>+'9. Weather Adj LF'!$K$26</f>
        <v>221276.70912632582</v>
      </c>
      <c r="F45" s="828">
        <f>+E45-E44</f>
        <v>9742.7391263258469</v>
      </c>
      <c r="G45" s="820">
        <f>+F45/E44</f>
        <v>4.6057562888484761E-2</v>
      </c>
      <c r="H45" s="816">
        <f t="shared" si="8"/>
        <v>141.29240375760298</v>
      </c>
      <c r="I45" s="819">
        <f t="shared" si="9"/>
        <v>932899.03866963857</v>
      </c>
      <c r="J45" s="828">
        <f>+I45-I44</f>
        <v>34962.859553638613</v>
      </c>
      <c r="K45" s="825">
        <f>+J45/I44</f>
        <v>3.8936909289097633E-2</v>
      </c>
      <c r="L45" s="512">
        <f t="shared" si="10"/>
        <v>281.64999999999998</v>
      </c>
      <c r="M45" s="815">
        <f t="shared" si="11"/>
        <v>2.2225999999999999</v>
      </c>
    </row>
    <row r="46" spans="1:13" x14ac:dyDescent="0.2">
      <c r="A46" s="824" t="s">
        <v>309</v>
      </c>
      <c r="B46" s="816">
        <f>+'9. Weather Adj LF'!$L$24</f>
        <v>131</v>
      </c>
      <c r="C46" s="828">
        <f>+B46-B45</f>
        <v>0.49244778819254975</v>
      </c>
      <c r="D46" s="820">
        <f>+C46/B45</f>
        <v>3.7733279020767379E-3</v>
      </c>
      <c r="E46" s="816">
        <f>+'9. Weather Adj LF'!$L$26</f>
        <v>217115.48764996644</v>
      </c>
      <c r="F46" s="828">
        <f>+E46-E45</f>
        <v>-4161.2214763593802</v>
      </c>
      <c r="G46" s="820">
        <f>+F46/E45</f>
        <v>-1.8805510497644642E-2</v>
      </c>
      <c r="H46" s="816">
        <f t="shared" si="8"/>
        <v>138.11417789438067</v>
      </c>
      <c r="I46" s="819">
        <f t="shared" si="9"/>
        <v>1010119.9923268922</v>
      </c>
      <c r="J46" s="828">
        <f>+I46-I45</f>
        <v>77220.953657253645</v>
      </c>
      <c r="K46" s="825">
        <f>+J46/I45</f>
        <v>8.2775252686908815E-2</v>
      </c>
      <c r="L46" s="512">
        <f t="shared" si="10"/>
        <v>281.64999999999998</v>
      </c>
      <c r="M46" s="815">
        <f t="shared" si="11"/>
        <v>2.6132</v>
      </c>
    </row>
    <row r="47" spans="1:13" ht="13.5" thickBot="1" x14ac:dyDescent="0.25">
      <c r="A47" s="63" t="s">
        <v>313</v>
      </c>
      <c r="B47" s="64"/>
      <c r="C47" s="64"/>
      <c r="D47" s="826">
        <f>AVERAGE(D38,D39,D40,D42,D43,D44,D45,D46)</f>
        <v>1.1912757078143876E-2</v>
      </c>
      <c r="E47" s="64"/>
      <c r="F47" s="64"/>
      <c r="G47" s="826">
        <f>AVERAGE(G38,G39,G40,G42,G43,G44,G45,G46)</f>
        <v>1.0562087050168426E-2</v>
      </c>
      <c r="H47" s="64"/>
      <c r="I47" s="64"/>
      <c r="J47" s="64"/>
      <c r="K47" s="827">
        <f>AVERAGE(K38,K39,K40,K42,K43,K44,K45,K46)</f>
        <v>6.7312914970917128E-3</v>
      </c>
    </row>
    <row r="48" spans="1:13" x14ac:dyDescent="0.2">
      <c r="A48" s="296" t="s">
        <v>341</v>
      </c>
    </row>
    <row r="49" spans="1:13" x14ac:dyDescent="0.2">
      <c r="A49" s="296" t="s">
        <v>338</v>
      </c>
    </row>
    <row r="51" spans="1:13" ht="13.5" thickBot="1" x14ac:dyDescent="0.25">
      <c r="A51" s="296" t="s">
        <v>339</v>
      </c>
    </row>
    <row r="52" spans="1:13" ht="38.25" x14ac:dyDescent="0.2">
      <c r="A52" s="821" t="s">
        <v>32</v>
      </c>
      <c r="B52" s="822" t="s">
        <v>305</v>
      </c>
      <c r="C52" s="822" t="s">
        <v>306</v>
      </c>
      <c r="D52" s="822" t="s">
        <v>307</v>
      </c>
      <c r="E52" s="822" t="s">
        <v>328</v>
      </c>
      <c r="F52" s="822" t="s">
        <v>306</v>
      </c>
      <c r="G52" s="822" t="s">
        <v>307</v>
      </c>
      <c r="H52" s="822" t="s">
        <v>327</v>
      </c>
      <c r="I52" s="822" t="s">
        <v>337</v>
      </c>
      <c r="J52" s="822" t="s">
        <v>306</v>
      </c>
      <c r="K52" s="823" t="s">
        <v>307</v>
      </c>
      <c r="L52" s="772" t="s">
        <v>330</v>
      </c>
      <c r="M52" s="772" t="s">
        <v>331</v>
      </c>
    </row>
    <row r="53" spans="1:13" x14ac:dyDescent="0.2">
      <c r="A53" s="824">
        <v>2011</v>
      </c>
      <c r="B53" s="816">
        <f>+'9. Weather Adj LF'!$D$28</f>
        <v>22.083333333333332</v>
      </c>
      <c r="C53" s="817"/>
      <c r="D53" s="818"/>
      <c r="E53" s="816">
        <f>+'9. Weather Adj LF'!$D$29</f>
        <v>225362.2</v>
      </c>
      <c r="F53" s="817"/>
      <c r="G53" s="818"/>
      <c r="H53" s="816">
        <f>+E53/B53/12</f>
        <v>850.42339622641521</v>
      </c>
      <c r="I53" s="819">
        <f>(B53*L53*12)+(E53*M53)</f>
        <v>17827.031419999999</v>
      </c>
      <c r="J53" s="817"/>
      <c r="K53" s="150"/>
      <c r="L53" s="512">
        <f>+R5</f>
        <v>53.58</v>
      </c>
      <c r="M53" s="815">
        <f>+X5</f>
        <v>1.61E-2</v>
      </c>
    </row>
    <row r="54" spans="1:13" x14ac:dyDescent="0.2">
      <c r="A54" s="824">
        <v>2012</v>
      </c>
      <c r="B54" s="816">
        <f>+'9. Weather Adj LF'!$E$28</f>
        <v>22</v>
      </c>
      <c r="C54" s="828">
        <f>+B54-B53</f>
        <v>-8.3333333333332149E-2</v>
      </c>
      <c r="D54" s="820">
        <f>+C54/B53</f>
        <v>-3.773584905660324E-3</v>
      </c>
      <c r="E54" s="816">
        <f>+'9. Weather Adj LF'!$E$29</f>
        <v>226393.8</v>
      </c>
      <c r="F54" s="828">
        <f>+E54-E53</f>
        <v>1031.5999999999767</v>
      </c>
      <c r="G54" s="820">
        <f>+F54/E53</f>
        <v>4.5775200987564759E-3</v>
      </c>
      <c r="H54" s="816">
        <f t="shared" ref="H54:H62" si="12">+E54/B54/12</f>
        <v>857.55227272727268</v>
      </c>
      <c r="I54" s="819">
        <f t="shared" ref="I54:I62" si="13">(B54*L54*12)+(E54*M54)</f>
        <v>17936.779559999999</v>
      </c>
      <c r="J54" s="828">
        <f>+I54-I53</f>
        <v>109.74813999999969</v>
      </c>
      <c r="K54" s="825">
        <f>+J54/I53</f>
        <v>6.1562768031515423E-3</v>
      </c>
      <c r="L54" s="512">
        <f t="shared" ref="L54:L62" si="14">+R6</f>
        <v>54.05</v>
      </c>
      <c r="M54" s="815">
        <f t="shared" ref="M54:M62" si="15">+X6</f>
        <v>1.6199999999999999E-2</v>
      </c>
    </row>
    <row r="55" spans="1:13" x14ac:dyDescent="0.2">
      <c r="A55" s="824">
        <v>2013</v>
      </c>
      <c r="B55" s="816">
        <f>+'9. Weather Adj LF'!$F$28</f>
        <v>21.375</v>
      </c>
      <c r="C55" s="828">
        <f>+B55-B54</f>
        <v>-0.625</v>
      </c>
      <c r="D55" s="820">
        <f>+C55/B54</f>
        <v>-2.8409090909090908E-2</v>
      </c>
      <c r="E55" s="816">
        <f>+'9. Weather Adj LF'!$F$29</f>
        <v>234467.23</v>
      </c>
      <c r="F55" s="828">
        <f>+E55-E54</f>
        <v>8073.4300000000221</v>
      </c>
      <c r="G55" s="820">
        <f>+F55/E54</f>
        <v>3.5661003084006819E-2</v>
      </c>
      <c r="H55" s="816">
        <f t="shared" si="12"/>
        <v>914.10226120857703</v>
      </c>
      <c r="I55" s="819">
        <f t="shared" si="13"/>
        <v>17752.330848999998</v>
      </c>
      <c r="J55" s="828">
        <f>+I55-I54</f>
        <v>-184.44871100000091</v>
      </c>
      <c r="K55" s="825">
        <f>+J55/I54</f>
        <v>-1.0283267984813263E-2</v>
      </c>
      <c r="L55" s="512">
        <f t="shared" si="14"/>
        <v>54.31</v>
      </c>
      <c r="M55" s="815">
        <f t="shared" si="15"/>
        <v>1.6299999999999999E-2</v>
      </c>
    </row>
    <row r="56" spans="1:13" x14ac:dyDescent="0.2">
      <c r="A56" s="824">
        <v>2014</v>
      </c>
      <c r="B56" s="816">
        <f>+'9. Weather Adj LF'!$G$28</f>
        <v>21.625</v>
      </c>
      <c r="C56" s="828">
        <f>+B56-B55</f>
        <v>0.25</v>
      </c>
      <c r="D56" s="820">
        <f>+C56/B55</f>
        <v>1.1695906432748537E-2</v>
      </c>
      <c r="E56" s="816">
        <f>+'9. Weather Adj LF'!$G$29</f>
        <v>230816.74</v>
      </c>
      <c r="F56" s="828">
        <f>+E56-E55</f>
        <v>-3650.4900000000198</v>
      </c>
      <c r="G56" s="820">
        <f>+F56/E55</f>
        <v>-1.5569297253181263E-2</v>
      </c>
      <c r="H56" s="816">
        <f t="shared" si="12"/>
        <v>889.46720616570326</v>
      </c>
      <c r="I56" s="819">
        <f t="shared" si="13"/>
        <v>6587.8754399999998</v>
      </c>
      <c r="J56" s="828">
        <f>+I56-I55</f>
        <v>-11164.455408999998</v>
      </c>
      <c r="K56" s="825">
        <f>+J56/I55</f>
        <v>-0.62890081893831429</v>
      </c>
      <c r="L56" s="512">
        <f t="shared" si="14"/>
        <v>20.05</v>
      </c>
      <c r="M56" s="815">
        <f t="shared" si="15"/>
        <v>6.0000000000000001E-3</v>
      </c>
    </row>
    <row r="57" spans="1:13" x14ac:dyDescent="0.2">
      <c r="A57" s="824" t="s">
        <v>329</v>
      </c>
      <c r="B57" s="816">
        <v>22</v>
      </c>
      <c r="C57" s="828">
        <f>+B57-B56</f>
        <v>0.375</v>
      </c>
      <c r="D57" s="820">
        <f>+C57/B56</f>
        <v>1.7341040462427744E-2</v>
      </c>
      <c r="E57" s="816">
        <v>240322</v>
      </c>
      <c r="F57" s="828">
        <f>+E57-E56</f>
        <v>9505.2600000000093</v>
      </c>
      <c r="G57" s="820">
        <f>+F57/E56</f>
        <v>4.1180981933979351E-2</v>
      </c>
      <c r="H57" s="816">
        <f t="shared" si="12"/>
        <v>910.31060606060601</v>
      </c>
      <c r="I57" s="819">
        <f t="shared" si="13"/>
        <v>6735.1320000000005</v>
      </c>
      <c r="J57" s="828">
        <f>+I57-I56</f>
        <v>147.25656000000072</v>
      </c>
      <c r="K57" s="825">
        <f>+J57/I56</f>
        <v>2.2352663061279848E-2</v>
      </c>
      <c r="L57" s="512">
        <f t="shared" si="14"/>
        <v>20.05</v>
      </c>
      <c r="M57" s="815">
        <f t="shared" si="15"/>
        <v>6.0000000000000001E-3</v>
      </c>
    </row>
    <row r="58" spans="1:13" x14ac:dyDescent="0.2">
      <c r="A58" s="824">
        <v>2015</v>
      </c>
      <c r="B58" s="816">
        <f>+'9. Weather Adj LF'!$H$28</f>
        <v>20.208333333333332</v>
      </c>
      <c r="C58" s="828">
        <f>+B58-B56</f>
        <v>-1.4166666666666679</v>
      </c>
      <c r="D58" s="820">
        <f>+C58/B56</f>
        <v>-6.5510597302504872E-2</v>
      </c>
      <c r="E58" s="816">
        <f>+'9. Weather Adj LF'!$H$29</f>
        <v>224901.2</v>
      </c>
      <c r="F58" s="828">
        <f>+E58-E56</f>
        <v>-5915.539999999979</v>
      </c>
      <c r="G58" s="820">
        <f>+F58/E56</f>
        <v>-2.5628730394511159E-2</v>
      </c>
      <c r="H58" s="816">
        <f t="shared" si="12"/>
        <v>927.4276288659795</v>
      </c>
      <c r="I58" s="819">
        <f t="shared" si="13"/>
        <v>6297.0723199999993</v>
      </c>
      <c r="J58" s="828">
        <f>+I58-I56</f>
        <v>-290.80312000000049</v>
      </c>
      <c r="K58" s="825">
        <f>+J58/I56</f>
        <v>-4.4142170362589689E-2</v>
      </c>
      <c r="L58" s="512">
        <f t="shared" si="14"/>
        <v>20.309999999999999</v>
      </c>
      <c r="M58" s="815">
        <f t="shared" si="15"/>
        <v>6.1000000000000004E-3</v>
      </c>
    </row>
    <row r="59" spans="1:13" x14ac:dyDescent="0.2">
      <c r="A59" s="824">
        <v>2016</v>
      </c>
      <c r="B59" s="816">
        <f>+'9. Weather Adj LF'!$I$28</f>
        <v>17.708333333333332</v>
      </c>
      <c r="C59" s="828">
        <f>+B59-B58</f>
        <v>-2.5</v>
      </c>
      <c r="D59" s="820">
        <f>+C59/B58</f>
        <v>-0.12371134020618557</v>
      </c>
      <c r="E59" s="816">
        <f>+'9. Weather Adj LF'!$I$29</f>
        <v>224075.16999999998</v>
      </c>
      <c r="F59" s="828">
        <f>+E59-E58</f>
        <v>-826.03000000002794</v>
      </c>
      <c r="G59" s="820">
        <f>+F59/E58</f>
        <v>-3.6728572368668016E-3</v>
      </c>
      <c r="H59" s="816">
        <f t="shared" si="12"/>
        <v>1054.4713882352942</v>
      </c>
      <c r="I59" s="819">
        <f t="shared" si="13"/>
        <v>5783.7660539999997</v>
      </c>
      <c r="J59" s="828">
        <f>+I59-I58</f>
        <v>-513.3062659999996</v>
      </c>
      <c r="K59" s="825">
        <f>+J59/I58</f>
        <v>-8.1515066036275036E-2</v>
      </c>
      <c r="L59" s="512">
        <f t="shared" si="14"/>
        <v>20.68</v>
      </c>
      <c r="M59" s="815">
        <f t="shared" si="15"/>
        <v>6.1999999999999998E-3</v>
      </c>
    </row>
    <row r="60" spans="1:13" x14ac:dyDescent="0.2">
      <c r="A60" s="824">
        <v>2017</v>
      </c>
      <c r="B60" s="816">
        <f>+'9. Weather Adj LF'!$J$28</f>
        <v>21.25</v>
      </c>
      <c r="C60" s="828">
        <f>+B60-B59</f>
        <v>3.5416666666666679</v>
      </c>
      <c r="D60" s="820">
        <f>+C60/B59</f>
        <v>0.20000000000000007</v>
      </c>
      <c r="E60" s="816">
        <f>+'9. Weather Adj LF'!$J$29</f>
        <v>250759.37</v>
      </c>
      <c r="F60" s="828">
        <f>+E60-E59</f>
        <v>26684.200000000012</v>
      </c>
      <c r="G60" s="820">
        <f>+F60/E59</f>
        <v>0.11908592995823684</v>
      </c>
      <c r="H60" s="816">
        <f t="shared" si="12"/>
        <v>983.37007843137246</v>
      </c>
      <c r="I60" s="819">
        <f t="shared" si="13"/>
        <v>6937.3340310000003</v>
      </c>
      <c r="J60" s="828">
        <f>+I60-I59</f>
        <v>1153.5679770000006</v>
      </c>
      <c r="K60" s="825">
        <f>+J60/I59</f>
        <v>0.19944928031834958</v>
      </c>
      <c r="L60" s="512">
        <f t="shared" si="14"/>
        <v>21.01</v>
      </c>
      <c r="M60" s="815">
        <f t="shared" si="15"/>
        <v>6.3E-3</v>
      </c>
    </row>
    <row r="61" spans="1:13" x14ac:dyDescent="0.2">
      <c r="A61" s="824" t="s">
        <v>310</v>
      </c>
      <c r="B61" s="816">
        <f>+'9. Weather Adj LF'!$K$28</f>
        <v>26</v>
      </c>
      <c r="C61" s="828">
        <f>+B61-B60</f>
        <v>4.75</v>
      </c>
      <c r="D61" s="820">
        <f>+C61/B60</f>
        <v>0.22352941176470589</v>
      </c>
      <c r="E61" s="816">
        <f>+'9. Weather Adj LF'!$K$29</f>
        <v>251508.00000000023</v>
      </c>
      <c r="F61" s="828">
        <f>+E61-E60</f>
        <v>748.63000000023749</v>
      </c>
      <c r="G61" s="820">
        <f>+F61/E60</f>
        <v>2.9854517500193015E-3</v>
      </c>
      <c r="H61" s="816">
        <f t="shared" si="12"/>
        <v>806.11538461538532</v>
      </c>
      <c r="I61" s="819">
        <f t="shared" si="13"/>
        <v>8192.8512000000028</v>
      </c>
      <c r="J61" s="828">
        <f>+I61-I60</f>
        <v>1255.5171690000025</v>
      </c>
      <c r="K61" s="825">
        <f>+J61/I60</f>
        <v>0.18097977744615285</v>
      </c>
      <c r="L61" s="512">
        <f t="shared" si="14"/>
        <v>21.1</v>
      </c>
      <c r="M61" s="815">
        <f t="shared" si="15"/>
        <v>6.4000000000000003E-3</v>
      </c>
    </row>
    <row r="62" spans="1:13" x14ac:dyDescent="0.2">
      <c r="A62" s="824" t="s">
        <v>309</v>
      </c>
      <c r="B62" s="816">
        <f>+'9. Weather Adj LF'!$L$28</f>
        <v>26</v>
      </c>
      <c r="C62" s="828">
        <f>+B62-B61</f>
        <v>0</v>
      </c>
      <c r="D62" s="820">
        <f>+C62/B61</f>
        <v>0</v>
      </c>
      <c r="E62" s="816">
        <f>+'9. Weather Adj LF'!$L$29</f>
        <v>251508.00000000023</v>
      </c>
      <c r="F62" s="828">
        <f>+E62-E61</f>
        <v>0</v>
      </c>
      <c r="G62" s="820">
        <f>+F62/E61</f>
        <v>0</v>
      </c>
      <c r="H62" s="816">
        <f t="shared" si="12"/>
        <v>806.11538461538532</v>
      </c>
      <c r="I62" s="819">
        <f t="shared" si="13"/>
        <v>8424.6180000000022</v>
      </c>
      <c r="J62" s="828">
        <f>+I62-I61</f>
        <v>231.76679999999942</v>
      </c>
      <c r="K62" s="825">
        <f>+J62/I61</f>
        <v>2.8288906308953754E-2</v>
      </c>
      <c r="L62" s="512">
        <f t="shared" si="14"/>
        <v>20.149999999999999</v>
      </c>
      <c r="M62" s="815">
        <f t="shared" si="15"/>
        <v>8.5000000000000006E-3</v>
      </c>
    </row>
    <row r="63" spans="1:13" ht="13.5" thickBot="1" x14ac:dyDescent="0.25">
      <c r="A63" s="63" t="s">
        <v>313</v>
      </c>
      <c r="B63" s="64"/>
      <c r="C63" s="64"/>
      <c r="D63" s="826">
        <f>AVERAGE(D54,D55,D56,D58,D59,D60,D61,D62)</f>
        <v>2.6727588109251601E-2</v>
      </c>
      <c r="E63" s="64"/>
      <c r="F63" s="64"/>
      <c r="G63" s="826">
        <f>AVERAGE(G54,G55,G56,G58,G59,G60,G61,G62)</f>
        <v>1.4679877500807527E-2</v>
      </c>
      <c r="H63" s="64"/>
      <c r="I63" s="64"/>
      <c r="J63" s="64"/>
      <c r="K63" s="827">
        <f>AVERAGE(K54,K55,K56,K58,K59,K60,K61,K62)</f>
        <v>-4.3745885305673075E-2</v>
      </c>
    </row>
    <row r="64" spans="1:13" x14ac:dyDescent="0.2">
      <c r="A64" s="296" t="s">
        <v>336</v>
      </c>
    </row>
    <row r="65" spans="1:13" x14ac:dyDescent="0.2">
      <c r="A65" s="296" t="s">
        <v>338</v>
      </c>
    </row>
    <row r="67" spans="1:13" ht="13.5" thickBot="1" x14ac:dyDescent="0.25">
      <c r="A67" s="296" t="s">
        <v>259</v>
      </c>
    </row>
    <row r="68" spans="1:13" ht="38.25" x14ac:dyDescent="0.2">
      <c r="A68" s="821" t="s">
        <v>32</v>
      </c>
      <c r="B68" s="822" t="s">
        <v>0</v>
      </c>
      <c r="C68" s="822" t="s">
        <v>306</v>
      </c>
      <c r="D68" s="822" t="s">
        <v>307</v>
      </c>
      <c r="E68" s="822" t="s">
        <v>340</v>
      </c>
      <c r="F68" s="822" t="s">
        <v>306</v>
      </c>
      <c r="G68" s="822" t="s">
        <v>307</v>
      </c>
      <c r="H68" s="822" t="s">
        <v>327</v>
      </c>
      <c r="I68" s="822" t="s">
        <v>337</v>
      </c>
      <c r="J68" s="822" t="s">
        <v>306</v>
      </c>
      <c r="K68" s="823" t="s">
        <v>307</v>
      </c>
      <c r="L68" s="772" t="s">
        <v>330</v>
      </c>
      <c r="M68" s="772" t="s">
        <v>331</v>
      </c>
    </row>
    <row r="69" spans="1:13" x14ac:dyDescent="0.2">
      <c r="A69" s="824">
        <v>2011</v>
      </c>
      <c r="B69" s="816">
        <f>+'9. Weather Adj LF'!$D$32</f>
        <v>1946</v>
      </c>
      <c r="C69" s="817"/>
      <c r="D69" s="818"/>
      <c r="E69" s="816">
        <f>+'9. Weather Adj LF'!$D$34</f>
        <v>3221.89</v>
      </c>
      <c r="F69" s="817"/>
      <c r="G69" s="818"/>
      <c r="H69" s="816">
        <f>+E69/B69/12</f>
        <v>0.13797062350119904</v>
      </c>
      <c r="I69" s="819">
        <f>(B69*L69*12)+(E69*M69)</f>
        <v>176807.86669699999</v>
      </c>
      <c r="J69" s="817"/>
      <c r="K69" s="150"/>
      <c r="L69" s="512">
        <f>+S5</f>
        <v>4.92</v>
      </c>
      <c r="M69" s="815">
        <f>+Y5</f>
        <v>19.217300000000002</v>
      </c>
    </row>
    <row r="70" spans="1:13" x14ac:dyDescent="0.2">
      <c r="A70" s="824">
        <v>2012</v>
      </c>
      <c r="B70" s="816">
        <f>+'9. Weather Adj LF'!$E$32</f>
        <v>1946.75</v>
      </c>
      <c r="C70" s="828">
        <f>+B70-B69</f>
        <v>0.75</v>
      </c>
      <c r="D70" s="820">
        <f>+C70/B69</f>
        <v>3.8540596094552927E-4</v>
      </c>
      <c r="E70" s="816">
        <f>+'9. Weather Adj LF'!$E$34</f>
        <v>3238.8</v>
      </c>
      <c r="F70" s="828">
        <f>+E70-E69</f>
        <v>16.910000000000309</v>
      </c>
      <c r="G70" s="820">
        <f>+F70/E69</f>
        <v>5.2484721700617682E-3</v>
      </c>
      <c r="H70" s="816">
        <f t="shared" ref="H70:H78" si="16">+E70/B70/12</f>
        <v>0.13864132528573264</v>
      </c>
      <c r="I70" s="819">
        <f t="shared" ref="I70:I78" si="17">(B70*L70*12)+(E70*M70)</f>
        <v>178659.23232000001</v>
      </c>
      <c r="J70" s="828">
        <f>+I70-I69</f>
        <v>1851.3656230000197</v>
      </c>
      <c r="K70" s="825">
        <f>+J70/I69</f>
        <v>1.0471059108318697E-2</v>
      </c>
      <c r="L70" s="512">
        <f t="shared" ref="L70:L78" si="18">+S6</f>
        <v>4.96</v>
      </c>
      <c r="M70" s="815">
        <f t="shared" ref="M70:M78" si="19">+Y6</f>
        <v>19.386399999999998</v>
      </c>
    </row>
    <row r="71" spans="1:13" x14ac:dyDescent="0.2">
      <c r="A71" s="824">
        <v>2013</v>
      </c>
      <c r="B71" s="816">
        <f>+'9. Weather Adj LF'!$F$32</f>
        <v>1948.75</v>
      </c>
      <c r="C71" s="828">
        <f>+B71-B70</f>
        <v>2</v>
      </c>
      <c r="D71" s="820">
        <f>+C71/B70</f>
        <v>1.0273532811095416E-3</v>
      </c>
      <c r="E71" s="816">
        <f>+'9. Weather Adj LF'!$F$34</f>
        <v>3256.79</v>
      </c>
      <c r="F71" s="828">
        <f>+E71-E70</f>
        <v>17.989999999999782</v>
      </c>
      <c r="G71" s="820">
        <f>+F71/E70</f>
        <v>5.5545263677904723E-3</v>
      </c>
      <c r="H71" s="816">
        <f t="shared" si="16"/>
        <v>0.13926833440239469</v>
      </c>
      <c r="I71" s="819">
        <f t="shared" si="17"/>
        <v>179897.94080500002</v>
      </c>
      <c r="J71" s="828">
        <f>+I71-I70</f>
        <v>1238.7084850000101</v>
      </c>
      <c r="K71" s="825">
        <f>+J71/I70</f>
        <v>6.9333583768082883E-3</v>
      </c>
      <c r="L71" s="512">
        <f t="shared" si="18"/>
        <v>4.9800000000000004</v>
      </c>
      <c r="M71" s="815">
        <f t="shared" si="19"/>
        <v>19.479500000000002</v>
      </c>
    </row>
    <row r="72" spans="1:13" x14ac:dyDescent="0.2">
      <c r="A72" s="824">
        <v>2014</v>
      </c>
      <c r="B72" s="816">
        <f>+'9. Weather Adj LF'!$G$32</f>
        <v>2051.3333333333335</v>
      </c>
      <c r="C72" s="828">
        <f>+B72-B71</f>
        <v>102.58333333333348</v>
      </c>
      <c r="D72" s="820">
        <f>+C72/B71</f>
        <v>5.2640581569382158E-2</v>
      </c>
      <c r="E72" s="816">
        <f>+'9. Weather Adj LF'!$G$34</f>
        <v>3238.8</v>
      </c>
      <c r="F72" s="828">
        <f>+E72-E71</f>
        <v>-17.989999999999782</v>
      </c>
      <c r="G72" s="820">
        <f>+F72/E71</f>
        <v>-5.5238440304716556E-3</v>
      </c>
      <c r="H72" s="816">
        <f t="shared" si="16"/>
        <v>0.13157296067598309</v>
      </c>
      <c r="I72" s="819">
        <f t="shared" si="17"/>
        <v>276685.39144000004</v>
      </c>
      <c r="J72" s="828">
        <f>+I72-I71</f>
        <v>96787.450635000016</v>
      </c>
      <c r="K72" s="825">
        <f>+J72/I71</f>
        <v>0.53801311011065189</v>
      </c>
      <c r="L72" s="512">
        <f t="shared" si="18"/>
        <v>7.42</v>
      </c>
      <c r="M72" s="815">
        <f t="shared" si="19"/>
        <v>29.033799999999999</v>
      </c>
    </row>
    <row r="73" spans="1:13" x14ac:dyDescent="0.2">
      <c r="A73" s="824" t="s">
        <v>329</v>
      </c>
      <c r="B73" s="816">
        <v>2031</v>
      </c>
      <c r="C73" s="828">
        <f>+B73-B72</f>
        <v>-20.333333333333485</v>
      </c>
      <c r="D73" s="820">
        <f>+C73/B72</f>
        <v>-9.9122521936952316E-3</v>
      </c>
      <c r="E73" s="816">
        <v>3377</v>
      </c>
      <c r="F73" s="828">
        <f>+E73-E72</f>
        <v>138.19999999999982</v>
      </c>
      <c r="G73" s="820">
        <f>+F73/E72</f>
        <v>4.2670124737557061E-2</v>
      </c>
      <c r="H73" s="816">
        <f t="shared" si="16"/>
        <v>0.13856064336123422</v>
      </c>
      <c r="I73" s="819">
        <f t="shared" si="17"/>
        <v>278887.38260000001</v>
      </c>
      <c r="J73" s="828">
        <f>+I73-I72</f>
        <v>2201.9911599999759</v>
      </c>
      <c r="K73" s="825">
        <f>+J73/I72</f>
        <v>7.9584655645886654E-3</v>
      </c>
      <c r="L73" s="512">
        <f t="shared" si="18"/>
        <v>7.42</v>
      </c>
      <c r="M73" s="815">
        <f t="shared" si="19"/>
        <v>29.033799999999999</v>
      </c>
    </row>
    <row r="74" spans="1:13" x14ac:dyDescent="0.2">
      <c r="A74" s="824">
        <v>2015</v>
      </c>
      <c r="B74" s="816">
        <f>+'9. Weather Adj LF'!$H$32</f>
        <v>2080.75</v>
      </c>
      <c r="C74" s="828">
        <f>+B74-B72</f>
        <v>29.416666666666515</v>
      </c>
      <c r="D74" s="820">
        <f>+C74/B72</f>
        <v>1.4340266493337592E-2</v>
      </c>
      <c r="E74" s="816">
        <f>+'9. Weather Adj LF'!$H$34</f>
        <v>2742.9900000000007</v>
      </c>
      <c r="F74" s="828">
        <f>+E74-E72</f>
        <v>-495.80999999999949</v>
      </c>
      <c r="G74" s="820">
        <f>+F74/E72</f>
        <v>-0.15308447573175232</v>
      </c>
      <c r="H74" s="816">
        <f t="shared" si="16"/>
        <v>0.10985582121831074</v>
      </c>
      <c r="I74" s="819">
        <f t="shared" si="17"/>
        <v>268441.50748800003</v>
      </c>
      <c r="J74" s="828">
        <f>+I74-I72</f>
        <v>-8243.8839520000038</v>
      </c>
      <c r="K74" s="825">
        <f>+J74/I72</f>
        <v>-2.9795154377666926E-2</v>
      </c>
      <c r="L74" s="512">
        <f t="shared" si="18"/>
        <v>7.52</v>
      </c>
      <c r="M74" s="815">
        <f t="shared" si="19"/>
        <v>29.411200000000001</v>
      </c>
    </row>
    <row r="75" spans="1:13" x14ac:dyDescent="0.2">
      <c r="A75" s="824">
        <v>2016</v>
      </c>
      <c r="B75" s="816">
        <f>+'9. Weather Adj LF'!$I$32</f>
        <v>2120.1666666666665</v>
      </c>
      <c r="C75" s="828">
        <f>+B75-B74</f>
        <v>39.416666666666515</v>
      </c>
      <c r="D75" s="820">
        <f>+C75/B74</f>
        <v>1.8943489927510038E-2</v>
      </c>
      <c r="E75" s="816">
        <f>+'9. Weather Adj LF'!$I$34</f>
        <v>2373.42</v>
      </c>
      <c r="F75" s="828">
        <f>+E75-E74</f>
        <v>-369.57000000000062</v>
      </c>
      <c r="G75" s="820">
        <f>+F75/E74</f>
        <v>-0.13473253639276866</v>
      </c>
      <c r="H75" s="816">
        <f t="shared" si="16"/>
        <v>9.3287477399575505E-2</v>
      </c>
      <c r="I75" s="819">
        <f t="shared" si="17"/>
        <v>265947.33885199996</v>
      </c>
      <c r="J75" s="828">
        <f>+I75-I74</f>
        <v>-2494.1686360000749</v>
      </c>
      <c r="K75" s="825">
        <f>+J75/I74</f>
        <v>-9.2912927637003751E-3</v>
      </c>
      <c r="L75" s="512">
        <f t="shared" si="18"/>
        <v>7.66</v>
      </c>
      <c r="M75" s="815">
        <f t="shared" si="19"/>
        <v>29.9406</v>
      </c>
    </row>
    <row r="76" spans="1:13" x14ac:dyDescent="0.2">
      <c r="A76" s="824">
        <v>2017</v>
      </c>
      <c r="B76" s="816">
        <f>+'9. Weather Adj LF'!$J$32</f>
        <v>2123.9166666666665</v>
      </c>
      <c r="C76" s="828">
        <f>+B76-B75</f>
        <v>3.75</v>
      </c>
      <c r="D76" s="820">
        <f>+C76/B75</f>
        <v>1.7687288735162331E-3</v>
      </c>
      <c r="E76" s="816">
        <f>+'9. Weather Adj LF'!$J$34</f>
        <v>2399.7999999999997</v>
      </c>
      <c r="F76" s="828">
        <f>+E76-E75</f>
        <v>26.379999999999654</v>
      </c>
      <c r="G76" s="820">
        <f>+F76/E75</f>
        <v>1.1114762663161032E-2</v>
      </c>
      <c r="H76" s="816">
        <f t="shared" si="16"/>
        <v>9.4157805940283279E-2</v>
      </c>
      <c r="I76" s="819">
        <f t="shared" si="17"/>
        <v>271289.81607999996</v>
      </c>
      <c r="J76" s="828">
        <f>+I76-I75</f>
        <v>5342.4772280000034</v>
      </c>
      <c r="K76" s="825">
        <f>+J76/I75</f>
        <v>2.0088477858291709E-2</v>
      </c>
      <c r="L76" s="512">
        <f t="shared" si="18"/>
        <v>7.78</v>
      </c>
      <c r="M76" s="815">
        <f t="shared" si="19"/>
        <v>30.419599999999999</v>
      </c>
    </row>
    <row r="77" spans="1:13" x14ac:dyDescent="0.2">
      <c r="A77" s="824" t="s">
        <v>310</v>
      </c>
      <c r="B77" s="816">
        <f>+'9. Weather Adj LF'!$K$32</f>
        <v>2155.1123337847007</v>
      </c>
      <c r="C77" s="828">
        <f>+B77-B76</f>
        <v>31.19566711803418</v>
      </c>
      <c r="D77" s="820">
        <f>+C77/B76</f>
        <v>1.46878018368741E-2</v>
      </c>
      <c r="E77" s="816">
        <f>+'9. Weather Adj LF'!$K$34</f>
        <v>2438.9195714511152</v>
      </c>
      <c r="F77" s="828">
        <f>+E77-E76</f>
        <v>39.119571451115462</v>
      </c>
      <c r="G77" s="820">
        <f>+F77/E76</f>
        <v>1.6301179869620579E-2</v>
      </c>
      <c r="H77" s="816">
        <f t="shared" si="16"/>
        <v>9.4307519118504837E-2</v>
      </c>
      <c r="I77" s="819">
        <f t="shared" si="17"/>
        <v>277870.31581689644</v>
      </c>
      <c r="J77" s="828">
        <f>+I77-I76</f>
        <v>6580.4997368964832</v>
      </c>
      <c r="K77" s="825">
        <f>+J77/I76</f>
        <v>2.4256346338323208E-2</v>
      </c>
      <c r="L77" s="512">
        <f t="shared" si="18"/>
        <v>7.85</v>
      </c>
      <c r="M77" s="815">
        <f t="shared" si="19"/>
        <v>30.6934</v>
      </c>
    </row>
    <row r="78" spans="1:13" x14ac:dyDescent="0.2">
      <c r="A78" s="824" t="s">
        <v>309</v>
      </c>
      <c r="B78" s="816">
        <f>+'9. Weather Adj LF'!$L$32</f>
        <v>2186.7661966795336</v>
      </c>
      <c r="C78" s="828">
        <f>+B78-B77</f>
        <v>31.653862894832855</v>
      </c>
      <c r="D78" s="820">
        <f>+C78/B77</f>
        <v>1.4687801836874053E-2</v>
      </c>
      <c r="E78" s="816">
        <f>+'9. Weather Adj LF'!$L$34</f>
        <v>2474.7419388126632</v>
      </c>
      <c r="F78" s="828">
        <f>+E78-E77</f>
        <v>35.822367361548004</v>
      </c>
      <c r="G78" s="820">
        <f>+F78/E77</f>
        <v>1.468780183687415E-2</v>
      </c>
      <c r="H78" s="816">
        <f t="shared" si="16"/>
        <v>9.4307519118504865E-2</v>
      </c>
      <c r="I78" s="819">
        <f t="shared" si="17"/>
        <v>224230.64935531857</v>
      </c>
      <c r="J78" s="828">
        <f>+I78-I77</f>
        <v>-53639.666461577872</v>
      </c>
      <c r="K78" s="825">
        <f>+J78/I77</f>
        <v>-0.1930384910093236</v>
      </c>
      <c r="L78" s="512">
        <f t="shared" si="18"/>
        <v>6.87</v>
      </c>
      <c r="M78" s="815">
        <f t="shared" si="19"/>
        <v>17.760899999999999</v>
      </c>
    </row>
    <row r="79" spans="1:13" ht="13.5" thickBot="1" x14ac:dyDescent="0.25">
      <c r="A79" s="63" t="s">
        <v>313</v>
      </c>
      <c r="B79" s="64"/>
      <c r="C79" s="64"/>
      <c r="D79" s="826">
        <f>AVERAGE(D70,D71,D72,D74,D75,D76,D77,D78)</f>
        <v>1.4810178722443655E-2</v>
      </c>
      <c r="E79" s="64"/>
      <c r="F79" s="64"/>
      <c r="G79" s="826">
        <f>AVERAGE(G70,G71,G72,G74,G75,G76,G77,G78)</f>
        <v>-3.0054264155935578E-2</v>
      </c>
      <c r="H79" s="64"/>
      <c r="I79" s="64"/>
      <c r="J79" s="64"/>
      <c r="K79" s="827">
        <f>AVERAGE(K70,K71,K72,K74,K75,K76,K77,K78)</f>
        <v>4.5954676705212874E-2</v>
      </c>
    </row>
    <row r="80" spans="1:13" x14ac:dyDescent="0.2">
      <c r="A80" s="296" t="s">
        <v>341</v>
      </c>
    </row>
    <row r="81" spans="1:13" x14ac:dyDescent="0.2">
      <c r="A81" s="296" t="s">
        <v>338</v>
      </c>
    </row>
    <row r="83" spans="1:13" ht="13.5" thickBot="1" x14ac:dyDescent="0.25">
      <c r="A83" s="296" t="s">
        <v>241</v>
      </c>
    </row>
    <row r="84" spans="1:13" ht="38.25" x14ac:dyDescent="0.2">
      <c r="A84" s="821" t="s">
        <v>32</v>
      </c>
      <c r="B84" s="822" t="s">
        <v>305</v>
      </c>
      <c r="C84" s="822" t="s">
        <v>306</v>
      </c>
      <c r="D84" s="822" t="s">
        <v>307</v>
      </c>
      <c r="E84" s="822" t="s">
        <v>340</v>
      </c>
      <c r="F84" s="822" t="s">
        <v>306</v>
      </c>
      <c r="G84" s="822" t="s">
        <v>307</v>
      </c>
      <c r="H84" s="822" t="s">
        <v>327</v>
      </c>
      <c r="I84" s="822" t="s">
        <v>337</v>
      </c>
      <c r="J84" s="822" t="s">
        <v>306</v>
      </c>
      <c r="K84" s="823" t="s">
        <v>307</v>
      </c>
      <c r="L84" s="772" t="s">
        <v>330</v>
      </c>
      <c r="M84" s="772" t="s">
        <v>331</v>
      </c>
    </row>
    <row r="85" spans="1:13" hidden="1" outlineLevel="1" x14ac:dyDescent="0.2">
      <c r="A85" s="824">
        <v>2011</v>
      </c>
      <c r="B85" s="816">
        <f>+'9. Weather Adj LF'!$D$36</f>
        <v>0</v>
      </c>
      <c r="C85" s="817"/>
      <c r="D85" s="818"/>
      <c r="E85" s="816">
        <f>+'9. Weather Adj LF'!$D$38</f>
        <v>0</v>
      </c>
      <c r="F85" s="817"/>
      <c r="G85" s="818"/>
      <c r="H85" s="816">
        <v>0</v>
      </c>
      <c r="I85" s="819">
        <f>(B85*L85*12)+(E85*M85)</f>
        <v>0</v>
      </c>
      <c r="J85" s="817"/>
      <c r="K85" s="150"/>
      <c r="L85" s="512">
        <f>+T5</f>
        <v>0</v>
      </c>
      <c r="M85" s="815">
        <f>+Z5</f>
        <v>0</v>
      </c>
    </row>
    <row r="86" spans="1:13" hidden="1" outlineLevel="1" x14ac:dyDescent="0.2">
      <c r="A86" s="824">
        <v>2012</v>
      </c>
      <c r="B86" s="816">
        <f>+'9. Weather Adj LF'!$E$36</f>
        <v>0</v>
      </c>
      <c r="C86" s="828">
        <f>+B86-B85</f>
        <v>0</v>
      </c>
      <c r="D86" s="820">
        <v>0</v>
      </c>
      <c r="E86" s="816">
        <f>+'9. Weather Adj LF'!$E$38</f>
        <v>0</v>
      </c>
      <c r="F86" s="828">
        <f>+E86-E85</f>
        <v>0</v>
      </c>
      <c r="G86" s="820">
        <v>0</v>
      </c>
      <c r="H86" s="816">
        <v>0</v>
      </c>
      <c r="I86" s="819">
        <f t="shared" ref="I86:I94" si="20">(B86*L86*12)+(E86*M86)</f>
        <v>0</v>
      </c>
      <c r="J86" s="828">
        <f>+I86-I85</f>
        <v>0</v>
      </c>
      <c r="K86" s="825" t="e">
        <f>+J86/I85</f>
        <v>#DIV/0!</v>
      </c>
      <c r="L86" s="512">
        <f t="shared" ref="L86:L94" si="21">+T6</f>
        <v>0</v>
      </c>
      <c r="M86" s="815">
        <f t="shared" ref="M86:M94" si="22">+Z6</f>
        <v>0</v>
      </c>
    </row>
    <row r="87" spans="1:13" hidden="1" outlineLevel="1" x14ac:dyDescent="0.2">
      <c r="A87" s="824">
        <v>2013</v>
      </c>
      <c r="B87" s="816">
        <f>+'9. Weather Adj LF'!$F$36</f>
        <v>0</v>
      </c>
      <c r="C87" s="828">
        <f>+B87-B86</f>
        <v>0</v>
      </c>
      <c r="D87" s="820">
        <v>0</v>
      </c>
      <c r="E87" s="816">
        <f>+'9. Weather Adj LF'!$F$38</f>
        <v>0</v>
      </c>
      <c r="F87" s="828">
        <f>+E87-E86</f>
        <v>0</v>
      </c>
      <c r="G87" s="820">
        <v>0</v>
      </c>
      <c r="H87" s="816">
        <v>0</v>
      </c>
      <c r="I87" s="819">
        <f t="shared" si="20"/>
        <v>0</v>
      </c>
      <c r="J87" s="828">
        <f>+I87-I86</f>
        <v>0</v>
      </c>
      <c r="K87" s="825" t="e">
        <f>+J87/I86</f>
        <v>#DIV/0!</v>
      </c>
      <c r="L87" s="512">
        <f t="shared" si="21"/>
        <v>0</v>
      </c>
      <c r="M87" s="815">
        <f t="shared" si="22"/>
        <v>0</v>
      </c>
    </row>
    <row r="88" spans="1:13" hidden="1" outlineLevel="1" x14ac:dyDescent="0.2">
      <c r="A88" s="824">
        <v>2014</v>
      </c>
      <c r="B88" s="816">
        <f>+'9. Weather Adj LF'!$G$36</f>
        <v>0</v>
      </c>
      <c r="C88" s="828">
        <f>+B88-B87</f>
        <v>0</v>
      </c>
      <c r="D88" s="820">
        <v>0</v>
      </c>
      <c r="E88" s="816">
        <f>+'9. Weather Adj LF'!$G$38</f>
        <v>0</v>
      </c>
      <c r="F88" s="828">
        <f>+E88-E87</f>
        <v>0</v>
      </c>
      <c r="G88" s="820">
        <v>0</v>
      </c>
      <c r="H88" s="816">
        <v>0</v>
      </c>
      <c r="I88" s="819">
        <f t="shared" si="20"/>
        <v>0</v>
      </c>
      <c r="J88" s="828">
        <f>+I88-I87</f>
        <v>0</v>
      </c>
      <c r="K88" s="825" t="e">
        <f>+J88/I87</f>
        <v>#DIV/0!</v>
      </c>
      <c r="L88" s="512">
        <f t="shared" si="21"/>
        <v>0</v>
      </c>
      <c r="M88" s="815">
        <f t="shared" si="22"/>
        <v>0</v>
      </c>
    </row>
    <row r="89" spans="1:13" hidden="1" outlineLevel="1" x14ac:dyDescent="0.2">
      <c r="A89" s="824" t="s">
        <v>329</v>
      </c>
      <c r="B89" s="816">
        <v>0</v>
      </c>
      <c r="C89" s="828">
        <f>+B89-B88</f>
        <v>0</v>
      </c>
      <c r="D89" s="820">
        <v>0</v>
      </c>
      <c r="E89" s="816">
        <v>0</v>
      </c>
      <c r="F89" s="828">
        <f>+E89-E88</f>
        <v>0</v>
      </c>
      <c r="G89" s="820">
        <v>0</v>
      </c>
      <c r="H89" s="816">
        <v>0</v>
      </c>
      <c r="I89" s="819">
        <f t="shared" si="20"/>
        <v>0</v>
      </c>
      <c r="J89" s="828">
        <f>+I89-I88</f>
        <v>0</v>
      </c>
      <c r="K89" s="825" t="e">
        <f>+J89/I88</f>
        <v>#DIV/0!</v>
      </c>
      <c r="L89" s="512">
        <f t="shared" si="21"/>
        <v>0</v>
      </c>
      <c r="M89" s="815">
        <f t="shared" si="22"/>
        <v>0</v>
      </c>
    </row>
    <row r="90" spans="1:13" hidden="1" outlineLevel="1" x14ac:dyDescent="0.2">
      <c r="A90" s="824">
        <v>2015</v>
      </c>
      <c r="B90" s="816">
        <f>+'9. Weather Adj LF'!$H$36</f>
        <v>0</v>
      </c>
      <c r="C90" s="828">
        <f>+B90-B88</f>
        <v>0</v>
      </c>
      <c r="D90" s="820">
        <v>0</v>
      </c>
      <c r="E90" s="816">
        <f>+'9. Weather Adj LF'!$H$38</f>
        <v>0</v>
      </c>
      <c r="F90" s="828">
        <f>+E90-E88</f>
        <v>0</v>
      </c>
      <c r="G90" s="820">
        <v>0</v>
      </c>
      <c r="H90" s="816">
        <v>0</v>
      </c>
      <c r="I90" s="819">
        <f t="shared" si="20"/>
        <v>0</v>
      </c>
      <c r="J90" s="828">
        <f>+I90-I88</f>
        <v>0</v>
      </c>
      <c r="K90" s="825" t="e">
        <f>+J90/I88</f>
        <v>#DIV/0!</v>
      </c>
      <c r="L90" s="512">
        <f t="shared" si="21"/>
        <v>0</v>
      </c>
      <c r="M90" s="815">
        <f t="shared" si="22"/>
        <v>0</v>
      </c>
    </row>
    <row r="91" spans="1:13" hidden="1" outlineLevel="1" x14ac:dyDescent="0.2">
      <c r="A91" s="824">
        <v>2016</v>
      </c>
      <c r="B91" s="816">
        <f>+'9. Weather Adj LF'!$I$36</f>
        <v>0</v>
      </c>
      <c r="C91" s="828">
        <f>+B91-B90</f>
        <v>0</v>
      </c>
      <c r="D91" s="820">
        <v>0</v>
      </c>
      <c r="E91" s="816">
        <f>+'9. Weather Adj LF'!$I$38</f>
        <v>0</v>
      </c>
      <c r="F91" s="828">
        <f>+E91-E90</f>
        <v>0</v>
      </c>
      <c r="G91" s="820">
        <v>0</v>
      </c>
      <c r="H91" s="816">
        <v>0</v>
      </c>
      <c r="I91" s="819">
        <f t="shared" si="20"/>
        <v>0</v>
      </c>
      <c r="J91" s="828">
        <f>+I91-I90</f>
        <v>0</v>
      </c>
      <c r="K91" s="825" t="e">
        <f>+J91/I90</f>
        <v>#DIV/0!</v>
      </c>
      <c r="L91" s="512">
        <f t="shared" si="21"/>
        <v>0</v>
      </c>
      <c r="M91" s="815">
        <f t="shared" si="22"/>
        <v>0</v>
      </c>
    </row>
    <row r="92" spans="1:13" hidden="1" outlineLevel="1" x14ac:dyDescent="0.2">
      <c r="A92" s="824">
        <v>2017</v>
      </c>
      <c r="B92" s="816">
        <f>+'9. Weather Adj LF'!$J$36</f>
        <v>0</v>
      </c>
      <c r="C92" s="828">
        <f>+B92-B91</f>
        <v>0</v>
      </c>
      <c r="D92" s="820">
        <v>0</v>
      </c>
      <c r="E92" s="816">
        <f>+'9. Weather Adj LF'!$J$38</f>
        <v>0</v>
      </c>
      <c r="F92" s="828">
        <f>+E92-E91</f>
        <v>0</v>
      </c>
      <c r="G92" s="820">
        <v>0</v>
      </c>
      <c r="H92" s="816">
        <v>0</v>
      </c>
      <c r="I92" s="819">
        <f t="shared" si="20"/>
        <v>0</v>
      </c>
      <c r="J92" s="828">
        <f>+I92-I91</f>
        <v>0</v>
      </c>
      <c r="K92" s="825" t="e">
        <f>+J92/I91</f>
        <v>#DIV/0!</v>
      </c>
      <c r="L92" s="512">
        <f t="shared" si="21"/>
        <v>0</v>
      </c>
      <c r="M92" s="815">
        <f t="shared" si="22"/>
        <v>0</v>
      </c>
    </row>
    <row r="93" spans="1:13" hidden="1" outlineLevel="1" x14ac:dyDescent="0.2">
      <c r="A93" s="824" t="s">
        <v>310</v>
      </c>
      <c r="B93" s="816">
        <f>+'9. Weather Adj LF'!$K$36</f>
        <v>0</v>
      </c>
      <c r="C93" s="828">
        <f>+B93-B92</f>
        <v>0</v>
      </c>
      <c r="D93" s="820">
        <v>0</v>
      </c>
      <c r="E93" s="816">
        <f>+'9. Weather Adj LF'!$K$38</f>
        <v>0</v>
      </c>
      <c r="F93" s="828">
        <f>+E93-E92</f>
        <v>0</v>
      </c>
      <c r="G93" s="820">
        <v>0</v>
      </c>
      <c r="H93" s="816">
        <v>0</v>
      </c>
      <c r="I93" s="819">
        <f t="shared" si="20"/>
        <v>0</v>
      </c>
      <c r="J93" s="828">
        <f>+I93-I92</f>
        <v>0</v>
      </c>
      <c r="K93" s="825" t="e">
        <f>+J93/I92</f>
        <v>#DIV/0!</v>
      </c>
      <c r="L93" s="512">
        <f t="shared" si="21"/>
        <v>0</v>
      </c>
      <c r="M93" s="815">
        <f t="shared" si="22"/>
        <v>0</v>
      </c>
    </row>
    <row r="94" spans="1:13" collapsed="1" x14ac:dyDescent="0.2">
      <c r="A94" s="824" t="s">
        <v>309</v>
      </c>
      <c r="B94" s="816">
        <f>+'9. Weather Adj LF'!$L$36</f>
        <v>1</v>
      </c>
      <c r="C94" s="828">
        <f>+B94-B93</f>
        <v>1</v>
      </c>
      <c r="D94" s="820">
        <v>1</v>
      </c>
      <c r="E94" s="816">
        <f>+'9. Weather Adj LF'!$L$38</f>
        <v>60000</v>
      </c>
      <c r="F94" s="828">
        <f>+E94-E93</f>
        <v>60000</v>
      </c>
      <c r="G94" s="820">
        <v>1</v>
      </c>
      <c r="H94" s="816">
        <f t="shared" ref="H94" si="23">+E94/B94/12</f>
        <v>5000</v>
      </c>
      <c r="I94" s="819">
        <f t="shared" si="20"/>
        <v>211257.72</v>
      </c>
      <c r="J94" s="828">
        <f>+I94-I93</f>
        <v>211257.72</v>
      </c>
      <c r="K94" s="825">
        <v>1</v>
      </c>
      <c r="L94" s="512">
        <f t="shared" si="21"/>
        <v>4538.8100000000004</v>
      </c>
      <c r="M94" s="815">
        <f t="shared" si="22"/>
        <v>2.6132</v>
      </c>
    </row>
    <row r="95" spans="1:13" ht="13.5" thickBot="1" x14ac:dyDescent="0.25">
      <c r="A95" s="63"/>
      <c r="B95" s="64"/>
      <c r="C95" s="64"/>
      <c r="D95" s="826"/>
      <c r="E95" s="64"/>
      <c r="F95" s="64"/>
      <c r="G95" s="826"/>
      <c r="H95" s="64"/>
      <c r="I95" s="64"/>
      <c r="J95" s="64"/>
      <c r="K95" s="827"/>
    </row>
    <row r="96" spans="1:13" x14ac:dyDescent="0.2">
      <c r="A96" s="296" t="s">
        <v>341</v>
      </c>
    </row>
    <row r="97" spans="1:1" x14ac:dyDescent="0.2">
      <c r="A97" s="296" t="s">
        <v>338</v>
      </c>
    </row>
  </sheetData>
  <mergeCells count="2">
    <mergeCell ref="O3:T3"/>
    <mergeCell ref="U3:Z3"/>
  </mergeCells>
  <pageMargins left="0.7" right="0.7" top="0.75" bottom="0.75" header="0.3" footer="0.3"/>
  <pageSetup orientation="portrait"/>
  <ignoredErrors>
    <ignoredError sqref="C10:K10 B26:K26 C42:K42 B58:K58 C74:K74" formula="1"/>
    <ignoredError sqref="B85:G85 B95:C95 B90 B89:C89 B86:C86 E86:F86 B87:C87 F87 B88:C88 F88 F89 B91:C91 F91 B92:C92 F92 B93:C93 F93 B94:C94 F94 E95:F95 H95:J95 B84:D84 F84:K84 I86:K86 I87:K87 I88:K88 I89:K89 I91:K91 I92:K92 I93:K93 H94:J94 I85:K85" evalError="1"/>
    <ignoredError sqref="C90 F90 I90:K90" evalError="1" formula="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O74"/>
  <sheetViews>
    <sheetView showGridLines="0" topLeftCell="A46" workbookViewId="0">
      <selection activeCell="H71" sqref="A64:H71"/>
    </sheetView>
  </sheetViews>
  <sheetFormatPr defaultColWidth="17.5" defaultRowHeight="12.75" x14ac:dyDescent="0.2"/>
  <cols>
    <col min="1" max="1" width="40.6640625" style="244" bestFit="1" customWidth="1"/>
    <col min="2" max="2" width="30.83203125" style="244" bestFit="1" customWidth="1"/>
    <col min="3" max="9" width="19.83203125" style="244" customWidth="1"/>
    <col min="10" max="10" width="13.1640625" style="244" customWidth="1"/>
    <col min="11" max="13" width="17.5" style="244"/>
    <col min="14" max="14" width="21" style="244" bestFit="1" customWidth="1"/>
    <col min="15" max="16384" width="17.5" style="244"/>
  </cols>
  <sheetData>
    <row r="1" spans="1:8" x14ac:dyDescent="0.2">
      <c r="A1" s="366" t="s">
        <v>198</v>
      </c>
    </row>
    <row r="10" spans="1:8" s="73" customFormat="1" ht="18" x14ac:dyDescent="0.25">
      <c r="A10" s="913" t="s">
        <v>216</v>
      </c>
      <c r="B10" s="913"/>
      <c r="C10" s="913"/>
      <c r="D10" s="913"/>
      <c r="E10" s="913"/>
      <c r="F10" s="913"/>
      <c r="G10" s="913"/>
      <c r="H10" s="913"/>
    </row>
    <row r="11" spans="1:8" ht="18" x14ac:dyDescent="0.25">
      <c r="A11" s="913" t="s">
        <v>217</v>
      </c>
      <c r="B11" s="913"/>
      <c r="C11" s="913"/>
      <c r="D11" s="913"/>
      <c r="E11" s="913"/>
      <c r="F11" s="913"/>
      <c r="G11" s="913"/>
      <c r="H11" s="913"/>
    </row>
    <row r="12" spans="1:8" ht="15" x14ac:dyDescent="0.25">
      <c r="A12" s="409"/>
      <c r="B12" s="409"/>
      <c r="C12" s="409"/>
      <c r="D12" s="409"/>
      <c r="E12" s="409"/>
      <c r="F12" s="409"/>
      <c r="G12" s="409"/>
      <c r="H12" s="409"/>
    </row>
    <row r="13" spans="1:8" ht="15" x14ac:dyDescent="0.2">
      <c r="A13" s="914" t="s">
        <v>218</v>
      </c>
      <c r="B13" s="912"/>
      <c r="C13" s="912"/>
      <c r="D13" s="912"/>
      <c r="E13" s="912"/>
      <c r="F13" s="912"/>
      <c r="G13" s="912"/>
      <c r="H13" s="912"/>
    </row>
    <row r="14" spans="1:8" ht="15" x14ac:dyDescent="0.2">
      <c r="A14" s="410"/>
      <c r="B14" s="410"/>
      <c r="C14" s="410"/>
      <c r="D14" s="410"/>
      <c r="E14" s="410"/>
      <c r="F14" s="410"/>
      <c r="G14" s="410"/>
      <c r="H14" s="410"/>
    </row>
    <row r="15" spans="1:8" ht="15" x14ac:dyDescent="0.2">
      <c r="A15" s="914" t="s">
        <v>219</v>
      </c>
      <c r="B15" s="912"/>
      <c r="C15" s="912"/>
      <c r="D15" s="912"/>
      <c r="E15" s="912"/>
      <c r="F15" s="912"/>
      <c r="G15" s="912"/>
      <c r="H15" s="912"/>
    </row>
    <row r="16" spans="1:8" ht="15" x14ac:dyDescent="0.25">
      <c r="A16" s="411"/>
      <c r="B16" s="411"/>
      <c r="C16" s="411"/>
      <c r="D16" s="411"/>
      <c r="E16" s="411"/>
      <c r="F16" s="411"/>
      <c r="G16" s="411"/>
      <c r="H16" s="411"/>
    </row>
    <row r="17" spans="1:15" ht="15" x14ac:dyDescent="0.2">
      <c r="A17" s="914" t="s">
        <v>220</v>
      </c>
      <c r="B17" s="912"/>
      <c r="C17" s="912"/>
      <c r="D17" s="912"/>
      <c r="E17" s="912"/>
      <c r="F17" s="912"/>
      <c r="G17" s="912"/>
      <c r="H17" s="912"/>
      <c r="N17" s="144"/>
      <c r="O17" s="145"/>
    </row>
    <row r="18" spans="1:15" ht="15" x14ac:dyDescent="0.25">
      <c r="A18" s="411"/>
      <c r="B18" s="411"/>
      <c r="C18" s="411"/>
      <c r="D18" s="411"/>
      <c r="E18" s="411"/>
      <c r="F18" s="411"/>
      <c r="G18" s="411"/>
      <c r="H18" s="411"/>
    </row>
    <row r="19" spans="1:15" ht="18.75" x14ac:dyDescent="0.25">
      <c r="A19" s="919" t="s">
        <v>271</v>
      </c>
      <c r="B19" s="919"/>
      <c r="C19" s="919"/>
      <c r="D19" s="919"/>
      <c r="E19" s="919"/>
      <c r="F19" s="919"/>
      <c r="G19" s="409"/>
      <c r="H19" s="409"/>
    </row>
    <row r="20" spans="1:15" ht="15" x14ac:dyDescent="0.25">
      <c r="A20" s="412"/>
      <c r="B20" s="413"/>
      <c r="C20" s="413"/>
      <c r="D20" s="413"/>
      <c r="E20" s="413"/>
      <c r="F20" s="413"/>
      <c r="G20" s="409"/>
      <c r="H20" s="409"/>
    </row>
    <row r="21" spans="1:15" x14ac:dyDescent="0.2">
      <c r="A21" s="920" t="s">
        <v>221</v>
      </c>
      <c r="B21" s="920"/>
      <c r="C21" s="920"/>
      <c r="D21" s="920"/>
      <c r="E21" s="920"/>
      <c r="F21" s="920"/>
      <c r="G21" s="920"/>
      <c r="H21" s="920"/>
    </row>
    <row r="22" spans="1:15" ht="15.75" thickBot="1" x14ac:dyDescent="0.3">
      <c r="A22" s="412"/>
      <c r="B22" s="413"/>
      <c r="C22" s="413"/>
      <c r="D22" s="413"/>
      <c r="E22" s="413"/>
      <c r="F22" s="413"/>
      <c r="G22" s="409"/>
      <c r="H22" s="409"/>
    </row>
    <row r="23" spans="1:15" ht="15" x14ac:dyDescent="0.2">
      <c r="A23" s="921" t="s">
        <v>159</v>
      </c>
      <c r="B23" s="922"/>
      <c r="C23" s="922"/>
      <c r="D23" s="922"/>
      <c r="E23" s="922"/>
      <c r="F23" s="922"/>
      <c r="G23" s="922"/>
      <c r="H23" s="923"/>
    </row>
    <row r="24" spans="1:15" ht="15" x14ac:dyDescent="0.2">
      <c r="A24" s="924">
        <v>11680000</v>
      </c>
      <c r="B24" s="925"/>
      <c r="C24" s="925"/>
      <c r="D24" s="925"/>
      <c r="E24" s="925"/>
      <c r="F24" s="925"/>
      <c r="G24" s="925"/>
      <c r="H24" s="926"/>
    </row>
    <row r="25" spans="1:15" ht="15" x14ac:dyDescent="0.25">
      <c r="A25" s="414"/>
      <c r="B25" s="415">
        <v>2015</v>
      </c>
      <c r="C25" s="415">
        <v>2016</v>
      </c>
      <c r="D25" s="415">
        <v>2017</v>
      </c>
      <c r="E25" s="415">
        <v>2018</v>
      </c>
      <c r="F25" s="415">
        <v>2019</v>
      </c>
      <c r="G25" s="415">
        <v>2020</v>
      </c>
      <c r="H25" s="416" t="s">
        <v>16</v>
      </c>
    </row>
    <row r="26" spans="1:15" ht="15" x14ac:dyDescent="0.2">
      <c r="A26" s="927" t="s">
        <v>160</v>
      </c>
      <c r="B26" s="928"/>
      <c r="C26" s="928"/>
      <c r="D26" s="928"/>
      <c r="E26" s="928"/>
      <c r="F26" s="928"/>
      <c r="G26" s="928"/>
      <c r="H26" s="929"/>
    </row>
    <row r="27" spans="1:15" ht="15" x14ac:dyDescent="0.25">
      <c r="A27" s="417" t="s">
        <v>161</v>
      </c>
      <c r="B27" s="547">
        <f t="shared" ref="B27:G27" si="0">+B35/$H$41</f>
        <v>5.2004312493195273E-2</v>
      </c>
      <c r="C27" s="547">
        <f t="shared" si="0"/>
        <v>5.1935954239410484E-2</v>
      </c>
      <c r="D27" s="547">
        <f t="shared" si="0"/>
        <v>5.1934420720915433E-2</v>
      </c>
      <c r="E27" s="547">
        <f t="shared" si="0"/>
        <v>5.1118788905700298E-2</v>
      </c>
      <c r="F27" s="547">
        <f t="shared" si="0"/>
        <v>5.1105037245282724E-2</v>
      </c>
      <c r="G27" s="547">
        <f t="shared" si="0"/>
        <v>5.1064332330446723E-2</v>
      </c>
      <c r="H27" s="418">
        <f>H35/H41</f>
        <v>0.30916284593495091</v>
      </c>
    </row>
    <row r="28" spans="1:15" ht="15" x14ac:dyDescent="0.25">
      <c r="A28" s="417" t="s">
        <v>162</v>
      </c>
      <c r="B28" s="419"/>
      <c r="C28" s="547">
        <f>+C36/$H$41</f>
        <v>6.7165759799414887E-2</v>
      </c>
      <c r="D28" s="547">
        <f>+D36/$H$41</f>
        <v>6.7165759799414887E-2</v>
      </c>
      <c r="E28" s="547">
        <f>+E36/$H$41</f>
        <v>6.7152424855979664E-2</v>
      </c>
      <c r="F28" s="547">
        <f>+F36/$H$41</f>
        <v>6.7054329678334343E-2</v>
      </c>
      <c r="G28" s="547">
        <f>+G36/$H$41</f>
        <v>6.6476659928720677E-2</v>
      </c>
      <c r="H28" s="418">
        <f>H36/H41</f>
        <v>0.3350149340618645</v>
      </c>
    </row>
    <row r="29" spans="1:15" ht="15" x14ac:dyDescent="0.25">
      <c r="A29" s="417" t="s">
        <v>163</v>
      </c>
      <c r="B29" s="419"/>
      <c r="C29" s="419"/>
      <c r="D29" s="547">
        <f>+D37/$H$41</f>
        <v>6.2055859481077058E-2</v>
      </c>
      <c r="E29" s="547">
        <f>+E37/$H$41</f>
        <v>5.7475939820892698E-2</v>
      </c>
      <c r="F29" s="547">
        <f>+F37/$H$41</f>
        <v>5.7468272228417445E-2</v>
      </c>
      <c r="G29" s="547">
        <f>+G37/$H$41</f>
        <v>5.7424550282629223E-2</v>
      </c>
      <c r="H29" s="418">
        <f>H37/H41</f>
        <v>0.23442462181301643</v>
      </c>
      <c r="N29" s="143"/>
    </row>
    <row r="30" spans="1:15" ht="15" x14ac:dyDescent="0.25">
      <c r="A30" s="417" t="s">
        <v>164</v>
      </c>
      <c r="B30" s="419"/>
      <c r="C30" s="419"/>
      <c r="D30" s="420"/>
      <c r="E30" s="547">
        <f>+E38/$H$41</f>
        <v>2.5562025932067491E-2</v>
      </c>
      <c r="F30" s="547">
        <f>+F38/$H$41</f>
        <v>2.5409568520941839E-2</v>
      </c>
      <c r="G30" s="547">
        <f>+G38/$H$41</f>
        <v>2.5258020398550539E-2</v>
      </c>
      <c r="H30" s="418">
        <f>H38/H41</f>
        <v>7.6229614851559865E-2</v>
      </c>
    </row>
    <row r="31" spans="1:15" ht="15" x14ac:dyDescent="0.25">
      <c r="A31" s="417" t="s">
        <v>165</v>
      </c>
      <c r="B31" s="419"/>
      <c r="C31" s="419"/>
      <c r="D31" s="420"/>
      <c r="E31" s="420"/>
      <c r="F31" s="547">
        <f>+F39/$H$41</f>
        <v>1.7422895313568023E-2</v>
      </c>
      <c r="G31" s="547">
        <f>+G39/$H$41</f>
        <v>1.7318981425017917E-2</v>
      </c>
      <c r="H31" s="418">
        <f>H39/H41</f>
        <v>3.474187673858594E-2</v>
      </c>
    </row>
    <row r="32" spans="1:15" ht="15.75" thickBot="1" x14ac:dyDescent="0.3">
      <c r="A32" s="421" t="s">
        <v>166</v>
      </c>
      <c r="B32" s="422"/>
      <c r="C32" s="422"/>
      <c r="D32" s="422"/>
      <c r="E32" s="422"/>
      <c r="F32" s="422"/>
      <c r="G32" s="547">
        <f>+G40/$H$41</f>
        <v>1.0426106600022453E-2</v>
      </c>
      <c r="H32" s="423">
        <f>H40/H41</f>
        <v>1.0426106600022453E-2</v>
      </c>
    </row>
    <row r="33" spans="1:8" ht="15.75" thickTop="1" x14ac:dyDescent="0.25">
      <c r="A33" s="424" t="s">
        <v>49</v>
      </c>
      <c r="B33" s="548">
        <f t="shared" ref="B33:H33" si="1">SUM(B27:B32)</f>
        <v>5.2004312493195273E-2</v>
      </c>
      <c r="C33" s="548">
        <f t="shared" si="1"/>
        <v>0.11910171403882537</v>
      </c>
      <c r="D33" s="548">
        <f t="shared" si="1"/>
        <v>0.18115604000140739</v>
      </c>
      <c r="E33" s="548">
        <f t="shared" si="1"/>
        <v>0.20130917951464014</v>
      </c>
      <c r="F33" s="548">
        <f t="shared" si="1"/>
        <v>0.21846010298654436</v>
      </c>
      <c r="G33" s="425">
        <f t="shared" si="1"/>
        <v>0.22796865096538754</v>
      </c>
      <c r="H33" s="426">
        <f t="shared" si="1"/>
        <v>1</v>
      </c>
    </row>
    <row r="34" spans="1:8" ht="15" x14ac:dyDescent="0.2">
      <c r="A34" s="915" t="s">
        <v>35</v>
      </c>
      <c r="B34" s="916"/>
      <c r="C34" s="916"/>
      <c r="D34" s="916"/>
      <c r="E34" s="916"/>
      <c r="F34" s="916"/>
      <c r="G34" s="916"/>
      <c r="H34" s="917"/>
    </row>
    <row r="35" spans="1:8" ht="15" x14ac:dyDescent="0.25">
      <c r="A35" s="417" t="str">
        <f t="shared" ref="A35:A40" si="2">A27</f>
        <v>2015 CDM Programs</v>
      </c>
      <c r="B35" s="463">
        <v>3119882</v>
      </c>
      <c r="C35" s="463">
        <v>3115781</v>
      </c>
      <c r="D35" s="463">
        <v>3115689</v>
      </c>
      <c r="E35" s="463">
        <v>3066757</v>
      </c>
      <c r="F35" s="463">
        <v>3065932</v>
      </c>
      <c r="G35" s="463">
        <v>3063490</v>
      </c>
      <c r="H35" s="427">
        <f t="shared" ref="H35:H40" si="3">SUM(B35:G35)</f>
        <v>18547531</v>
      </c>
    </row>
    <row r="36" spans="1:8" ht="15" x14ac:dyDescent="0.25">
      <c r="A36" s="417" t="str">
        <f t="shared" si="2"/>
        <v>2016 CDM Programs</v>
      </c>
      <c r="B36" s="428"/>
      <c r="C36" s="464">
        <v>4029459</v>
      </c>
      <c r="D36" s="464">
        <v>4029459</v>
      </c>
      <c r="E36" s="464">
        <v>4028659</v>
      </c>
      <c r="F36" s="464">
        <v>4022774</v>
      </c>
      <c r="G36" s="544">
        <v>3988118</v>
      </c>
      <c r="H36" s="427">
        <f t="shared" si="3"/>
        <v>20098469</v>
      </c>
    </row>
    <row r="37" spans="1:8" ht="15" x14ac:dyDescent="0.25">
      <c r="A37" s="417" t="str">
        <f t="shared" si="2"/>
        <v>2017 CDM Programs</v>
      </c>
      <c r="B37" s="428"/>
      <c r="C37" s="429"/>
      <c r="D37" s="464">
        <v>3722902</v>
      </c>
      <c r="E37" s="464">
        <v>3448140</v>
      </c>
      <c r="F37" s="464">
        <v>3447680</v>
      </c>
      <c r="G37" s="544">
        <v>3445057</v>
      </c>
      <c r="H37" s="427">
        <f t="shared" si="3"/>
        <v>14063779</v>
      </c>
    </row>
    <row r="38" spans="1:8" ht="15" x14ac:dyDescent="0.25">
      <c r="A38" s="417" t="str">
        <f t="shared" si="2"/>
        <v>2018 CDM Programs</v>
      </c>
      <c r="B38" s="428"/>
      <c r="C38" s="429"/>
      <c r="D38" s="429"/>
      <c r="E38" s="464">
        <f>F38*1.006</f>
        <v>1533536.3696890692</v>
      </c>
      <c r="F38" s="464">
        <f>G38*1.006</f>
        <v>1524390.0295119972</v>
      </c>
      <c r="G38" s="544">
        <v>1515298.2400715679</v>
      </c>
      <c r="H38" s="427">
        <f t="shared" si="3"/>
        <v>4573224.6392726339</v>
      </c>
    </row>
    <row r="39" spans="1:8" ht="15" x14ac:dyDescent="0.25">
      <c r="A39" s="417" t="str">
        <f t="shared" si="2"/>
        <v>2019 CDM Programs</v>
      </c>
      <c r="B39" s="428"/>
      <c r="C39" s="429"/>
      <c r="D39" s="429"/>
      <c r="E39" s="429"/>
      <c r="F39" s="464">
        <f>G39*1.006</f>
        <v>1045247.4971916581</v>
      </c>
      <c r="G39" s="544">
        <v>1039013.4166915091</v>
      </c>
      <c r="H39" s="427">
        <f t="shared" si="3"/>
        <v>2084260.9138831673</v>
      </c>
    </row>
    <row r="40" spans="1:8" ht="15.75" thickBot="1" x14ac:dyDescent="0.3">
      <c r="A40" s="421" t="str">
        <f t="shared" si="2"/>
        <v>2020 CDM Programs</v>
      </c>
      <c r="B40" s="430"/>
      <c r="C40" s="431"/>
      <c r="D40" s="431"/>
      <c r="E40" s="431"/>
      <c r="F40" s="431"/>
      <c r="G40" s="544">
        <v>625490.86319999991</v>
      </c>
      <c r="H40" s="427">
        <f t="shared" si="3"/>
        <v>625490.86319999991</v>
      </c>
    </row>
    <row r="41" spans="1:8" ht="16.5" thickTop="1" thickBot="1" x14ac:dyDescent="0.3">
      <c r="A41" s="432" t="s">
        <v>49</v>
      </c>
      <c r="B41" s="433">
        <f>SUM(B35:B40)</f>
        <v>3119882</v>
      </c>
      <c r="C41" s="433">
        <f t="shared" ref="C41:D41" si="4">SUM(C35:C40)</f>
        <v>7145240</v>
      </c>
      <c r="D41" s="433">
        <f t="shared" si="4"/>
        <v>10868050</v>
      </c>
      <c r="E41" s="433">
        <f>SUM(E35:E38)</f>
        <v>12077092.36968907</v>
      </c>
      <c r="F41" s="433">
        <f>SUM(F35:F39)</f>
        <v>13106023.526703656</v>
      </c>
      <c r="G41" s="434">
        <f>SUM(G35:G40)</f>
        <v>13676467.519963076</v>
      </c>
      <c r="H41" s="545">
        <f>SUM(H35:H40)</f>
        <v>59992755.416355796</v>
      </c>
    </row>
    <row r="42" spans="1:8" ht="15" x14ac:dyDescent="0.25">
      <c r="A42" s="412"/>
      <c r="B42" s="413"/>
      <c r="C42" s="413"/>
      <c r="D42" s="413"/>
      <c r="E42" s="413"/>
      <c r="F42" s="413"/>
      <c r="G42" s="918" t="str">
        <f>IF(G41-H41&lt;&gt;0,"Inputs do no match 2015-20 CDM target","")</f>
        <v>Inputs do no match 2015-20 CDM target</v>
      </c>
      <c r="H42" s="918"/>
    </row>
    <row r="43" spans="1:8" ht="15" x14ac:dyDescent="0.25">
      <c r="A43" s="412"/>
      <c r="B43" s="413"/>
      <c r="C43" s="413"/>
      <c r="D43" s="413"/>
      <c r="E43" s="413"/>
      <c r="F43" s="413"/>
      <c r="G43" s="435"/>
      <c r="H43" s="435"/>
    </row>
    <row r="44" spans="1:8" ht="15" x14ac:dyDescent="0.2">
      <c r="A44" s="907" t="s">
        <v>222</v>
      </c>
      <c r="B44" s="907"/>
      <c r="C44" s="907"/>
      <c r="D44" s="907"/>
      <c r="E44" s="907"/>
      <c r="F44" s="907"/>
      <c r="G44" s="907"/>
      <c r="H44" s="907"/>
    </row>
    <row r="45" spans="1:8" ht="15" x14ac:dyDescent="0.25">
      <c r="A45" s="412"/>
      <c r="B45" s="413"/>
      <c r="C45" s="413"/>
      <c r="D45" s="413"/>
      <c r="E45" s="413"/>
      <c r="F45" s="413"/>
      <c r="G45" s="409"/>
      <c r="H45" s="409"/>
    </row>
    <row r="46" spans="1:8" ht="15" x14ac:dyDescent="0.25">
      <c r="A46" s="437"/>
      <c r="B46" s="437"/>
      <c r="C46" s="409"/>
      <c r="D46" s="409"/>
      <c r="E46" s="409"/>
      <c r="F46" s="438"/>
      <c r="G46" s="409"/>
      <c r="H46" s="409"/>
    </row>
    <row r="47" spans="1:8" ht="15.75" thickBot="1" x14ac:dyDescent="0.3">
      <c r="A47" s="910" t="s">
        <v>223</v>
      </c>
      <c r="B47" s="910"/>
      <c r="C47" s="910"/>
      <c r="D47" s="910"/>
      <c r="E47" s="910"/>
      <c r="F47" s="910"/>
      <c r="G47" s="409"/>
      <c r="H47" s="409"/>
    </row>
    <row r="48" spans="1:8" ht="15" x14ac:dyDescent="0.25">
      <c r="A48" s="439"/>
      <c r="B48" s="440">
        <v>2014</v>
      </c>
      <c r="C48" s="440">
        <v>2015</v>
      </c>
      <c r="D48" s="440">
        <v>2016</v>
      </c>
      <c r="E48" s="440">
        <v>2017</v>
      </c>
      <c r="F48" s="441">
        <v>2018</v>
      </c>
      <c r="G48" s="441">
        <v>2019</v>
      </c>
      <c r="H48" s="442"/>
    </row>
    <row r="49" spans="1:8" ht="51" x14ac:dyDescent="0.2">
      <c r="A49" s="443" t="s">
        <v>224</v>
      </c>
      <c r="B49" s="444">
        <v>0</v>
      </c>
      <c r="C49" s="444">
        <v>0</v>
      </c>
      <c r="D49" s="444">
        <v>0</v>
      </c>
      <c r="E49" s="445">
        <v>0.5</v>
      </c>
      <c r="F49" s="445">
        <v>1</v>
      </c>
      <c r="G49" s="445">
        <v>0.5</v>
      </c>
      <c r="H49" s="446" t="s">
        <v>167</v>
      </c>
    </row>
    <row r="50" spans="1:8" ht="285.75" hidden="1" thickBot="1" x14ac:dyDescent="0.25">
      <c r="A50" s="447" t="s">
        <v>61</v>
      </c>
      <c r="B50" s="448" t="s">
        <v>225</v>
      </c>
      <c r="C50" s="449" t="s">
        <v>226</v>
      </c>
      <c r="D50" s="450" t="s">
        <v>227</v>
      </c>
      <c r="E50" s="451" t="s">
        <v>228</v>
      </c>
      <c r="F50" s="452" t="s">
        <v>229</v>
      </c>
      <c r="G50" s="453"/>
      <c r="H50" s="436"/>
    </row>
    <row r="51" spans="1:8" ht="15" x14ac:dyDescent="0.25">
      <c r="A51" s="454"/>
      <c r="B51" s="455"/>
      <c r="C51" s="455"/>
      <c r="D51" s="455"/>
      <c r="E51" s="455"/>
      <c r="F51" s="455"/>
      <c r="G51" s="438"/>
      <c r="H51" s="409"/>
    </row>
    <row r="52" spans="1:8" ht="18.75" x14ac:dyDescent="0.2">
      <c r="A52" s="911" t="s">
        <v>230</v>
      </c>
      <c r="B52" s="911"/>
      <c r="C52" s="911"/>
      <c r="D52" s="911"/>
      <c r="E52" s="911"/>
      <c r="F52" s="911"/>
      <c r="G52" s="911"/>
      <c r="H52" s="911"/>
    </row>
    <row r="53" spans="1:8" ht="18.75" x14ac:dyDescent="0.2">
      <c r="A53" s="456"/>
      <c r="B53" s="456"/>
      <c r="C53" s="456"/>
      <c r="D53" s="456"/>
      <c r="E53" s="456"/>
      <c r="F53" s="456"/>
      <c r="G53" s="456"/>
      <c r="H53" s="456"/>
    </row>
    <row r="54" spans="1:8" ht="15" x14ac:dyDescent="0.2">
      <c r="A54" s="912" t="s">
        <v>231</v>
      </c>
      <c r="B54" s="912"/>
      <c r="C54" s="912"/>
      <c r="D54" s="912"/>
      <c r="E54" s="912"/>
      <c r="F54" s="912"/>
      <c r="G54" s="912"/>
      <c r="H54" s="912"/>
    </row>
    <row r="55" spans="1:8" ht="15" x14ac:dyDescent="0.25">
      <c r="A55" s="437"/>
      <c r="B55" s="455"/>
      <c r="C55" s="455"/>
      <c r="D55" s="455"/>
      <c r="E55" s="455"/>
      <c r="F55" s="438"/>
      <c r="G55" s="409"/>
      <c r="H55" s="409"/>
    </row>
    <row r="56" spans="1:8" ht="15" x14ac:dyDescent="0.2">
      <c r="A56" s="908" t="s">
        <v>232</v>
      </c>
      <c r="B56" s="908"/>
      <c r="C56" s="908"/>
      <c r="D56" s="908"/>
      <c r="E56" s="908"/>
      <c r="F56" s="908"/>
      <c r="G56" s="908"/>
      <c r="H56" s="908"/>
    </row>
    <row r="57" spans="1:8" ht="15" x14ac:dyDescent="0.25">
      <c r="A57" s="409"/>
      <c r="B57" s="409"/>
      <c r="C57" s="409"/>
      <c r="D57" s="409"/>
      <c r="E57" s="409"/>
      <c r="F57" s="409"/>
      <c r="G57" s="409"/>
      <c r="H57" s="409"/>
    </row>
    <row r="58" spans="1:8" ht="15" x14ac:dyDescent="0.2">
      <c r="A58" s="912" t="s">
        <v>233</v>
      </c>
      <c r="B58" s="912"/>
      <c r="C58" s="912"/>
      <c r="D58" s="912"/>
      <c r="E58" s="912"/>
      <c r="F58" s="912"/>
      <c r="G58" s="912"/>
      <c r="H58" s="912"/>
    </row>
    <row r="59" spans="1:8" ht="15" x14ac:dyDescent="0.25">
      <c r="A59" s="409"/>
      <c r="B59" s="409"/>
      <c r="C59" s="409"/>
      <c r="D59" s="409"/>
      <c r="E59" s="409"/>
      <c r="F59" s="409"/>
      <c r="G59" s="409"/>
      <c r="H59" s="409"/>
    </row>
    <row r="60" spans="1:8" ht="15" x14ac:dyDescent="0.2">
      <c r="A60" s="908" t="s">
        <v>234</v>
      </c>
      <c r="B60" s="908"/>
      <c r="C60" s="908"/>
      <c r="D60" s="908"/>
      <c r="E60" s="908"/>
      <c r="F60" s="908"/>
      <c r="G60" s="908"/>
      <c r="H60" s="908"/>
    </row>
    <row r="61" spans="1:8" ht="15" x14ac:dyDescent="0.25">
      <c r="A61" s="409"/>
      <c r="B61" s="409"/>
      <c r="C61" s="409"/>
      <c r="D61" s="409"/>
      <c r="E61" s="409"/>
      <c r="F61" s="409"/>
      <c r="G61" s="409"/>
      <c r="H61" s="409"/>
    </row>
    <row r="62" spans="1:8" ht="15" x14ac:dyDescent="0.2">
      <c r="A62" s="908" t="s">
        <v>235</v>
      </c>
      <c r="B62" s="908"/>
      <c r="C62" s="908"/>
      <c r="D62" s="908"/>
      <c r="E62" s="908"/>
      <c r="F62" s="908"/>
      <c r="G62" s="908"/>
      <c r="H62" s="908"/>
    </row>
    <row r="63" spans="1:8" ht="15.75" thickBot="1" x14ac:dyDescent="0.3">
      <c r="A63" s="437"/>
      <c r="B63" s="437"/>
      <c r="C63" s="409"/>
      <c r="D63" s="409"/>
      <c r="E63" s="409"/>
      <c r="F63" s="438"/>
      <c r="G63" s="409"/>
      <c r="H63" s="409"/>
    </row>
    <row r="64" spans="1:8" ht="15" x14ac:dyDescent="0.25">
      <c r="A64" s="457"/>
      <c r="B64" s="458">
        <v>2014</v>
      </c>
      <c r="C64" s="458">
        <v>2015</v>
      </c>
      <c r="D64" s="459">
        <v>2016</v>
      </c>
      <c r="E64" s="460">
        <v>2017</v>
      </c>
      <c r="F64" s="460">
        <v>2018</v>
      </c>
      <c r="G64" s="458">
        <v>2019</v>
      </c>
      <c r="H64" s="461" t="s">
        <v>260</v>
      </c>
    </row>
    <row r="65" spans="1:8" ht="15" x14ac:dyDescent="0.25">
      <c r="A65" s="790"/>
      <c r="B65" s="791"/>
      <c r="C65" s="791"/>
      <c r="D65" s="791"/>
      <c r="E65" s="791"/>
      <c r="F65" s="791"/>
      <c r="G65" s="791"/>
      <c r="H65" s="791"/>
    </row>
    <row r="66" spans="1:8" ht="25.5" x14ac:dyDescent="0.2">
      <c r="A66" s="792" t="s">
        <v>261</v>
      </c>
      <c r="B66" s="789">
        <v>1320428</v>
      </c>
      <c r="C66" s="789">
        <f>+B66</f>
        <v>1320428</v>
      </c>
      <c r="D66" s="789">
        <f>+C66</f>
        <v>1320428</v>
      </c>
      <c r="E66" s="546"/>
      <c r="F66" s="546"/>
      <c r="G66" s="546"/>
      <c r="H66" s="793">
        <f>SUM(B66:G66)</f>
        <v>3961284</v>
      </c>
    </row>
    <row r="67" spans="1:8" ht="15" x14ac:dyDescent="0.25">
      <c r="A67" s="790"/>
      <c r="B67" s="794"/>
      <c r="C67" s="794"/>
      <c r="D67" s="794"/>
      <c r="E67" s="794"/>
      <c r="F67" s="795"/>
      <c r="G67" s="795"/>
      <c r="H67" s="795"/>
    </row>
    <row r="68" spans="1:8" ht="25.5" x14ac:dyDescent="0.2">
      <c r="A68" s="792" t="s">
        <v>262</v>
      </c>
      <c r="B68" s="546"/>
      <c r="C68" s="546"/>
      <c r="D68" s="546"/>
      <c r="E68" s="789">
        <f>+$F$37</f>
        <v>3447680</v>
      </c>
      <c r="F68" s="789">
        <f>+$F$38</f>
        <v>1524390.0295119972</v>
      </c>
      <c r="G68" s="789">
        <f>+$F$39</f>
        <v>1045247.4971916581</v>
      </c>
      <c r="H68" s="796">
        <f>SUM(B68:G68)</f>
        <v>6017317.5267036557</v>
      </c>
    </row>
    <row r="69" spans="1:8" x14ac:dyDescent="0.2">
      <c r="A69" s="797"/>
      <c r="B69" s="798"/>
      <c r="C69" s="798"/>
      <c r="D69" s="798"/>
      <c r="E69" s="798"/>
      <c r="F69" s="799"/>
      <c r="G69" s="799"/>
      <c r="H69" s="800"/>
    </row>
    <row r="70" spans="1:8" ht="25.5" x14ac:dyDescent="0.2">
      <c r="A70" s="801" t="s">
        <v>236</v>
      </c>
      <c r="B70" s="546"/>
      <c r="C70" s="546"/>
      <c r="D70" s="546"/>
      <c r="E70" s="802">
        <f>+E68*E49</f>
        <v>1723840</v>
      </c>
      <c r="F70" s="802">
        <f t="shared" ref="F70:G70" si="5">+F68*F49</f>
        <v>1524390.0295119972</v>
      </c>
      <c r="G70" s="802">
        <f t="shared" si="5"/>
        <v>522623.74859582906</v>
      </c>
      <c r="H70" s="803">
        <f>SUM(B70:G70)</f>
        <v>3770853.7781078266</v>
      </c>
    </row>
    <row r="71" spans="1:8" ht="15" x14ac:dyDescent="0.25">
      <c r="A71" s="790"/>
      <c r="B71" s="804"/>
      <c r="C71" s="804"/>
      <c r="D71" s="804"/>
      <c r="E71" s="804"/>
      <c r="F71" s="804"/>
      <c r="G71" s="804"/>
      <c r="H71" s="804"/>
    </row>
    <row r="72" spans="1:8" ht="15" x14ac:dyDescent="0.25">
      <c r="A72" s="411"/>
      <c r="B72" s="462"/>
      <c r="C72" s="462"/>
      <c r="D72" s="462"/>
      <c r="E72" s="462"/>
      <c r="F72" s="462"/>
      <c r="G72" s="462"/>
      <c r="H72" s="462"/>
    </row>
    <row r="73" spans="1:8" ht="15" hidden="1" x14ac:dyDescent="0.2">
      <c r="A73" s="909" t="s">
        <v>237</v>
      </c>
      <c r="B73" s="909"/>
      <c r="C73" s="909"/>
      <c r="D73" s="909"/>
      <c r="E73" s="909"/>
      <c r="F73" s="909"/>
      <c r="G73" s="909"/>
      <c r="H73" s="909"/>
    </row>
    <row r="74" spans="1:8" ht="15" x14ac:dyDescent="0.25">
      <c r="A74" s="409"/>
      <c r="B74" s="409"/>
      <c r="C74" s="409"/>
      <c r="D74" s="409"/>
      <c r="E74" s="409"/>
      <c r="F74" s="409"/>
      <c r="G74" s="409"/>
      <c r="H74" s="409"/>
    </row>
  </sheetData>
  <mergeCells count="21">
    <mergeCell ref="A34:H34"/>
    <mergeCell ref="G42:H42"/>
    <mergeCell ref="A19:F19"/>
    <mergeCell ref="A21:H21"/>
    <mergeCell ref="A23:H23"/>
    <mergeCell ref="A24:H24"/>
    <mergeCell ref="A26:H26"/>
    <mergeCell ref="A10:H10"/>
    <mergeCell ref="A11:H11"/>
    <mergeCell ref="A13:H13"/>
    <mergeCell ref="A15:H15"/>
    <mergeCell ref="A17:H17"/>
    <mergeCell ref="A44:H44"/>
    <mergeCell ref="A60:H60"/>
    <mergeCell ref="A62:H62"/>
    <mergeCell ref="A73:H73"/>
    <mergeCell ref="A47:F47"/>
    <mergeCell ref="A52:H52"/>
    <mergeCell ref="A54:H54"/>
    <mergeCell ref="A56:H56"/>
    <mergeCell ref="A58:H58"/>
  </mergeCells>
  <conditionalFormatting sqref="H41">
    <cfRule type="expression" dxfId="1" priority="2">
      <formula>$H$40=$A$23</formula>
    </cfRule>
  </conditionalFormatting>
  <conditionalFormatting sqref="G42:G43">
    <cfRule type="expression" dxfId="0" priority="1">
      <formula>$G$40&lt;&gt;$H$40</formula>
    </cfRule>
  </conditionalFormatting>
  <dataValidations count="1">
    <dataValidation type="list" allowBlank="1" showInputMessage="1" showErrorMessage="1" sqref="C49:G49">
      <formula1>"0, 0.5, 1"</formula1>
    </dataValidation>
  </dataValidations>
  <pageMargins left="0.25" right="0.25" top="0.75" bottom="0.75" header="0.3" footer="0.3"/>
  <pageSetup scale="41" orientation="portrait"/>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N40"/>
  <sheetViews>
    <sheetView showGridLines="0" topLeftCell="A7" workbookViewId="0">
      <selection activeCell="E38" sqref="E38"/>
    </sheetView>
  </sheetViews>
  <sheetFormatPr defaultRowHeight="12.75" x14ac:dyDescent="0.2"/>
  <cols>
    <col min="1" max="1" width="13.6640625" customWidth="1"/>
    <col min="2" max="2" width="54.83203125" bestFit="1" customWidth="1"/>
    <col min="4" max="4" width="5.6640625" bestFit="1" customWidth="1"/>
    <col min="5" max="5" width="17.6640625" bestFit="1" customWidth="1"/>
    <col min="6" max="6" width="5.5" customWidth="1"/>
    <col min="7" max="11" width="17.33203125" customWidth="1"/>
  </cols>
  <sheetData>
    <row r="1" spans="1:2" x14ac:dyDescent="0.2">
      <c r="A1" s="366" t="s">
        <v>198</v>
      </c>
    </row>
    <row r="11" spans="1:2" ht="23.25" x14ac:dyDescent="0.2">
      <c r="B11" s="79" t="s">
        <v>168</v>
      </c>
    </row>
    <row r="12" spans="1:2" ht="15" x14ac:dyDescent="0.2">
      <c r="B12" s="42" t="s">
        <v>55</v>
      </c>
    </row>
    <row r="13" spans="1:2" ht="14.25" x14ac:dyDescent="0.2">
      <c r="B13" s="71" t="s">
        <v>193</v>
      </c>
    </row>
    <row r="14" spans="1:2" ht="14.25" x14ac:dyDescent="0.2">
      <c r="B14" s="71" t="s">
        <v>194</v>
      </c>
    </row>
    <row r="15" spans="1:2" ht="14.25" x14ac:dyDescent="0.2">
      <c r="B15" s="71" t="s">
        <v>195</v>
      </c>
    </row>
    <row r="17" spans="2:11" x14ac:dyDescent="0.2">
      <c r="B17" s="78" t="s">
        <v>169</v>
      </c>
      <c r="C17" s="78"/>
      <c r="D17" s="73"/>
      <c r="E17" s="73"/>
      <c r="F17" s="73"/>
      <c r="G17" s="73"/>
      <c r="H17" s="73"/>
      <c r="I17" s="73"/>
    </row>
    <row r="18" spans="2:11" ht="13.5" thickBot="1" x14ac:dyDescent="0.25">
      <c r="B18" s="73"/>
      <c r="C18" s="73"/>
      <c r="D18" s="73"/>
      <c r="E18" s="73"/>
      <c r="F18" s="73"/>
      <c r="G18" s="73"/>
      <c r="H18" s="73"/>
      <c r="I18" s="73"/>
    </row>
    <row r="19" spans="2:11" ht="27.75" customHeight="1" thickBot="1" x14ac:dyDescent="0.25">
      <c r="B19" s="716" t="s">
        <v>35</v>
      </c>
      <c r="C19" s="717"/>
      <c r="D19" s="718" t="s">
        <v>32</v>
      </c>
      <c r="E19" s="719" t="str">
        <f>'1. LDC Info'!F27</f>
        <v>2019</v>
      </c>
      <c r="F19" s="73"/>
      <c r="G19" s="732" t="s">
        <v>264</v>
      </c>
      <c r="H19" s="715" t="s">
        <v>51</v>
      </c>
      <c r="I19" s="733" t="s">
        <v>52</v>
      </c>
      <c r="J19" s="715" t="s">
        <v>170</v>
      </c>
      <c r="K19" s="734" t="s">
        <v>171</v>
      </c>
    </row>
    <row r="20" spans="2:11" x14ac:dyDescent="0.2">
      <c r="B20" s="723" t="str">
        <f>+'9. Weather Adj LF'!B16</f>
        <v>Residential</v>
      </c>
      <c r="C20" s="724"/>
      <c r="D20" s="725" t="s">
        <v>35</v>
      </c>
      <c r="E20" s="573">
        <f>+'9. Weather Adj LF'!L17</f>
        <v>74690535.299300596</v>
      </c>
      <c r="F20" s="73"/>
      <c r="G20" s="742">
        <v>791837.19809301069</v>
      </c>
      <c r="H20" s="743">
        <f>G20/$G$38</f>
        <v>0.20998883666349588</v>
      </c>
      <c r="I20" s="744">
        <f>+G20</f>
        <v>791837.19809301069</v>
      </c>
      <c r="J20" s="745"/>
      <c r="K20" s="746">
        <f>+E20-I20-J20</f>
        <v>73898698.101207584</v>
      </c>
    </row>
    <row r="21" spans="2:11" x14ac:dyDescent="0.2">
      <c r="B21" s="726"/>
      <c r="C21" s="720"/>
      <c r="D21" s="721"/>
      <c r="E21" s="575"/>
      <c r="F21" s="73"/>
      <c r="G21" s="747"/>
      <c r="H21" s="737"/>
      <c r="I21" s="740"/>
      <c r="J21" s="738"/>
      <c r="K21" s="748">
        <f>+E21-I21-J21</f>
        <v>0</v>
      </c>
    </row>
    <row r="22" spans="2:11" x14ac:dyDescent="0.2">
      <c r="B22" s="727"/>
      <c r="C22" s="720"/>
      <c r="D22" s="721"/>
      <c r="E22" s="575"/>
      <c r="F22" s="73"/>
      <c r="G22" s="749"/>
      <c r="H22" s="741"/>
      <c r="I22" s="740"/>
      <c r="J22" s="738"/>
      <c r="K22" s="750"/>
    </row>
    <row r="23" spans="2:11" x14ac:dyDescent="0.2">
      <c r="B23" s="726" t="str">
        <f>+'9. Weather Adj LF'!B20</f>
        <v>General Service &lt; 50 kW</v>
      </c>
      <c r="C23" s="720"/>
      <c r="D23" s="721" t="s">
        <v>35</v>
      </c>
      <c r="E23" s="575">
        <f>+'9. Weather Adj LF'!L21</f>
        <v>42903766.327367291</v>
      </c>
      <c r="F23" s="73"/>
      <c r="G23" s="751">
        <v>1101949.2371145156</v>
      </c>
      <c r="H23" s="736">
        <f>G23/$G$38</f>
        <v>0.29222804753449277</v>
      </c>
      <c r="I23" s="737">
        <f>+G23</f>
        <v>1101949.2371145156</v>
      </c>
      <c r="J23" s="738"/>
      <c r="K23" s="752">
        <f>+E23-I23-J23</f>
        <v>41801817.090252772</v>
      </c>
    </row>
    <row r="24" spans="2:11" x14ac:dyDescent="0.2">
      <c r="B24" s="726"/>
      <c r="C24" s="720"/>
      <c r="D24" s="721"/>
      <c r="E24" s="575"/>
      <c r="F24" s="73"/>
      <c r="G24" s="747"/>
      <c r="H24" s="737"/>
      <c r="I24" s="740"/>
      <c r="J24" s="738"/>
      <c r="K24" s="752">
        <f>+E24-I24-J24</f>
        <v>0</v>
      </c>
    </row>
    <row r="25" spans="2:11" x14ac:dyDescent="0.2">
      <c r="B25" s="727"/>
      <c r="C25" s="720"/>
      <c r="D25" s="721"/>
      <c r="E25" s="575"/>
      <c r="F25" s="73"/>
      <c r="G25" s="747"/>
      <c r="H25" s="741"/>
      <c r="I25" s="740"/>
      <c r="J25" s="738"/>
      <c r="K25" s="750"/>
    </row>
    <row r="26" spans="2:11" x14ac:dyDescent="0.2">
      <c r="B26" s="726" t="str">
        <f>+'9. Weather Adj LF'!B24</f>
        <v>General Service &gt; 50 kW - 4999 kW</v>
      </c>
      <c r="C26" s="720"/>
      <c r="D26" s="721" t="s">
        <v>35</v>
      </c>
      <c r="E26" s="575">
        <f>+'9. Weather Adj LF'!L25</f>
        <v>84345116.302129641</v>
      </c>
      <c r="F26" s="73"/>
      <c r="G26" s="751">
        <v>1877067.3429003002</v>
      </c>
      <c r="H26" s="736">
        <f>G26/$G$38</f>
        <v>0.49778311580201134</v>
      </c>
      <c r="I26" s="737">
        <f>+G26</f>
        <v>1877067.3429003002</v>
      </c>
      <c r="J26" s="738"/>
      <c r="K26" s="752">
        <f>+E26-I26-J26</f>
        <v>82468048.959229335</v>
      </c>
    </row>
    <row r="27" spans="2:11" x14ac:dyDescent="0.2">
      <c r="B27" s="726"/>
      <c r="C27" s="720"/>
      <c r="D27" s="721" t="s">
        <v>36</v>
      </c>
      <c r="E27" s="575">
        <f>+'9. Weather Adj LF'!L26</f>
        <v>217115.48764996644</v>
      </c>
      <c r="F27" s="73"/>
      <c r="G27" s="753">
        <f>+G26*'8. KW and Non-Weather Sensitive'!J31</f>
        <v>4831.819663936315</v>
      </c>
      <c r="H27" s="737"/>
      <c r="I27" s="737">
        <f>+G27</f>
        <v>4831.819663936315</v>
      </c>
      <c r="J27" s="738"/>
      <c r="K27" s="752">
        <f>+E27-I27-J27</f>
        <v>212283.66798603014</v>
      </c>
    </row>
    <row r="28" spans="2:11" x14ac:dyDescent="0.2">
      <c r="B28" s="727"/>
      <c r="C28" s="720"/>
      <c r="D28" s="721"/>
      <c r="E28" s="575"/>
      <c r="F28" s="73"/>
      <c r="G28" s="747"/>
      <c r="H28" s="737"/>
      <c r="I28" s="740"/>
      <c r="J28" s="738"/>
      <c r="K28" s="750"/>
    </row>
    <row r="29" spans="2:11" x14ac:dyDescent="0.2">
      <c r="B29" s="726" t="str">
        <f>+'9. Weather Adj LF'!B28</f>
        <v>Unmetered Scattered Load</v>
      </c>
      <c r="C29" s="720"/>
      <c r="D29" s="721" t="s">
        <v>35</v>
      </c>
      <c r="E29" s="575">
        <f>+'9. Weather Adj LF'!L29</f>
        <v>251508.00000000023</v>
      </c>
      <c r="F29" s="73"/>
      <c r="G29" s="751">
        <v>0</v>
      </c>
      <c r="H29" s="736">
        <f>G29/$G$38</f>
        <v>0</v>
      </c>
      <c r="I29" s="737">
        <f>+G29</f>
        <v>0</v>
      </c>
      <c r="J29" s="738"/>
      <c r="K29" s="752">
        <f>+E29-I29-J29</f>
        <v>251508.00000000023</v>
      </c>
    </row>
    <row r="30" spans="2:11" x14ac:dyDescent="0.2">
      <c r="B30" s="726"/>
      <c r="C30" s="720"/>
      <c r="D30" s="721"/>
      <c r="E30" s="575"/>
      <c r="F30" s="73"/>
      <c r="G30" s="751"/>
      <c r="H30" s="737"/>
      <c r="I30" s="740"/>
      <c r="J30" s="738"/>
      <c r="K30" s="752">
        <f>+E30-I30-J30</f>
        <v>0</v>
      </c>
    </row>
    <row r="31" spans="2:11" x14ac:dyDescent="0.2">
      <c r="B31" s="727"/>
      <c r="C31" s="720"/>
      <c r="D31" s="721"/>
      <c r="E31" s="575"/>
      <c r="F31" s="73"/>
      <c r="G31" s="751"/>
      <c r="H31" s="737"/>
      <c r="I31" s="740"/>
      <c r="J31" s="738"/>
      <c r="K31" s="750"/>
    </row>
    <row r="32" spans="2:11" x14ac:dyDescent="0.2">
      <c r="B32" s="726" t="str">
        <f>+'9. Weather Adj LF'!B32</f>
        <v>Street Lights</v>
      </c>
      <c r="C32" s="720"/>
      <c r="D32" s="721" t="s">
        <v>35</v>
      </c>
      <c r="E32" s="575">
        <f>+'9. Weather Adj LF'!L33</f>
        <v>886615.77344277513</v>
      </c>
      <c r="F32" s="73"/>
      <c r="G32" s="751">
        <v>0</v>
      </c>
      <c r="H32" s="736">
        <f>G32/$G$38</f>
        <v>0</v>
      </c>
      <c r="I32" s="737">
        <f>+G32</f>
        <v>0</v>
      </c>
      <c r="J32" s="738"/>
      <c r="K32" s="752">
        <f>+E32-I32-J32</f>
        <v>886615.77344277513</v>
      </c>
    </row>
    <row r="33" spans="2:14" x14ac:dyDescent="0.2">
      <c r="B33" s="726"/>
      <c r="C33" s="720"/>
      <c r="D33" s="721" t="s">
        <v>36</v>
      </c>
      <c r="E33" s="575">
        <f>+'9. Weather Adj LF'!L34</f>
        <v>2474.7419388126632</v>
      </c>
      <c r="F33" s="73"/>
      <c r="G33" s="751"/>
      <c r="H33" s="737"/>
      <c r="I33" s="740"/>
      <c r="J33" s="738"/>
      <c r="K33" s="752">
        <f>+E33-I33-J33</f>
        <v>2474.7419388126632</v>
      </c>
    </row>
    <row r="34" spans="2:14" x14ac:dyDescent="0.2">
      <c r="B34" s="727"/>
      <c r="C34" s="720"/>
      <c r="D34" s="721"/>
      <c r="E34" s="575"/>
      <c r="F34" s="73"/>
      <c r="G34" s="751"/>
      <c r="H34" s="741"/>
      <c r="I34" s="740"/>
      <c r="J34" s="738"/>
      <c r="K34" s="750"/>
    </row>
    <row r="35" spans="2:14" x14ac:dyDescent="0.2">
      <c r="B35" s="726" t="str">
        <f>+'9. Weather Adj LF'!B36</f>
        <v>Large User</v>
      </c>
      <c r="C35" s="722"/>
      <c r="D35" s="721" t="s">
        <v>35</v>
      </c>
      <c r="E35" s="575">
        <f>+'9. Weather Adj LF'!L37</f>
        <v>23308825.330262251</v>
      </c>
      <c r="F35" s="73"/>
      <c r="G35" s="751">
        <v>0</v>
      </c>
      <c r="H35" s="736">
        <f>G35/$G$38</f>
        <v>0</v>
      </c>
      <c r="I35" s="737">
        <f>+G35</f>
        <v>0</v>
      </c>
      <c r="J35" s="738"/>
      <c r="K35" s="752">
        <f>+E35-I35-J35</f>
        <v>23308825.330262251</v>
      </c>
    </row>
    <row r="36" spans="2:14" x14ac:dyDescent="0.2">
      <c r="B36" s="727"/>
      <c r="C36" s="720"/>
      <c r="D36" s="721" t="s">
        <v>36</v>
      </c>
      <c r="E36" s="575">
        <f>+'9. Weather Adj LF'!L38</f>
        <v>60000</v>
      </c>
      <c r="F36" s="73"/>
      <c r="G36" s="747"/>
      <c r="H36" s="741"/>
      <c r="I36" s="740"/>
      <c r="J36" s="738"/>
      <c r="K36" s="752">
        <f>+E36-I36-J36</f>
        <v>60000</v>
      </c>
    </row>
    <row r="37" spans="2:14" ht="13.5" thickBot="1" x14ac:dyDescent="0.25">
      <c r="B37" s="728"/>
      <c r="C37" s="729"/>
      <c r="D37" s="730"/>
      <c r="E37" s="731"/>
      <c r="F37" s="73"/>
      <c r="G37" s="754"/>
      <c r="H37" s="755"/>
      <c r="I37" s="756"/>
      <c r="J37" s="757"/>
      <c r="K37" s="758"/>
    </row>
    <row r="38" spans="2:14" ht="13.5" thickBot="1" x14ac:dyDescent="0.25">
      <c r="B38" s="256" t="s">
        <v>154</v>
      </c>
      <c r="C38" s="257"/>
      <c r="D38" s="258"/>
      <c r="E38" s="259">
        <f>+E20+E23+E26+E29+E32+E35</f>
        <v>226386367.03250256</v>
      </c>
      <c r="F38" s="73"/>
      <c r="G38" s="259">
        <f>+G20+G23+G26+G29+G32+G35</f>
        <v>3770853.7781078266</v>
      </c>
      <c r="H38" s="735">
        <f>SUM(H20:H36)</f>
        <v>1</v>
      </c>
      <c r="I38" s="259">
        <f>+I20+I23+I26+I29+I32+I35</f>
        <v>3770853.7781078266</v>
      </c>
      <c r="J38" s="259">
        <f>+J20+J23+J26+J29+J32+J35</f>
        <v>0</v>
      </c>
      <c r="K38" s="259">
        <f>+K20+K23+K26+K29+K32+K35</f>
        <v>222615513.25439471</v>
      </c>
    </row>
    <row r="39" spans="2:14" ht="19.5" thickBot="1" x14ac:dyDescent="0.25">
      <c r="B39" s="256" t="s">
        <v>263</v>
      </c>
      <c r="C39" s="257"/>
      <c r="D39" s="258"/>
      <c r="E39" s="259">
        <f>+E27+E33+E36</f>
        <v>279590.2295887791</v>
      </c>
      <c r="F39" s="73"/>
      <c r="G39" s="259">
        <f>+G27+G33+G36</f>
        <v>4831.819663936315</v>
      </c>
      <c r="H39" s="549"/>
      <c r="I39" s="259"/>
      <c r="J39" s="260"/>
      <c r="K39" s="261"/>
      <c r="M39" s="254">
        <f>+I38-'10. CDM Adjustment'!H70</f>
        <v>0</v>
      </c>
      <c r="N39" s="255" t="s">
        <v>172</v>
      </c>
    </row>
    <row r="40" spans="2:14" x14ac:dyDescent="0.2">
      <c r="B40" s="74"/>
      <c r="C40" s="74"/>
      <c r="D40" s="77"/>
      <c r="E40" s="75"/>
      <c r="F40" s="76"/>
      <c r="G40" s="76"/>
      <c r="H40" s="76"/>
      <c r="I40" s="76"/>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3" tint="0.59999389629810485"/>
  </sheetPr>
  <dimension ref="A1:M45"/>
  <sheetViews>
    <sheetView showGridLines="0" topLeftCell="C13" zoomScaleNormal="100" workbookViewId="0">
      <selection activeCell="K42" sqref="K42"/>
    </sheetView>
  </sheetViews>
  <sheetFormatPr defaultColWidth="10.5" defaultRowHeight="12.75" x14ac:dyDescent="0.2"/>
  <cols>
    <col min="1" max="1" width="13.6640625" style="1" customWidth="1"/>
    <col min="2" max="2" width="35.83203125" style="1" customWidth="1"/>
    <col min="3" max="11" width="17.1640625" style="1" customWidth="1"/>
    <col min="12" max="12" width="17.1640625" style="136" customWidth="1"/>
    <col min="13" max="13" width="16.6640625" style="1" hidden="1" customWidth="1"/>
    <col min="14" max="14" width="10.5" style="1"/>
    <col min="15" max="16" width="1.83203125" style="1" bestFit="1" customWidth="1"/>
    <col min="17" max="16384" width="10.5" style="1"/>
  </cols>
  <sheetData>
    <row r="1" spans="1:13" s="296" customFormat="1" x14ac:dyDescent="0.2">
      <c r="A1" s="366" t="s">
        <v>198</v>
      </c>
      <c r="L1" s="136"/>
    </row>
    <row r="2" spans="1:13" s="296" customFormat="1" x14ac:dyDescent="0.2">
      <c r="L2" s="136"/>
    </row>
    <row r="3" spans="1:13" s="296" customFormat="1" x14ac:dyDescent="0.2">
      <c r="L3" s="136"/>
    </row>
    <row r="4" spans="1:13" s="296" customFormat="1" x14ac:dyDescent="0.2">
      <c r="L4" s="136"/>
    </row>
    <row r="5" spans="1:13" s="296" customFormat="1" x14ac:dyDescent="0.2">
      <c r="L5" s="136"/>
    </row>
    <row r="6" spans="1:13" s="296" customFormat="1" x14ac:dyDescent="0.2">
      <c r="L6" s="136"/>
    </row>
    <row r="7" spans="1:13" s="296" customFormat="1" x14ac:dyDescent="0.2">
      <c r="L7" s="136"/>
    </row>
    <row r="8" spans="1:13" s="296" customFormat="1" x14ac:dyDescent="0.2">
      <c r="L8" s="136"/>
    </row>
    <row r="9" spans="1:13" s="296" customFormat="1" x14ac:dyDescent="0.2">
      <c r="L9" s="136"/>
    </row>
    <row r="11" spans="1:13" ht="23.25" x14ac:dyDescent="0.2">
      <c r="B11" s="79" t="s">
        <v>173</v>
      </c>
      <c r="L11" s="196"/>
    </row>
    <row r="12" spans="1:13" ht="13.5" thickBot="1" x14ac:dyDescent="0.25">
      <c r="M12" s="1" t="s">
        <v>320</v>
      </c>
    </row>
    <row r="13" spans="1:13" ht="13.5" thickBot="1" x14ac:dyDescent="0.25">
      <c r="B13" s="562"/>
      <c r="C13" s="563" t="s">
        <v>32</v>
      </c>
      <c r="D13" s="564">
        <f>'4. Customer Growth'!B17</f>
        <v>2011</v>
      </c>
      <c r="E13" s="564">
        <f>'4. Customer Growth'!B18</f>
        <v>2012</v>
      </c>
      <c r="F13" s="564">
        <f>'4. Customer Growth'!B19</f>
        <v>2013</v>
      </c>
      <c r="G13" s="564">
        <f>'4. Customer Growth'!B20</f>
        <v>2014</v>
      </c>
      <c r="H13" s="564">
        <f>'4. Customer Growth'!B21</f>
        <v>2015</v>
      </c>
      <c r="I13" s="564">
        <f>'4. Customer Growth'!B22</f>
        <v>2016</v>
      </c>
      <c r="J13" s="564">
        <f>'4. Customer Growth'!B23</f>
        <v>2017</v>
      </c>
      <c r="K13" s="564" t="str">
        <f>'4. Customer Growth'!B27</f>
        <v>2018</v>
      </c>
      <c r="L13" s="565" t="str">
        <f>'4. Customer Growth'!B28</f>
        <v>2019</v>
      </c>
      <c r="M13" s="1" t="s">
        <v>319</v>
      </c>
    </row>
    <row r="14" spans="1:13" x14ac:dyDescent="0.2">
      <c r="B14" s="570" t="str">
        <f>+'9. Weather Adj LF'!B16</f>
        <v>Residential</v>
      </c>
      <c r="C14" s="571" t="s">
        <v>105</v>
      </c>
      <c r="D14" s="572">
        <f>+'9. Weather Adj LF'!D16</f>
        <v>6594.125</v>
      </c>
      <c r="E14" s="572">
        <f>+'9. Weather Adj LF'!E16</f>
        <v>6716.25</v>
      </c>
      <c r="F14" s="572">
        <f>+'9. Weather Adj LF'!F16</f>
        <v>6912.458333333333</v>
      </c>
      <c r="G14" s="572">
        <f>+'9. Weather Adj LF'!G16</f>
        <v>7110.208333333333</v>
      </c>
      <c r="H14" s="572">
        <f>+'9. Weather Adj LF'!H16</f>
        <v>7389.208333333333</v>
      </c>
      <c r="I14" s="572">
        <f>+'9. Weather Adj LF'!I16</f>
        <v>7660.791666666667</v>
      </c>
      <c r="J14" s="572">
        <f>+'9. Weather Adj LF'!J16</f>
        <v>7838.375</v>
      </c>
      <c r="K14" s="572">
        <f>+'9. Weather Adj LF'!K16</f>
        <v>7976.375</v>
      </c>
      <c r="L14" s="573">
        <f>+'9. Weather Adj LF'!L16</f>
        <v>8152.375</v>
      </c>
    </row>
    <row r="15" spans="1:13" x14ac:dyDescent="0.2">
      <c r="B15" s="574"/>
      <c r="C15" s="43" t="s">
        <v>35</v>
      </c>
      <c r="D15" s="566">
        <f>+'9. Weather Adj LF'!D17</f>
        <v>66976829.959999993</v>
      </c>
      <c r="E15" s="566">
        <f>+'9. Weather Adj LF'!E17</f>
        <v>67086975.060000002</v>
      </c>
      <c r="F15" s="566">
        <f>+'9. Weather Adj LF'!F17</f>
        <v>68126808.569999993</v>
      </c>
      <c r="G15" s="566">
        <f>+'9. Weather Adj LF'!G17</f>
        <v>68599527.920000017</v>
      </c>
      <c r="H15" s="566">
        <f>+'9. Weather Adj LF'!H17</f>
        <v>69624978.280000001</v>
      </c>
      <c r="I15" s="566">
        <f>+'9. Weather Adj LF'!I17</f>
        <v>74189661.459999993</v>
      </c>
      <c r="J15" s="566">
        <f>+'9. Weather Adj LF'!J17</f>
        <v>71017298.550000012</v>
      </c>
      <c r="K15" s="566">
        <f>+'9. Weather Adj LF'!K17</f>
        <v>73760865.328503177</v>
      </c>
      <c r="L15" s="575">
        <f>+'10.1 CDM Allocation'!K20</f>
        <v>73898698.101207584</v>
      </c>
      <c r="M15" s="779">
        <f>+L15/L14/12</f>
        <v>755.39028096319146</v>
      </c>
    </row>
    <row r="16" spans="1:13" x14ac:dyDescent="0.2">
      <c r="B16" s="574"/>
      <c r="C16" s="43" t="s">
        <v>36</v>
      </c>
      <c r="D16" s="566"/>
      <c r="E16" s="566"/>
      <c r="F16" s="566"/>
      <c r="G16" s="566"/>
      <c r="H16" s="566"/>
      <c r="I16" s="566"/>
      <c r="J16" s="566"/>
      <c r="K16" s="566"/>
      <c r="L16" s="575"/>
    </row>
    <row r="17" spans="2:13" x14ac:dyDescent="0.2">
      <c r="B17" s="574"/>
      <c r="C17" s="43"/>
      <c r="D17" s="566"/>
      <c r="E17" s="566"/>
      <c r="F17" s="566"/>
      <c r="G17" s="566"/>
      <c r="H17" s="566"/>
      <c r="I17" s="566"/>
      <c r="J17" s="566"/>
      <c r="K17" s="566"/>
      <c r="L17" s="575"/>
    </row>
    <row r="18" spans="2:13" x14ac:dyDescent="0.2">
      <c r="B18" s="576" t="str">
        <f>+'9. Weather Adj LF'!B20</f>
        <v>General Service &lt; 50 kW</v>
      </c>
      <c r="C18" s="43" t="s">
        <v>105</v>
      </c>
      <c r="D18" s="566">
        <f>+'9. Weather Adj LF'!D20</f>
        <v>1234.6666666666667</v>
      </c>
      <c r="E18" s="566">
        <f>+'9. Weather Adj LF'!E20</f>
        <v>1268.9583333333333</v>
      </c>
      <c r="F18" s="566">
        <f>+'9. Weather Adj LF'!F20</f>
        <v>1221.0416666666667</v>
      </c>
      <c r="G18" s="566">
        <f>+'9. Weather Adj LF'!G20</f>
        <v>1311.8333333333333</v>
      </c>
      <c r="H18" s="566">
        <f>+'9. Weather Adj LF'!H20</f>
        <v>1321.5416666666667</v>
      </c>
      <c r="I18" s="566">
        <f>+'9. Weather Adj LF'!I20</f>
        <v>1332.7083333333333</v>
      </c>
      <c r="J18" s="566">
        <f>+'9. Weather Adj LF'!J20</f>
        <v>1331.6666666666667</v>
      </c>
      <c r="K18" s="566">
        <f>+'9. Weather Adj LF'!K20</f>
        <v>1336.6666666666667</v>
      </c>
      <c r="L18" s="575">
        <f>+'9. Weather Adj LF'!L20</f>
        <v>1341.6666666666667</v>
      </c>
    </row>
    <row r="19" spans="2:13" x14ac:dyDescent="0.2">
      <c r="B19" s="574"/>
      <c r="C19" s="43" t="s">
        <v>35</v>
      </c>
      <c r="D19" s="566">
        <f>+'9. Weather Adj LF'!D21</f>
        <v>34321035.060000002</v>
      </c>
      <c r="E19" s="566">
        <f>+'9. Weather Adj LF'!E21</f>
        <v>35374878.009999998</v>
      </c>
      <c r="F19" s="566">
        <f>+'9. Weather Adj LF'!F21</f>
        <v>35291130.910000004</v>
      </c>
      <c r="G19" s="566">
        <f>+'9. Weather Adj LF'!G21</f>
        <v>39288460.370000005</v>
      </c>
      <c r="H19" s="566">
        <f>+'9. Weather Adj LF'!H21</f>
        <v>41172287.869999997</v>
      </c>
      <c r="I19" s="566">
        <f>+'9. Weather Adj LF'!I21</f>
        <v>43510840.949999996</v>
      </c>
      <c r="J19" s="566">
        <f>+'9. Weather Adj LF'!J21</f>
        <v>40733064.149999999</v>
      </c>
      <c r="K19" s="566">
        <f>+'9. Weather Adj LF'!K21</f>
        <v>42369980.848468766</v>
      </c>
      <c r="L19" s="575">
        <f>+'10.1 CDM Allocation'!K23</f>
        <v>41801817.090252772</v>
      </c>
      <c r="M19" s="779">
        <f>+L19/L18/12</f>
        <v>2596.386154674085</v>
      </c>
    </row>
    <row r="20" spans="2:13" x14ac:dyDescent="0.2">
      <c r="B20" s="574"/>
      <c r="C20" s="43" t="s">
        <v>36</v>
      </c>
      <c r="D20" s="566"/>
      <c r="E20" s="566"/>
      <c r="F20" s="566"/>
      <c r="G20" s="566"/>
      <c r="H20" s="566"/>
      <c r="I20" s="566"/>
      <c r="J20" s="566"/>
      <c r="K20" s="566"/>
      <c r="L20" s="575"/>
    </row>
    <row r="21" spans="2:13" x14ac:dyDescent="0.2">
      <c r="B21" s="574"/>
      <c r="C21" s="43"/>
      <c r="D21" s="566"/>
      <c r="E21" s="566"/>
      <c r="F21" s="566"/>
      <c r="G21" s="566"/>
      <c r="H21" s="566"/>
      <c r="I21" s="566"/>
      <c r="J21" s="566"/>
      <c r="K21" s="566"/>
      <c r="L21" s="575"/>
    </row>
    <row r="22" spans="2:13" x14ac:dyDescent="0.2">
      <c r="B22" s="576" t="str">
        <f>+'9. Weather Adj LF'!B24</f>
        <v>General Service &gt; 50 kW - 4999 kW</v>
      </c>
      <c r="C22" s="43" t="s">
        <v>105</v>
      </c>
      <c r="D22" s="566">
        <f>+'9. Weather Adj LF'!D24</f>
        <v>120.04166666666667</v>
      </c>
      <c r="E22" s="566">
        <f>+'9. Weather Adj LF'!E24</f>
        <v>117.70833333333333</v>
      </c>
      <c r="F22" s="566">
        <f>+'9. Weather Adj LF'!F24</f>
        <v>117.875</v>
      </c>
      <c r="G22" s="566">
        <f>+'9. Weather Adj LF'!G24</f>
        <v>129.375</v>
      </c>
      <c r="H22" s="566">
        <f>+'9. Weather Adj LF'!H24</f>
        <v>128</v>
      </c>
      <c r="I22" s="566">
        <f>+'9. Weather Adj LF'!I24</f>
        <v>121.5</v>
      </c>
      <c r="J22" s="566">
        <f>+'9. Weather Adj LF'!J24</f>
        <v>128.95833333333334</v>
      </c>
      <c r="K22" s="566">
        <f>+'9. Weather Adj LF'!K24</f>
        <v>130.50755221180745</v>
      </c>
      <c r="L22" s="575">
        <f>+'9. Weather Adj LF'!L24</f>
        <v>131</v>
      </c>
    </row>
    <row r="23" spans="2:13" x14ac:dyDescent="0.2">
      <c r="B23" s="574"/>
      <c r="C23" s="43" t="s">
        <v>35</v>
      </c>
      <c r="D23" s="566">
        <f>+'9. Weather Adj LF'!D25</f>
        <v>78632456.620000005</v>
      </c>
      <c r="E23" s="566">
        <f>+'9. Weather Adj LF'!E25</f>
        <v>77993647.680000007</v>
      </c>
      <c r="F23" s="566">
        <f>+'9. Weather Adj LF'!F25</f>
        <v>77896093.379999995</v>
      </c>
      <c r="G23" s="566">
        <f>+'9. Weather Adj LF'!G25</f>
        <v>80076898.530000001</v>
      </c>
      <c r="H23" s="566">
        <f>+'9. Weather Adj LF'!H25</f>
        <v>81848511.329999983</v>
      </c>
      <c r="I23" s="566">
        <f>+'9. Weather Adj LF'!I25</f>
        <v>83681623.590000004</v>
      </c>
      <c r="J23" s="566">
        <f>+'9. Weather Adj LF'!J25</f>
        <v>84099297.00999999</v>
      </c>
      <c r="K23" s="566">
        <f>+'9. Weather Adj LF'!K25</f>
        <v>85961669.378012925</v>
      </c>
      <c r="L23" s="575">
        <f>+'10.1 CDM Allocation'!K26</f>
        <v>82468048.959229335</v>
      </c>
      <c r="M23" s="779">
        <f>+L23/L22/12</f>
        <v>52460.590940985589</v>
      </c>
    </row>
    <row r="24" spans="2:13" x14ac:dyDescent="0.2">
      <c r="B24" s="574"/>
      <c r="C24" s="43" t="s">
        <v>36</v>
      </c>
      <c r="D24" s="566">
        <f>+'9. Weather Adj LF'!D26</f>
        <v>199917.50000000003</v>
      </c>
      <c r="E24" s="566">
        <f>+'9. Weather Adj LF'!E26</f>
        <v>202737.81</v>
      </c>
      <c r="F24" s="566">
        <f>+'9. Weather Adj LF'!F26</f>
        <v>204592.81999999998</v>
      </c>
      <c r="G24" s="566">
        <f>+'9. Weather Adj LF'!G26</f>
        <v>208042.52000000002</v>
      </c>
      <c r="H24" s="566">
        <f>+'9. Weather Adj LF'!H26</f>
        <v>213948.53999999998</v>
      </c>
      <c r="I24" s="566">
        <f>+'9. Weather Adj LF'!I26</f>
        <v>211155.36</v>
      </c>
      <c r="J24" s="566">
        <f>+'9. Weather Adj LF'!J26</f>
        <v>211533.96999999997</v>
      </c>
      <c r="K24" s="566">
        <f>+'9. Weather Adj LF'!K26</f>
        <v>221276.70912632582</v>
      </c>
      <c r="L24" s="575">
        <f>+'10.1 CDM Allocation'!K27</f>
        <v>212283.66798603014</v>
      </c>
      <c r="M24" s="779">
        <f>+L24/L22/12</f>
        <v>135.04050126337793</v>
      </c>
    </row>
    <row r="25" spans="2:13" x14ac:dyDescent="0.2">
      <c r="B25" s="574"/>
      <c r="C25" s="43"/>
      <c r="D25" s="566"/>
      <c r="E25" s="566"/>
      <c r="F25" s="566"/>
      <c r="G25" s="566"/>
      <c r="H25" s="566"/>
      <c r="I25" s="566"/>
      <c r="J25" s="566"/>
      <c r="K25" s="566"/>
      <c r="L25" s="575"/>
    </row>
    <row r="26" spans="2:13" x14ac:dyDescent="0.2">
      <c r="B26" s="576" t="str">
        <f>+'9. Weather Adj LF'!B28</f>
        <v>Unmetered Scattered Load</v>
      </c>
      <c r="C26" s="43" t="s">
        <v>105</v>
      </c>
      <c r="D26" s="566">
        <f>+'9. Weather Adj LF'!D28</f>
        <v>22.083333333333332</v>
      </c>
      <c r="E26" s="566">
        <f>+'9. Weather Adj LF'!E28</f>
        <v>22</v>
      </c>
      <c r="F26" s="566">
        <f>+'9. Weather Adj LF'!F28</f>
        <v>21.375</v>
      </c>
      <c r="G26" s="566">
        <f>+'9. Weather Adj LF'!G28</f>
        <v>21.625</v>
      </c>
      <c r="H26" s="566">
        <f>+'9. Weather Adj LF'!H28</f>
        <v>20.208333333333332</v>
      </c>
      <c r="I26" s="566">
        <f>+'9. Weather Adj LF'!I28</f>
        <v>17.708333333333332</v>
      </c>
      <c r="J26" s="566">
        <f>+'9. Weather Adj LF'!J28</f>
        <v>21.25</v>
      </c>
      <c r="K26" s="566">
        <f>+'9. Weather Adj LF'!K28</f>
        <v>26</v>
      </c>
      <c r="L26" s="575">
        <f>+'9. Weather Adj LF'!L28</f>
        <v>26</v>
      </c>
    </row>
    <row r="27" spans="2:13" x14ac:dyDescent="0.2">
      <c r="B27" s="574"/>
      <c r="C27" s="43" t="s">
        <v>35</v>
      </c>
      <c r="D27" s="566">
        <f>+'9. Weather Adj LF'!D29</f>
        <v>225362.2</v>
      </c>
      <c r="E27" s="566">
        <f>+'9. Weather Adj LF'!E29</f>
        <v>226393.8</v>
      </c>
      <c r="F27" s="566">
        <f>+'9. Weather Adj LF'!F29</f>
        <v>234467.23</v>
      </c>
      <c r="G27" s="566">
        <f>+'9. Weather Adj LF'!G29</f>
        <v>230816.74</v>
      </c>
      <c r="H27" s="566">
        <f>+'9. Weather Adj LF'!H29</f>
        <v>224901.2</v>
      </c>
      <c r="I27" s="566">
        <f>+'9. Weather Adj LF'!I29</f>
        <v>224075.16999999998</v>
      </c>
      <c r="J27" s="566">
        <f>+'9. Weather Adj LF'!J29</f>
        <v>250759.37</v>
      </c>
      <c r="K27" s="566">
        <f>+'9. Weather Adj LF'!K29</f>
        <v>251508.00000000023</v>
      </c>
      <c r="L27" s="575">
        <f>+'10.1 CDM Allocation'!K29</f>
        <v>251508.00000000023</v>
      </c>
      <c r="M27" s="779">
        <f>+L27/L26/12</f>
        <v>806.11538461538532</v>
      </c>
    </row>
    <row r="28" spans="2:13" x14ac:dyDescent="0.2">
      <c r="B28" s="574"/>
      <c r="C28" s="43" t="s">
        <v>36</v>
      </c>
      <c r="D28" s="566"/>
      <c r="E28" s="566"/>
      <c r="F28" s="566"/>
      <c r="G28" s="566"/>
      <c r="H28" s="566"/>
      <c r="I28" s="566"/>
      <c r="J28" s="566"/>
      <c r="K28" s="566"/>
      <c r="L28" s="575"/>
    </row>
    <row r="29" spans="2:13" x14ac:dyDescent="0.2">
      <c r="B29" s="574"/>
      <c r="C29" s="43"/>
      <c r="D29" s="566"/>
      <c r="E29" s="566"/>
      <c r="F29" s="566"/>
      <c r="G29" s="566"/>
      <c r="H29" s="566"/>
      <c r="I29" s="566"/>
      <c r="J29" s="566"/>
      <c r="K29" s="566"/>
      <c r="L29" s="575"/>
    </row>
    <row r="30" spans="2:13" x14ac:dyDescent="0.2">
      <c r="B30" s="576" t="str">
        <f>+'9. Weather Adj LF'!B32</f>
        <v>Street Lights</v>
      </c>
      <c r="C30" s="43" t="s">
        <v>105</v>
      </c>
      <c r="D30" s="566">
        <f>+'9. Weather Adj LF'!D32</f>
        <v>1946</v>
      </c>
      <c r="E30" s="566">
        <f>+'9. Weather Adj LF'!E32</f>
        <v>1946.75</v>
      </c>
      <c r="F30" s="566">
        <f>+'9. Weather Adj LF'!F32</f>
        <v>1948.75</v>
      </c>
      <c r="G30" s="566">
        <f>+'9. Weather Adj LF'!G32</f>
        <v>2051.3333333333335</v>
      </c>
      <c r="H30" s="566">
        <f>+'9. Weather Adj LF'!H32</f>
        <v>2080.75</v>
      </c>
      <c r="I30" s="566">
        <f>+'9. Weather Adj LF'!I32</f>
        <v>2120.1666666666665</v>
      </c>
      <c r="J30" s="566">
        <f>+'9. Weather Adj LF'!J32</f>
        <v>2123.9166666666665</v>
      </c>
      <c r="K30" s="566">
        <f>+'9. Weather Adj LF'!K32</f>
        <v>2155.1123337847007</v>
      </c>
      <c r="L30" s="575">
        <f>+'9. Weather Adj LF'!L32</f>
        <v>2186.7661966795336</v>
      </c>
      <c r="M30" s="1">
        <f>+L30/5</f>
        <v>437.35323933590672</v>
      </c>
    </row>
    <row r="31" spans="2:13" x14ac:dyDescent="0.2">
      <c r="B31" s="574"/>
      <c r="C31" s="43" t="s">
        <v>35</v>
      </c>
      <c r="D31" s="566">
        <f>+'9. Weather Adj LF'!D33</f>
        <v>1153887.57</v>
      </c>
      <c r="E31" s="566">
        <f>+'9. Weather Adj LF'!E33</f>
        <v>1163464.3800000001</v>
      </c>
      <c r="F31" s="566">
        <f>+'9. Weather Adj LF'!F33</f>
        <v>1160023.9100000001</v>
      </c>
      <c r="G31" s="566">
        <f>+'9. Weather Adj LF'!G33</f>
        <v>1160025.06</v>
      </c>
      <c r="H31" s="566">
        <f>+'9. Weather Adj LF'!H33</f>
        <v>974371.32000000007</v>
      </c>
      <c r="I31" s="566">
        <f>+'9. Weather Adj LF'!I33</f>
        <v>861899.34000000008</v>
      </c>
      <c r="J31" s="566">
        <f>+'9. Weather Adj LF'!J33</f>
        <v>858843.55</v>
      </c>
      <c r="K31" s="566">
        <f>+'9. Weather Adj LF'!K33</f>
        <v>873781.83894371043</v>
      </c>
      <c r="L31" s="575">
        <f>+'10.1 CDM Allocation'!K32</f>
        <v>886615.77344277513</v>
      </c>
      <c r="M31" s="779">
        <f>+L31/L30/12*300</f>
        <v>10136.151898509375</v>
      </c>
    </row>
    <row r="32" spans="2:13" x14ac:dyDescent="0.2">
      <c r="B32" s="574"/>
      <c r="C32" s="43" t="s">
        <v>36</v>
      </c>
      <c r="D32" s="566">
        <f>+'9. Weather Adj LF'!D34</f>
        <v>3221.89</v>
      </c>
      <c r="E32" s="566">
        <f>+'9. Weather Adj LF'!E34</f>
        <v>3238.8</v>
      </c>
      <c r="F32" s="566">
        <f>+'9. Weather Adj LF'!F34</f>
        <v>3256.79</v>
      </c>
      <c r="G32" s="566">
        <f>+'9. Weather Adj LF'!G34</f>
        <v>3238.8</v>
      </c>
      <c r="H32" s="566">
        <f>+'9. Weather Adj LF'!H34</f>
        <v>2742.9900000000007</v>
      </c>
      <c r="I32" s="566">
        <f>+'9. Weather Adj LF'!I34</f>
        <v>2373.42</v>
      </c>
      <c r="J32" s="566">
        <f>+'9. Weather Adj LF'!J34</f>
        <v>2399.7999999999997</v>
      </c>
      <c r="K32" s="566">
        <f>+'9. Weather Adj LF'!K34</f>
        <v>2438.9195714511152</v>
      </c>
      <c r="L32" s="575">
        <f>+'10.1 CDM Allocation'!K33</f>
        <v>2474.7419388126632</v>
      </c>
      <c r="M32" s="779">
        <f>+L32/L30/12*300</f>
        <v>28.292255735551461</v>
      </c>
    </row>
    <row r="33" spans="2:13" x14ac:dyDescent="0.2">
      <c r="B33" s="574"/>
      <c r="C33" s="43"/>
      <c r="D33" s="566"/>
      <c r="E33" s="566"/>
      <c r="F33" s="566"/>
      <c r="G33" s="566"/>
      <c r="H33" s="566"/>
      <c r="I33" s="566"/>
      <c r="J33" s="566"/>
      <c r="K33" s="566"/>
      <c r="L33" s="575"/>
    </row>
    <row r="34" spans="2:13" x14ac:dyDescent="0.2">
      <c r="B34" s="576" t="str">
        <f>+'9. Weather Adj LF'!B36</f>
        <v>Large User</v>
      </c>
      <c r="C34" s="43" t="s">
        <v>105</v>
      </c>
      <c r="D34" s="566">
        <f>+'9. Weather Adj LF'!D36</f>
        <v>0</v>
      </c>
      <c r="E34" s="566">
        <f>+'9. Weather Adj LF'!E36</f>
        <v>0</v>
      </c>
      <c r="F34" s="566">
        <f>+'9. Weather Adj LF'!F36</f>
        <v>0</v>
      </c>
      <c r="G34" s="566">
        <f>+'9. Weather Adj LF'!G36</f>
        <v>0</v>
      </c>
      <c r="H34" s="566">
        <f>+'9. Weather Adj LF'!H36</f>
        <v>0</v>
      </c>
      <c r="I34" s="566">
        <f>+'9. Weather Adj LF'!I36</f>
        <v>0</v>
      </c>
      <c r="J34" s="566">
        <f>+'9. Weather Adj LF'!J36</f>
        <v>0</v>
      </c>
      <c r="K34" s="566">
        <f>+'9. Weather Adj LF'!K36</f>
        <v>0</v>
      </c>
      <c r="L34" s="575">
        <f>+'9. Weather Adj LF'!L36</f>
        <v>1</v>
      </c>
    </row>
    <row r="35" spans="2:13" x14ac:dyDescent="0.2">
      <c r="B35" s="574"/>
      <c r="C35" s="43" t="s">
        <v>35</v>
      </c>
      <c r="D35" s="566">
        <f>+'9. Weather Adj LF'!D37</f>
        <v>0</v>
      </c>
      <c r="E35" s="566">
        <f>+'9. Weather Adj LF'!E37</f>
        <v>0</v>
      </c>
      <c r="F35" s="566">
        <f>+'9. Weather Adj LF'!F37</f>
        <v>0</v>
      </c>
      <c r="G35" s="566">
        <f>+'9. Weather Adj LF'!G37</f>
        <v>0</v>
      </c>
      <c r="H35" s="566">
        <f>+'9. Weather Adj LF'!H37</f>
        <v>0</v>
      </c>
      <c r="I35" s="566">
        <f>+'9. Weather Adj LF'!I37</f>
        <v>0</v>
      </c>
      <c r="J35" s="566">
        <f>+'9. Weather Adj LF'!J37</f>
        <v>0</v>
      </c>
      <c r="K35" s="566">
        <f>+'9. Weather Adj LF'!K37</f>
        <v>0</v>
      </c>
      <c r="L35" s="575">
        <f>+'10.1 CDM Allocation'!K35</f>
        <v>23308825.330262251</v>
      </c>
      <c r="M35" s="779">
        <f>+L35/L34/12</f>
        <v>1942402.1108551875</v>
      </c>
    </row>
    <row r="36" spans="2:13" x14ac:dyDescent="0.2">
      <c r="B36" s="574"/>
      <c r="C36" s="43" t="s">
        <v>36</v>
      </c>
      <c r="D36" s="566">
        <f>+'9. Weather Adj LF'!D38</f>
        <v>0</v>
      </c>
      <c r="E36" s="566">
        <f>+'9. Weather Adj LF'!E38</f>
        <v>0</v>
      </c>
      <c r="F36" s="566">
        <f>+'9. Weather Adj LF'!F38</f>
        <v>0</v>
      </c>
      <c r="G36" s="566">
        <f>+'9. Weather Adj LF'!G38</f>
        <v>0</v>
      </c>
      <c r="H36" s="566">
        <f>+'9. Weather Adj LF'!H38</f>
        <v>0</v>
      </c>
      <c r="I36" s="566">
        <f>+'9. Weather Adj LF'!I38</f>
        <v>0</v>
      </c>
      <c r="J36" s="566">
        <f>+'9. Weather Adj LF'!J38</f>
        <v>0</v>
      </c>
      <c r="K36" s="566">
        <f>+'9. Weather Adj LF'!K38</f>
        <v>0</v>
      </c>
      <c r="L36" s="575">
        <f>+'10.1 CDM Allocation'!K36</f>
        <v>60000</v>
      </c>
    </row>
    <row r="37" spans="2:13" x14ac:dyDescent="0.2">
      <c r="B37" s="577"/>
      <c r="C37" s="43"/>
      <c r="D37" s="566"/>
      <c r="E37" s="566"/>
      <c r="F37" s="566"/>
      <c r="G37" s="566"/>
      <c r="H37" s="566"/>
      <c r="I37" s="566"/>
      <c r="J37" s="566"/>
      <c r="K37" s="567"/>
      <c r="L37" s="575"/>
    </row>
    <row r="38" spans="2:13" x14ac:dyDescent="0.2">
      <c r="B38" s="578" t="s">
        <v>16</v>
      </c>
      <c r="C38" s="568" t="s">
        <v>105</v>
      </c>
      <c r="D38" s="569">
        <f>D14+D18+D22+D26+D30+D34</f>
        <v>9916.9166666666679</v>
      </c>
      <c r="E38" s="569">
        <f t="shared" ref="E38:L38" si="0">E14+E18+E22+E26+E30+E34</f>
        <v>10071.666666666666</v>
      </c>
      <c r="F38" s="569">
        <f t="shared" si="0"/>
        <v>10221.5</v>
      </c>
      <c r="G38" s="569">
        <f t="shared" si="0"/>
        <v>10624.375</v>
      </c>
      <c r="H38" s="569">
        <f t="shared" si="0"/>
        <v>10939.708333333334</v>
      </c>
      <c r="I38" s="569">
        <f t="shared" si="0"/>
        <v>11252.875</v>
      </c>
      <c r="J38" s="569">
        <f t="shared" si="0"/>
        <v>11444.166666666666</v>
      </c>
      <c r="K38" s="569">
        <f t="shared" si="0"/>
        <v>11624.661552663174</v>
      </c>
      <c r="L38" s="579">
        <f t="shared" si="0"/>
        <v>11838.807863346199</v>
      </c>
      <c r="M38" s="296"/>
    </row>
    <row r="39" spans="2:13" x14ac:dyDescent="0.2">
      <c r="B39" s="578"/>
      <c r="C39" s="568" t="s">
        <v>35</v>
      </c>
      <c r="D39" s="569">
        <f>D15+D19+D23+D27+D31+D35</f>
        <v>181309571.40999997</v>
      </c>
      <c r="E39" s="569">
        <f t="shared" ref="E39:L39" si="1">E15+E19+E23+E27+E31+E35</f>
        <v>181845358.93000001</v>
      </c>
      <c r="F39" s="569">
        <f t="shared" si="1"/>
        <v>182708523.99999997</v>
      </c>
      <c r="G39" s="569">
        <f t="shared" si="1"/>
        <v>189355728.62000003</v>
      </c>
      <c r="H39" s="569">
        <f t="shared" si="1"/>
        <v>193845049.99999997</v>
      </c>
      <c r="I39" s="569">
        <f t="shared" si="1"/>
        <v>202468100.50999999</v>
      </c>
      <c r="J39" s="569">
        <f t="shared" si="1"/>
        <v>196959262.63000003</v>
      </c>
      <c r="K39" s="569">
        <f t="shared" si="1"/>
        <v>203217805.39392859</v>
      </c>
      <c r="L39" s="579">
        <f t="shared" si="1"/>
        <v>222615513.25439471</v>
      </c>
      <c r="M39" s="296"/>
    </row>
    <row r="40" spans="2:13" ht="13.5" thickBot="1" x14ac:dyDescent="0.25">
      <c r="B40" s="580"/>
      <c r="C40" s="581" t="s">
        <v>36</v>
      </c>
      <c r="D40" s="582">
        <f>D16+D20+D24+D28+D32+D36</f>
        <v>203139.39000000004</v>
      </c>
      <c r="E40" s="582">
        <f t="shared" ref="E40:L40" si="2">E16+E20+E24+E28+E32+E36</f>
        <v>205976.61</v>
      </c>
      <c r="F40" s="582">
        <f t="shared" si="2"/>
        <v>207849.61</v>
      </c>
      <c r="G40" s="582">
        <f t="shared" si="2"/>
        <v>211281.32</v>
      </c>
      <c r="H40" s="582">
        <f t="shared" si="2"/>
        <v>216691.52999999997</v>
      </c>
      <c r="I40" s="582">
        <f t="shared" si="2"/>
        <v>213528.78</v>
      </c>
      <c r="J40" s="582">
        <f t="shared" si="2"/>
        <v>213933.76999999996</v>
      </c>
      <c r="K40" s="582">
        <f t="shared" si="2"/>
        <v>223715.62869777693</v>
      </c>
      <c r="L40" s="583">
        <f t="shared" si="2"/>
        <v>274758.40992484277</v>
      </c>
      <c r="M40" s="296"/>
    </row>
    <row r="41" spans="2:13" x14ac:dyDescent="0.2">
      <c r="L41" s="1"/>
    </row>
    <row r="44" spans="2:13" x14ac:dyDescent="0.2">
      <c r="L44" s="1"/>
    </row>
    <row r="45" spans="2:13" x14ac:dyDescent="0.2">
      <c r="L45" s="1"/>
    </row>
  </sheetData>
  <pageMargins left="0.70866141732283472" right="0.70866141732283472" top="0.74803149606299213" bottom="0.74803149606299213" header="0.31496062992125984" footer="0.31496062992125984"/>
  <pageSetup scale="58" orientation="landscape"/>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3"/>
  <sheetViews>
    <sheetView showGridLines="0" zoomScaleNormal="100" workbookViewId="0">
      <selection activeCell="M31" sqref="M31"/>
    </sheetView>
  </sheetViews>
  <sheetFormatPr defaultColWidth="10.5" defaultRowHeight="12.75" x14ac:dyDescent="0.2"/>
  <cols>
    <col min="1" max="1" width="13.6640625" style="41" customWidth="1"/>
    <col min="2" max="2" width="24.5" style="41" customWidth="1"/>
    <col min="3" max="14" width="14.1640625" style="41" customWidth="1"/>
    <col min="15" max="15" width="10.83203125" style="41" customWidth="1"/>
    <col min="16" max="16" width="8.5" style="41" bestFit="1" customWidth="1"/>
    <col min="17" max="17" width="10.6640625" style="41" bestFit="1" customWidth="1"/>
    <col min="18" max="18" width="8.33203125" style="41" bestFit="1" customWidth="1"/>
    <col min="19" max="20" width="9" style="41" bestFit="1" customWidth="1"/>
    <col min="21" max="21" width="10.83203125" style="41" customWidth="1"/>
    <col min="22" max="22" width="9.6640625" style="41" bestFit="1" customWidth="1"/>
    <col min="23" max="23" width="8.5" style="41" bestFit="1" customWidth="1"/>
    <col min="24" max="24" width="9.5" style="41" bestFit="1" customWidth="1"/>
    <col min="25" max="25" width="8.33203125" style="41" bestFit="1" customWidth="1"/>
    <col min="26" max="27" width="9" style="41" bestFit="1" customWidth="1"/>
    <col min="28" max="28" width="10.83203125" style="41" bestFit="1" customWidth="1"/>
    <col min="29" max="29" width="8" style="41" bestFit="1" customWidth="1"/>
    <col min="30" max="30" width="9" style="41" bestFit="1" customWidth="1"/>
    <col min="31" max="16384" width="10.5" style="41"/>
  </cols>
  <sheetData>
    <row r="1" spans="1:14" x14ac:dyDescent="0.2">
      <c r="A1" s="366" t="s">
        <v>198</v>
      </c>
    </row>
    <row r="11" spans="1:14" ht="23.25" x14ac:dyDescent="0.2">
      <c r="B11" s="101" t="s">
        <v>50</v>
      </c>
    </row>
    <row r="12" spans="1:14" ht="13.5" thickBot="1" x14ac:dyDescent="0.25"/>
    <row r="13" spans="1:14" ht="40.5" customHeight="1" x14ac:dyDescent="0.2">
      <c r="B13" s="132"/>
      <c r="C13" s="930" t="str">
        <f>+'11. Final Load Forecast'!B14</f>
        <v>Residential</v>
      </c>
      <c r="D13" s="931"/>
      <c r="E13" s="930" t="str">
        <f>+'11. Final Load Forecast'!B18</f>
        <v>General Service &lt; 50 kW</v>
      </c>
      <c r="F13" s="931"/>
      <c r="G13" s="932" t="str">
        <f>+'11. Final Load Forecast'!B22</f>
        <v>General Service &gt; 50 kW - 4999 kW</v>
      </c>
      <c r="H13" s="933"/>
      <c r="I13" s="932" t="str">
        <f>+'11. Final Load Forecast'!B26</f>
        <v>Unmetered Scattered Load</v>
      </c>
      <c r="J13" s="933"/>
      <c r="K13" s="932" t="str">
        <f>+'11. Final Load Forecast'!B30</f>
        <v>Street Lights</v>
      </c>
      <c r="L13" s="933"/>
      <c r="M13" s="930" t="str">
        <f>+'11. Final Load Forecast'!B34</f>
        <v>Large User</v>
      </c>
      <c r="N13" s="931"/>
    </row>
    <row r="14" spans="1:14" ht="25.5" x14ac:dyDescent="0.2">
      <c r="B14" s="65" t="s">
        <v>32</v>
      </c>
      <c r="C14" s="66" t="s">
        <v>47</v>
      </c>
      <c r="D14" s="66" t="s">
        <v>106</v>
      </c>
      <c r="E14" s="66" t="s">
        <v>47</v>
      </c>
      <c r="F14" s="66" t="s">
        <v>106</v>
      </c>
      <c r="G14" s="66" t="s">
        <v>47</v>
      </c>
      <c r="H14" s="66" t="s">
        <v>106</v>
      </c>
      <c r="I14" s="66" t="s">
        <v>47</v>
      </c>
      <c r="J14" s="66" t="s">
        <v>106</v>
      </c>
      <c r="K14" s="66" t="s">
        <v>47</v>
      </c>
      <c r="L14" s="66" t="s">
        <v>106</v>
      </c>
      <c r="M14" s="66" t="s">
        <v>47</v>
      </c>
      <c r="N14" s="66" t="s">
        <v>106</v>
      </c>
    </row>
    <row r="15" spans="1:14" x14ac:dyDescent="0.2">
      <c r="B15" s="133">
        <f>'4. Customer Growth'!B17</f>
        <v>2011</v>
      </c>
      <c r="C15" s="68">
        <f>+'11. Final Load Forecast'!$D$15/'11. Final Load Forecast'!$D$14</f>
        <v>10157.045849146019</v>
      </c>
      <c r="D15" s="68">
        <f>+'11. Final Load Forecast'!$D$16/'11. Final Load Forecast'!$D$14</f>
        <v>0</v>
      </c>
      <c r="E15" s="68">
        <f>+'11. Final Load Forecast'!$D$19/'11. Final Load Forecast'!$D$18</f>
        <v>27797.814573434127</v>
      </c>
      <c r="F15" s="68">
        <f>+'11. Final Load Forecast'!$D$20/'11. Final Load Forecast'!$D$18</f>
        <v>0</v>
      </c>
      <c r="G15" s="68">
        <f>+'11. Final Load Forecast'!$D$23/'11. Final Load Forecast'!$D$22</f>
        <v>655043.02633807703</v>
      </c>
      <c r="H15" s="68">
        <f>+'11. Final Load Forecast'!$D$24/'11. Final Load Forecast'!$D$22</f>
        <v>1665.4009024644222</v>
      </c>
      <c r="I15" s="68">
        <f>+'11. Final Load Forecast'!$D$27/'11. Final Load Forecast'!$D$26</f>
        <v>10205.080754716982</v>
      </c>
      <c r="J15" s="68">
        <f>+'11. Final Load Forecast'!$D$28/'11. Final Load Forecast'!$D$26</f>
        <v>0</v>
      </c>
      <c r="K15" s="68">
        <f>+'11. Final Load Forecast'!$D$31/'11. Final Load Forecast'!$D$30</f>
        <v>592.95353031860225</v>
      </c>
      <c r="L15" s="68">
        <f>+'11. Final Load Forecast'!$D$32/'11. Final Load Forecast'!$D$30</f>
        <v>1.6556474820143885</v>
      </c>
      <c r="M15" s="68" t="e">
        <f>+'11. Final Load Forecast'!$D$35/'11. Final Load Forecast'!$D$34</f>
        <v>#DIV/0!</v>
      </c>
      <c r="N15" s="68" t="e">
        <f>+'11. Final Load Forecast'!$D$36/'11. Final Load Forecast'!$D$34</f>
        <v>#DIV/0!</v>
      </c>
    </row>
    <row r="16" spans="1:14" x14ac:dyDescent="0.2">
      <c r="B16" s="133">
        <f>'4. Customer Growth'!B18</f>
        <v>2012</v>
      </c>
      <c r="C16" s="68">
        <f>+'11. Final Load Forecast'!$E$15/'11. Final Load Forecast'!$E$14</f>
        <v>9988.7548944723621</v>
      </c>
      <c r="D16" s="68">
        <f>+'11. Final Load Forecast'!$E$16/'11. Final Load Forecast'!$E$14</f>
        <v>0</v>
      </c>
      <c r="E16" s="68">
        <f>+'11. Final Load Forecast'!$E$19/'11. Final Load Forecast'!$E$18</f>
        <v>27877.099728780169</v>
      </c>
      <c r="F16" s="68">
        <f>+'11. Final Load Forecast'!$E$20/'11. Final Load Forecast'!$E$18</f>
        <v>0</v>
      </c>
      <c r="G16" s="68">
        <f>+'11. Final Load Forecast'!$E$23/'11. Final Load Forecast'!$E$22</f>
        <v>662600.90064424789</v>
      </c>
      <c r="H16" s="68">
        <f>+'11. Final Load Forecast'!$E$24/'11. Final Load Forecast'!$E$22</f>
        <v>1722.3743150442479</v>
      </c>
      <c r="I16" s="68">
        <f>+'11. Final Load Forecast'!$E$27/'11. Final Load Forecast'!$E$26</f>
        <v>10290.627272727272</v>
      </c>
      <c r="J16" s="68">
        <f>+'11. Final Load Forecast'!$E$28/'11. Final Load Forecast'!$E$26</f>
        <v>0</v>
      </c>
      <c r="K16" s="68">
        <f>+'11. Final Load Forecast'!$E$31/'11. Final Load Forecast'!$E$30</f>
        <v>597.64447412353934</v>
      </c>
      <c r="L16" s="68">
        <f>+'11. Final Load Forecast'!$E$32/'11. Final Load Forecast'!$E$30</f>
        <v>1.6636959034287917</v>
      </c>
      <c r="M16" s="68" t="e">
        <f>+'11. Final Load Forecast'!$E$35/'11. Final Load Forecast'!$E$34</f>
        <v>#DIV/0!</v>
      </c>
      <c r="N16" s="68" t="e">
        <f>+'11. Final Load Forecast'!$E$36/'11. Final Load Forecast'!$E$34</f>
        <v>#DIV/0!</v>
      </c>
    </row>
    <row r="17" spans="2:14" x14ac:dyDescent="0.2">
      <c r="B17" s="133">
        <f>'4. Customer Growth'!B19</f>
        <v>2013</v>
      </c>
      <c r="C17" s="68">
        <f>+'11. Final Load Forecast'!$F$15/'11. Final Load Forecast'!$F$14</f>
        <v>9855.6555836985153</v>
      </c>
      <c r="D17" s="68">
        <f>+'11. Final Load Forecast'!$F$16/'11. Final Load Forecast'!$F$14</f>
        <v>0</v>
      </c>
      <c r="E17" s="68">
        <f>+'11. Final Load Forecast'!$F$19/'11. Final Load Forecast'!$F$18</f>
        <v>28902.478820679065</v>
      </c>
      <c r="F17" s="68">
        <f>+'11. Final Load Forecast'!$F$20/'11. Final Load Forecast'!$F$18</f>
        <v>0</v>
      </c>
      <c r="G17" s="68">
        <f>+'11. Final Load Forecast'!$F$23/'11. Final Load Forecast'!$F$22</f>
        <v>660836.42316012725</v>
      </c>
      <c r="H17" s="68">
        <f>+'11. Final Load Forecast'!$F$24/'11. Final Load Forecast'!$F$22</f>
        <v>1735.6760975609754</v>
      </c>
      <c r="I17" s="68">
        <f>+'11. Final Load Forecast'!$F$27/'11. Final Load Forecast'!$F$26</f>
        <v>10969.227134502924</v>
      </c>
      <c r="J17" s="68">
        <f>+'11. Final Load Forecast'!$F$28/'11. Final Load Forecast'!$F$26</f>
        <v>0</v>
      </c>
      <c r="K17" s="68">
        <f>+'11. Final Load Forecast'!$F$31/'11. Final Load Forecast'!$F$30</f>
        <v>595.26563694676076</v>
      </c>
      <c r="L17" s="68">
        <f>+'11. Final Load Forecast'!$F$32/'11. Final Load Forecast'!$F$30</f>
        <v>1.6712200128287364</v>
      </c>
      <c r="M17" s="68" t="e">
        <f>+'11. Final Load Forecast'!$F$35/'11. Final Load Forecast'!$F$34</f>
        <v>#DIV/0!</v>
      </c>
      <c r="N17" s="68" t="e">
        <f>+'11. Final Load Forecast'!$F$36/'11. Final Load Forecast'!$F$34</f>
        <v>#DIV/0!</v>
      </c>
    </row>
    <row r="18" spans="2:14" x14ac:dyDescent="0.2">
      <c r="B18" s="133">
        <f>'4. Customer Growth'!B20</f>
        <v>2014</v>
      </c>
      <c r="C18" s="68">
        <f>+'11. Final Load Forecast'!$G$15/'11. Final Load Forecast'!$G$14</f>
        <v>9648.0334617480767</v>
      </c>
      <c r="D18" s="68">
        <f>+'11. Final Load Forecast'!$G$16/'11. Final Load Forecast'!$G$14</f>
        <v>0</v>
      </c>
      <c r="E18" s="68">
        <f>+'11. Final Load Forecast'!$G$19/'11. Final Load Forecast'!$G$18</f>
        <v>29949.277375174697</v>
      </c>
      <c r="F18" s="68">
        <f>+'11. Final Load Forecast'!$G$20/'11. Final Load Forecast'!$G$18</f>
        <v>0</v>
      </c>
      <c r="G18" s="68">
        <f>+'11. Final Load Forecast'!$G$23/'11. Final Load Forecast'!$G$22</f>
        <v>618951.87269565219</v>
      </c>
      <c r="H18" s="68">
        <f>+'11. Final Load Forecast'!$G$24/'11. Final Load Forecast'!$G$22</f>
        <v>1608.0581256038649</v>
      </c>
      <c r="I18" s="68">
        <f>+'11. Final Load Forecast'!$G$27/'11. Final Load Forecast'!$G$26</f>
        <v>10673.606473988439</v>
      </c>
      <c r="J18" s="68">
        <f>+'11. Final Load Forecast'!$G$28/'11. Final Load Forecast'!$G$26</f>
        <v>0</v>
      </c>
      <c r="K18" s="68">
        <f>+'11. Final Load Forecast'!$G$31/'11. Final Load Forecast'!$G$30</f>
        <v>565.4980792980175</v>
      </c>
      <c r="L18" s="68">
        <f>+'11. Final Load Forecast'!$G$32/'11. Final Load Forecast'!$G$30</f>
        <v>1.5788755281117972</v>
      </c>
      <c r="M18" s="68" t="e">
        <f>+'11. Final Load Forecast'!$G$35/'11. Final Load Forecast'!$G$34</f>
        <v>#DIV/0!</v>
      </c>
      <c r="N18" s="68" t="e">
        <f>+'11. Final Load Forecast'!$G$36/'11. Final Load Forecast'!$G$34</f>
        <v>#DIV/0!</v>
      </c>
    </row>
    <row r="19" spans="2:14" x14ac:dyDescent="0.2">
      <c r="B19" s="133">
        <f>'4. Customer Growth'!B21</f>
        <v>2015</v>
      </c>
      <c r="C19" s="68">
        <f>+'11. Final Load Forecast'!$H$15/'11. Final Load Forecast'!$H$14</f>
        <v>9422.5220266041142</v>
      </c>
      <c r="D19" s="68">
        <f>+'11. Final Load Forecast'!$H$16/'11. Final Load Forecast'!$H$14</f>
        <v>0</v>
      </c>
      <c r="E19" s="68">
        <f>+'11. Final Load Forecast'!$H$19/'11. Final Load Forecast'!$H$18</f>
        <v>31154.74064003531</v>
      </c>
      <c r="F19" s="68">
        <f>+'11. Final Load Forecast'!$H$20/'11. Final Load Forecast'!$H$18</f>
        <v>0</v>
      </c>
      <c r="G19" s="68">
        <f>+'11. Final Load Forecast'!$H$23/'11. Final Load Forecast'!$H$22</f>
        <v>639441.49476562487</v>
      </c>
      <c r="H19" s="68">
        <f>+'11. Final Load Forecast'!$H$24/'11. Final Load Forecast'!$H$22</f>
        <v>1671.4729687499998</v>
      </c>
      <c r="I19" s="68">
        <f>+'11. Final Load Forecast'!$H$27/'11. Final Load Forecast'!$H$26</f>
        <v>11129.131546391754</v>
      </c>
      <c r="J19" s="68">
        <f>+'11. Final Load Forecast'!$H$28/'11. Final Load Forecast'!$H$26</f>
        <v>0</v>
      </c>
      <c r="K19" s="68">
        <f>+'11. Final Load Forecast'!$H$31/'11. Final Load Forecast'!$H$30</f>
        <v>468.27889943529982</v>
      </c>
      <c r="L19" s="68">
        <f>+'11. Final Load Forecast'!$H$32/'11. Final Load Forecast'!$H$30</f>
        <v>1.3182698546197289</v>
      </c>
      <c r="M19" s="68" t="e">
        <f>+'11. Final Load Forecast'!$H$35/'11. Final Load Forecast'!$H$34</f>
        <v>#DIV/0!</v>
      </c>
      <c r="N19" s="68" t="e">
        <f>+'11. Final Load Forecast'!$H$36/'11. Final Load Forecast'!$H$34</f>
        <v>#DIV/0!</v>
      </c>
    </row>
    <row r="20" spans="2:14" x14ac:dyDescent="0.2">
      <c r="B20" s="133">
        <f>'4. Customer Growth'!B22</f>
        <v>2016</v>
      </c>
      <c r="C20" s="68">
        <f>+'11. Final Load Forecast'!$I$15/'11. Final Load Forecast'!$I$14</f>
        <v>9684.3335112232726</v>
      </c>
      <c r="D20" s="68">
        <f>+'11. Final Load Forecast'!$I$16/'11. Final Load Forecast'!$I$14</f>
        <v>0</v>
      </c>
      <c r="E20" s="68">
        <f>+'11. Final Load Forecast'!$I$19/'11. Final Load Forecast'!$I$18</f>
        <v>32648.434666249803</v>
      </c>
      <c r="F20" s="68">
        <f>+'11. Final Load Forecast'!$I$20/'11. Final Load Forecast'!$I$18</f>
        <v>0</v>
      </c>
      <c r="G20" s="68">
        <f>+'11. Final Load Forecast'!$I$23/'11. Final Load Forecast'!$I$22</f>
        <v>688737.64271604945</v>
      </c>
      <c r="H20" s="68">
        <f>+'11. Final Load Forecast'!$I$24/'11. Final Load Forecast'!$I$22</f>
        <v>1737.9041975308642</v>
      </c>
      <c r="I20" s="68">
        <f>+'11. Final Load Forecast'!$I$27/'11. Final Load Forecast'!$I$26</f>
        <v>12653.656658823529</v>
      </c>
      <c r="J20" s="68">
        <f>+'11. Final Load Forecast'!$I$28/'11. Final Load Forecast'!$I$26</f>
        <v>0</v>
      </c>
      <c r="K20" s="68">
        <f>+'11. Final Load Forecast'!$I$31/'11. Final Load Forecast'!$I$30</f>
        <v>406.52433299268932</v>
      </c>
      <c r="L20" s="68">
        <f>+'11. Final Load Forecast'!$I$32/'11. Final Load Forecast'!$I$30</f>
        <v>1.1194497287949061</v>
      </c>
      <c r="M20" s="68" t="e">
        <f>+'11. Final Load Forecast'!$I$35/'11. Final Load Forecast'!$I$34</f>
        <v>#DIV/0!</v>
      </c>
      <c r="N20" s="68" t="e">
        <f>+'11. Final Load Forecast'!$I$36/'11. Final Load Forecast'!$I$34</f>
        <v>#DIV/0!</v>
      </c>
    </row>
    <row r="21" spans="2:14" x14ac:dyDescent="0.2">
      <c r="B21" s="133">
        <f>'4. Customer Growth'!B23</f>
        <v>2017</v>
      </c>
      <c r="C21" s="68">
        <f>+'11. Final Load Forecast'!$J$15/'11. Final Load Forecast'!$J$14</f>
        <v>9060.2068094471124</v>
      </c>
      <c r="D21" s="68">
        <f>+'11. Final Load Forecast'!$J$16/'11. Final Load Forecast'!$J$14</f>
        <v>0</v>
      </c>
      <c r="E21" s="68">
        <f>+'11. Final Load Forecast'!$J$19/'11. Final Load Forecast'!$J$18</f>
        <v>30588.033153942426</v>
      </c>
      <c r="F21" s="68">
        <f>+'11. Final Load Forecast'!$J$20/'11. Final Load Forecast'!$J$18</f>
        <v>0</v>
      </c>
      <c r="G21" s="68">
        <f>+'11. Final Load Forecast'!$J$23/'11. Final Load Forecast'!$J$22</f>
        <v>652143.17552180926</v>
      </c>
      <c r="H21" s="68">
        <f>+'11. Final Load Forecast'!$J$24/'11. Final Load Forecast'!$J$22</f>
        <v>1640.3280387722129</v>
      </c>
      <c r="I21" s="68">
        <f>+'11. Final Load Forecast'!$J$27/'11. Final Load Forecast'!$J$26</f>
        <v>11800.44094117647</v>
      </c>
      <c r="J21" s="68">
        <f>+'11. Final Load Forecast'!$J$28/'11. Final Load Forecast'!$J$26</f>
        <v>0</v>
      </c>
      <c r="K21" s="68">
        <f>+'11. Final Load Forecast'!$J$31/'11. Final Load Forecast'!$J$30</f>
        <v>404.36781888806064</v>
      </c>
      <c r="L21" s="68">
        <f>+'11. Final Load Forecast'!$J$32/'11. Final Load Forecast'!$J$30</f>
        <v>1.1298936712833993</v>
      </c>
      <c r="M21" s="68" t="e">
        <f>+'11. Final Load Forecast'!$J$35/'11. Final Load Forecast'!$J$34</f>
        <v>#DIV/0!</v>
      </c>
      <c r="N21" s="68" t="e">
        <f>+'11. Final Load Forecast'!$J$36/'11. Final Load Forecast'!$J$34</f>
        <v>#DIV/0!</v>
      </c>
    </row>
    <row r="22" spans="2:14" x14ac:dyDescent="0.2">
      <c r="B22" s="134" t="str">
        <f>'4. Customer Growth'!B27</f>
        <v>2018</v>
      </c>
      <c r="C22" s="68">
        <f>+'11. Final Load Forecast'!$K$15/'11. Final Load Forecast'!$K$14</f>
        <v>9247.4169442263155</v>
      </c>
      <c r="D22" s="68">
        <f>+'11. Final Load Forecast'!$K$16/'11. Final Load Forecast'!$K$14</f>
        <v>0</v>
      </c>
      <c r="E22" s="68">
        <f>+'11. Final Load Forecast'!$K$19/'11. Final Load Forecast'!$K$18</f>
        <v>31698.240036260919</v>
      </c>
      <c r="F22" s="68">
        <f>+'11. Final Load Forecast'!$K$20/'11. Final Load Forecast'!$K$18</f>
        <v>0</v>
      </c>
      <c r="G22" s="68">
        <f>+'11. Final Load Forecast'!$K$23/'11. Final Load Forecast'!$K$22</f>
        <v>658671.99193577154</v>
      </c>
      <c r="H22" s="68">
        <f>+'11. Final Load Forecast'!$K$24/'11. Final Load Forecast'!$K$22</f>
        <v>1695.5088450912358</v>
      </c>
      <c r="I22" s="68">
        <f>+'11. Final Load Forecast'!$K$27/'11. Final Load Forecast'!$K$26</f>
        <v>9673.3846153846243</v>
      </c>
      <c r="J22" s="68">
        <f>+'11. Final Load Forecast'!$K$28/'11. Final Load Forecast'!$K$26</f>
        <v>0</v>
      </c>
      <c r="K22" s="68">
        <f>+'11. Final Load Forecast'!$K$31/'11. Final Load Forecast'!$K$30</f>
        <v>405.44607594037495</v>
      </c>
      <c r="L22" s="68">
        <f>+'11. Final Load Forecast'!$K$32/'11. Final Load Forecast'!$K$30</f>
        <v>1.1316902294220581</v>
      </c>
      <c r="M22" s="68" t="e">
        <f>+'11. Final Load Forecast'!$K$35/'11. Final Load Forecast'!$K$34</f>
        <v>#DIV/0!</v>
      </c>
      <c r="N22" s="68" t="e">
        <f>+'11. Final Load Forecast'!$K$36/'11. Final Load Forecast'!$K$34</f>
        <v>#DIV/0!</v>
      </c>
    </row>
    <row r="23" spans="2:14" ht="13.5" thickBot="1" x14ac:dyDescent="0.25">
      <c r="B23" s="135" t="str">
        <f>'4. Customer Growth'!B28</f>
        <v>2019</v>
      </c>
      <c r="C23" s="69">
        <f>+'11. Final Load Forecast'!$L$15/'11. Final Load Forecast'!$L$14</f>
        <v>9064.6833715582979</v>
      </c>
      <c r="D23" s="69">
        <f>+'11. Final Load Forecast'!$L$16/'11. Final Load Forecast'!$L$14</f>
        <v>0</v>
      </c>
      <c r="E23" s="69">
        <f>+'11. Final Load Forecast'!$L$19/'11. Final Load Forecast'!$L$18</f>
        <v>31156.633856089022</v>
      </c>
      <c r="F23" s="69">
        <f>+'11. Final Load Forecast'!$L$20/'11. Final Load Forecast'!$L$18</f>
        <v>0</v>
      </c>
      <c r="G23" s="69">
        <f>+'11. Final Load Forecast'!$L$23/'11. Final Load Forecast'!$L$22</f>
        <v>629527.09129182703</v>
      </c>
      <c r="H23" s="69">
        <f>+'11. Final Load Forecast'!$L$24/'11. Final Load Forecast'!$L$22</f>
        <v>1620.4860151605353</v>
      </c>
      <c r="I23" s="69">
        <f>+'11. Final Load Forecast'!$L$27/'11. Final Load Forecast'!$L$26</f>
        <v>9673.3846153846243</v>
      </c>
      <c r="J23" s="69">
        <f>+'11. Final Load Forecast'!$L$28/'11. Final Load Forecast'!$L$26</f>
        <v>0</v>
      </c>
      <c r="K23" s="69">
        <f>+'11. Final Load Forecast'!$L$31/'11. Final Load Forecast'!$L$30</f>
        <v>405.44607594037495</v>
      </c>
      <c r="L23" s="69">
        <f>+'11. Final Load Forecast'!$L$32/'11. Final Load Forecast'!$L$30</f>
        <v>1.1316902294220583</v>
      </c>
      <c r="M23" s="69">
        <f>+'11. Final Load Forecast'!$L$35/'11. Final Load Forecast'!$L$34</f>
        <v>23308825.330262251</v>
      </c>
      <c r="N23" s="69">
        <f>+'11. Final Load Forecast'!$L$36/'11. Final Load Forecast'!$L$34</f>
        <v>60000</v>
      </c>
    </row>
  </sheetData>
  <mergeCells count="6">
    <mergeCell ref="C13:D13"/>
    <mergeCell ref="E13:F13"/>
    <mergeCell ref="M13:N13"/>
    <mergeCell ref="G13:H13"/>
    <mergeCell ref="K13:L13"/>
    <mergeCell ref="I13:J1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D123"/>
  <sheetViews>
    <sheetView showGridLines="0" topLeftCell="A40" workbookViewId="0">
      <selection activeCell="J32" sqref="J32"/>
    </sheetView>
  </sheetViews>
  <sheetFormatPr defaultColWidth="10.5" defaultRowHeight="12.75" x14ac:dyDescent="0.2"/>
  <cols>
    <col min="1" max="1" width="13.6640625" style="1" customWidth="1"/>
    <col min="2" max="2" width="14" style="1" customWidth="1"/>
    <col min="3" max="8" width="13.33203125" style="1" customWidth="1"/>
    <col min="9" max="9" width="11.33203125" style="1" bestFit="1" customWidth="1"/>
    <col min="10" max="10" width="14" style="296" customWidth="1"/>
    <col min="11" max="16" width="13.33203125" style="296" customWidth="1"/>
    <col min="17" max="17" width="11.33203125" style="1" bestFit="1" customWidth="1"/>
    <col min="18" max="18" width="5.5" style="1" bestFit="1" customWidth="1"/>
    <col min="19" max="19" width="11.33203125" style="1" bestFit="1" customWidth="1"/>
    <col min="20" max="20" width="8.1640625" style="1" customWidth="1"/>
    <col min="21" max="21" width="11.33203125" style="1" bestFit="1" customWidth="1"/>
    <col min="22" max="22" width="4.5" style="1" bestFit="1" customWidth="1"/>
    <col min="23" max="23" width="11.33203125" style="1" bestFit="1" customWidth="1"/>
    <col min="24" max="24" width="6.5" style="1" bestFit="1" customWidth="1"/>
    <col min="25" max="26" width="11.33203125" style="1" bestFit="1" customWidth="1"/>
    <col min="27" max="28" width="10.5" style="1"/>
    <col min="29" max="30" width="1.83203125" style="1" bestFit="1" customWidth="1"/>
    <col min="31" max="16384" width="10.5" style="1"/>
  </cols>
  <sheetData>
    <row r="1" spans="1:16" s="296" customFormat="1" x14ac:dyDescent="0.2">
      <c r="A1" s="366" t="s">
        <v>198</v>
      </c>
    </row>
    <row r="2" spans="1:16" s="296" customFormat="1" x14ac:dyDescent="0.2"/>
    <row r="3" spans="1:16" s="296" customFormat="1" x14ac:dyDescent="0.2"/>
    <row r="4" spans="1:16" s="296" customFormat="1" x14ac:dyDescent="0.2"/>
    <row r="5" spans="1:16" s="296" customFormat="1" x14ac:dyDescent="0.2"/>
    <row r="6" spans="1:16" s="296" customFormat="1" x14ac:dyDescent="0.2"/>
    <row r="7" spans="1:16" s="296" customFormat="1" x14ac:dyDescent="0.2"/>
    <row r="8" spans="1:16" s="296" customFormat="1" x14ac:dyDescent="0.2"/>
    <row r="9" spans="1:16" s="296" customFormat="1" x14ac:dyDescent="0.2"/>
    <row r="11" spans="1:16" ht="23.25" x14ac:dyDescent="0.2">
      <c r="B11" s="79" t="s">
        <v>274</v>
      </c>
      <c r="J11" s="79" t="s">
        <v>78</v>
      </c>
    </row>
    <row r="12" spans="1:16" ht="15" x14ac:dyDescent="0.2">
      <c r="B12" s="3"/>
      <c r="J12" s="3"/>
    </row>
    <row r="13" spans="1:16" ht="13.5" thickBot="1" x14ac:dyDescent="0.25">
      <c r="B13" s="43"/>
      <c r="C13" s="92" t="s">
        <v>29</v>
      </c>
      <c r="D13" s="92"/>
      <c r="E13" s="92"/>
      <c r="F13" s="92"/>
      <c r="J13" s="43"/>
      <c r="K13" s="92" t="s">
        <v>29</v>
      </c>
      <c r="L13" s="92"/>
      <c r="M13" s="92"/>
      <c r="N13" s="92"/>
    </row>
    <row r="14" spans="1:16" ht="13.5" thickBot="1" x14ac:dyDescent="0.25">
      <c r="B14" s="934" t="str">
        <f>+'11. Final Load Forecast'!B14</f>
        <v>Residential</v>
      </c>
      <c r="C14" s="935"/>
      <c r="D14" s="935"/>
      <c r="E14" s="935"/>
      <c r="F14" s="935"/>
      <c r="G14" s="935"/>
      <c r="H14" s="936"/>
      <c r="J14" s="934" t="str">
        <f>+B14</f>
        <v>Residential</v>
      </c>
      <c r="K14" s="935"/>
      <c r="L14" s="935"/>
      <c r="M14" s="935"/>
      <c r="N14" s="935"/>
      <c r="O14" s="935"/>
      <c r="P14" s="936"/>
    </row>
    <row r="15" spans="1:16" ht="13.5" thickBot="1" x14ac:dyDescent="0.25">
      <c r="B15" s="59" t="s">
        <v>32</v>
      </c>
      <c r="C15" s="265" t="s">
        <v>48</v>
      </c>
      <c r="D15" s="266" t="s">
        <v>53</v>
      </c>
      <c r="E15" s="267" t="s">
        <v>35</v>
      </c>
      <c r="F15" s="266" t="s">
        <v>53</v>
      </c>
      <c r="G15" s="267" t="s">
        <v>36</v>
      </c>
      <c r="H15" s="268" t="s">
        <v>53</v>
      </c>
      <c r="J15" s="59" t="s">
        <v>32</v>
      </c>
      <c r="K15" s="265" t="s">
        <v>48</v>
      </c>
      <c r="L15" s="266" t="s">
        <v>53</v>
      </c>
      <c r="M15" s="267" t="s">
        <v>35</v>
      </c>
      <c r="N15" s="266" t="s">
        <v>53</v>
      </c>
      <c r="O15" s="267" t="s">
        <v>36</v>
      </c>
      <c r="P15" s="268" t="s">
        <v>53</v>
      </c>
    </row>
    <row r="16" spans="1:16" x14ac:dyDescent="0.2">
      <c r="B16" s="60">
        <v>2011</v>
      </c>
      <c r="C16" s="263">
        <f>+'3. Consumption by Rate Class'!E134</f>
        <v>6594.125</v>
      </c>
      <c r="D16" s="263"/>
      <c r="E16" s="263">
        <f>+'3. Consumption by Rate Class'!D134</f>
        <v>66976829.959999993</v>
      </c>
      <c r="F16" s="263"/>
      <c r="G16" s="553"/>
      <c r="H16" s="264"/>
      <c r="J16" s="60">
        <f>+$B$16</f>
        <v>2011</v>
      </c>
      <c r="K16" s="263">
        <f>+'7. Weather Senstive Class'!H21</f>
        <v>6594.125</v>
      </c>
      <c r="L16" s="263"/>
      <c r="M16" s="263">
        <f>+'7. Weather Senstive Class'!G21</f>
        <v>67770633.765466049</v>
      </c>
      <c r="N16" s="263"/>
      <c r="O16" s="553"/>
      <c r="P16" s="264"/>
    </row>
    <row r="17" spans="2:30" x14ac:dyDescent="0.2">
      <c r="B17" s="61">
        <f>+B16+1</f>
        <v>2012</v>
      </c>
      <c r="C17" s="263">
        <f>+'3. Consumption by Rate Class'!E135</f>
        <v>6716.25</v>
      </c>
      <c r="D17" s="551">
        <f>IF(C16=0,0,(C17-C16)/C16)</f>
        <v>1.852027372850833E-2</v>
      </c>
      <c r="E17" s="263">
        <f>+'3. Consumption by Rate Class'!D135</f>
        <v>67086975.060000002</v>
      </c>
      <c r="F17" s="551">
        <f>IF(E16=0,0,(E17-E16)/E16)</f>
        <v>1.6445254286562975E-3</v>
      </c>
      <c r="G17" s="554"/>
      <c r="H17" s="551">
        <f>IF(G16=0,0,(G17-G16)/G16)</f>
        <v>0</v>
      </c>
      <c r="J17" s="60">
        <f>+$B$17</f>
        <v>2012</v>
      </c>
      <c r="K17" s="263">
        <f>+'7. Weather Senstive Class'!H22</f>
        <v>6716.25</v>
      </c>
      <c r="L17" s="551">
        <f>IF(K16=0,0,(K17-K16)/K16)</f>
        <v>1.852027372850833E-2</v>
      </c>
      <c r="M17" s="263">
        <f>+'7. Weather Senstive Class'!G22</f>
        <v>69496856.977709666</v>
      </c>
      <c r="N17" s="551">
        <f>IF(M16=0,0,(M17-M16)/M16)</f>
        <v>2.5471551855595156E-2</v>
      </c>
      <c r="O17" s="554"/>
      <c r="P17" s="551">
        <f>IF(O16=0,0,(O17-O16)/O16)</f>
        <v>0</v>
      </c>
    </row>
    <row r="18" spans="2:30" x14ac:dyDescent="0.2">
      <c r="B18" s="61">
        <f t="shared" ref="B18:B27" si="0">+B17+1</f>
        <v>2013</v>
      </c>
      <c r="C18" s="263">
        <f>+'3. Consumption by Rate Class'!E136</f>
        <v>6912.458333333333</v>
      </c>
      <c r="D18" s="551">
        <f t="shared" ref="D18:F27" si="1">IF(C17=0,0,(C18-C17)/C17)</f>
        <v>2.9213971090017946E-2</v>
      </c>
      <c r="E18" s="263">
        <f>+'3. Consumption by Rate Class'!D136</f>
        <v>68126808.569999993</v>
      </c>
      <c r="F18" s="551">
        <f t="shared" si="1"/>
        <v>1.5499782320934928E-2</v>
      </c>
      <c r="G18" s="554"/>
      <c r="H18" s="551">
        <f t="shared" ref="H18" si="2">IF(G17=0,0,(G18-G17)/G17)</f>
        <v>0</v>
      </c>
      <c r="J18" s="60">
        <f>+$B$18</f>
        <v>2013</v>
      </c>
      <c r="K18" s="263">
        <f>+'7. Weather Senstive Class'!H23</f>
        <v>6912.458333333333</v>
      </c>
      <c r="L18" s="551">
        <f t="shared" ref="L18" si="3">IF(K17=0,0,(K18-K17)/K17)</f>
        <v>2.9213971090017946E-2</v>
      </c>
      <c r="M18" s="263">
        <f>+'7. Weather Senstive Class'!G23</f>
        <v>68873552.967232019</v>
      </c>
      <c r="N18" s="551">
        <f t="shared" ref="N18" si="4">IF(M17=0,0,(M18-M17)/M17)</f>
        <v>-8.9688086279580224E-3</v>
      </c>
      <c r="O18" s="554"/>
      <c r="P18" s="551">
        <f t="shared" ref="P18" si="5">IF(O17=0,0,(O18-O17)/O17)</f>
        <v>0</v>
      </c>
    </row>
    <row r="19" spans="2:30" x14ac:dyDescent="0.2">
      <c r="B19" s="61">
        <f t="shared" si="0"/>
        <v>2014</v>
      </c>
      <c r="C19" s="263">
        <f>+'3. Consumption by Rate Class'!E137</f>
        <v>7110.208333333333</v>
      </c>
      <c r="D19" s="551">
        <f t="shared" si="1"/>
        <v>2.8607767376536329E-2</v>
      </c>
      <c r="E19" s="263">
        <f>+'3. Consumption by Rate Class'!D137</f>
        <v>68599527.920000017</v>
      </c>
      <c r="F19" s="551">
        <f t="shared" si="1"/>
        <v>6.9388154226292112E-3</v>
      </c>
      <c r="G19" s="554"/>
      <c r="H19" s="551">
        <f t="shared" ref="H19" si="6">IF(G18=0,0,(G19-G18)/G18)</f>
        <v>0</v>
      </c>
      <c r="J19" s="60">
        <f>+$B$19</f>
        <v>2014</v>
      </c>
      <c r="K19" s="263">
        <f>+'7. Weather Senstive Class'!H24</f>
        <v>7110.208333333333</v>
      </c>
      <c r="L19" s="551">
        <f t="shared" ref="L19" si="7">IF(K18=0,0,(K19-K18)/K18)</f>
        <v>2.8607767376536329E-2</v>
      </c>
      <c r="M19" s="263">
        <f>+'7. Weather Senstive Class'!G24</f>
        <v>67585959.397632822</v>
      </c>
      <c r="N19" s="551">
        <f t="shared" ref="N19" si="8">IF(M18=0,0,(M19-M18)/M18)</f>
        <v>-1.8695036253056307E-2</v>
      </c>
      <c r="O19" s="554"/>
      <c r="P19" s="551">
        <f t="shared" ref="P19" si="9">IF(O18=0,0,(O19-O18)/O18)</f>
        <v>0</v>
      </c>
    </row>
    <row r="20" spans="2:30" x14ac:dyDescent="0.2">
      <c r="B20" s="61">
        <f t="shared" si="0"/>
        <v>2015</v>
      </c>
      <c r="C20" s="263">
        <f>+'3. Consumption by Rate Class'!E138</f>
        <v>7389.208333333333</v>
      </c>
      <c r="D20" s="551">
        <f t="shared" si="1"/>
        <v>3.9239356558938149E-2</v>
      </c>
      <c r="E20" s="263">
        <f>+'3. Consumption by Rate Class'!D138</f>
        <v>69624978.280000001</v>
      </c>
      <c r="F20" s="551">
        <f t="shared" si="1"/>
        <v>1.4948358845790499E-2</v>
      </c>
      <c r="G20" s="554"/>
      <c r="H20" s="551">
        <f t="shared" ref="H20" si="10">IF(G19=0,0,(G20-G19)/G19)</f>
        <v>0</v>
      </c>
      <c r="J20" s="60">
        <f>+$B$20</f>
        <v>2015</v>
      </c>
      <c r="K20" s="263">
        <f>+'7. Weather Senstive Class'!H25</f>
        <v>7389.208333333333</v>
      </c>
      <c r="L20" s="551">
        <f t="shared" ref="L20" si="11">IF(K19=0,0,(K20-K19)/K19)</f>
        <v>3.9239356558938149E-2</v>
      </c>
      <c r="M20" s="263">
        <f>+'7. Weather Senstive Class'!G25</f>
        <v>69221039.007002905</v>
      </c>
      <c r="N20" s="551">
        <f t="shared" ref="N20" si="12">IF(M19=0,0,(M20-M19)/M19)</f>
        <v>2.4192593016995046E-2</v>
      </c>
      <c r="O20" s="554"/>
      <c r="P20" s="551">
        <f t="shared" ref="P20" si="13">IF(O19=0,0,(O20-O19)/O19)</f>
        <v>0</v>
      </c>
    </row>
    <row r="21" spans="2:30" x14ac:dyDescent="0.2">
      <c r="B21" s="61">
        <f t="shared" si="0"/>
        <v>2016</v>
      </c>
      <c r="C21" s="263">
        <f>+'3. Consumption by Rate Class'!E139</f>
        <v>7660.791666666667</v>
      </c>
      <c r="D21" s="551">
        <f t="shared" si="1"/>
        <v>3.6754050106856367E-2</v>
      </c>
      <c r="E21" s="263">
        <f>+'3. Consumption by Rate Class'!D139</f>
        <v>74189661.459999993</v>
      </c>
      <c r="F21" s="551">
        <f t="shared" si="1"/>
        <v>6.5560999698167408E-2</v>
      </c>
      <c r="G21" s="554"/>
      <c r="H21" s="551">
        <f t="shared" ref="H21" si="14">IF(G20=0,0,(G21-G20)/G20)</f>
        <v>0</v>
      </c>
      <c r="J21" s="60">
        <f>+$B$21</f>
        <v>2016</v>
      </c>
      <c r="K21" s="263">
        <f>+'7. Weather Senstive Class'!H26</f>
        <v>7660.791666666667</v>
      </c>
      <c r="L21" s="551">
        <f t="shared" ref="L21" si="15">IF(K20=0,0,(K21-K20)/K20)</f>
        <v>3.6754050106856367E-2</v>
      </c>
      <c r="M21" s="263">
        <f>+'7. Weather Senstive Class'!G26</f>
        <v>75480375.437930122</v>
      </c>
      <c r="N21" s="551">
        <f t="shared" ref="N21" si="16">IF(M20=0,0,(M21-M20)/M20)</f>
        <v>9.0425346407960974E-2</v>
      </c>
      <c r="O21" s="554"/>
      <c r="P21" s="551">
        <f t="shared" ref="P21" si="17">IF(O20=0,0,(O21-O20)/O20)</f>
        <v>0</v>
      </c>
    </row>
    <row r="22" spans="2:30" x14ac:dyDescent="0.2">
      <c r="B22" s="61">
        <f t="shared" si="0"/>
        <v>2017</v>
      </c>
      <c r="C22" s="263">
        <f>+'3. Consumption by Rate Class'!E140</f>
        <v>7838.375</v>
      </c>
      <c r="D22" s="551">
        <f t="shared" si="1"/>
        <v>2.3180807031475167E-2</v>
      </c>
      <c r="E22" s="263">
        <f>+'3. Consumption by Rate Class'!D140</f>
        <v>71017298.550000012</v>
      </c>
      <c r="F22" s="551">
        <f t="shared" si="1"/>
        <v>-4.2760175037466493E-2</v>
      </c>
      <c r="G22" s="554"/>
      <c r="H22" s="551">
        <f t="shared" ref="H22" si="18">IF(G21=0,0,(G22-G21)/G21)</f>
        <v>0</v>
      </c>
      <c r="J22" s="60">
        <f>+$B$22</f>
        <v>2017</v>
      </c>
      <c r="K22" s="263">
        <f>+'7. Weather Senstive Class'!H27</f>
        <v>7838.375</v>
      </c>
      <c r="L22" s="551">
        <f t="shared" ref="L22" si="19">IF(K21=0,0,(K22-K21)/K21)</f>
        <v>2.3180807031475167E-2</v>
      </c>
      <c r="M22" s="263">
        <f>+'7. Weather Senstive Class'!G27</f>
        <v>72162825.197099403</v>
      </c>
      <c r="N22" s="551">
        <f t="shared" ref="N22" si="20">IF(M21=0,0,(M22-M21)/M21)</f>
        <v>-4.3952487273448249E-2</v>
      </c>
      <c r="O22" s="554"/>
      <c r="P22" s="551">
        <f t="shared" ref="P22" si="21">IF(O21=0,0,(O22-O21)/O21)</f>
        <v>0</v>
      </c>
    </row>
    <row r="23" spans="2:30" x14ac:dyDescent="0.2">
      <c r="B23" s="61">
        <f t="shared" si="0"/>
        <v>2018</v>
      </c>
      <c r="C23" s="68"/>
      <c r="D23" s="551">
        <f t="shared" si="1"/>
        <v>-1</v>
      </c>
      <c r="E23" s="68"/>
      <c r="F23" s="551">
        <f t="shared" si="1"/>
        <v>-1</v>
      </c>
      <c r="G23" s="554"/>
      <c r="H23" s="551">
        <f t="shared" ref="H23" si="22">IF(G22=0,0,(G23-G22)/G22)</f>
        <v>0</v>
      </c>
      <c r="J23" s="60">
        <f>+$B$23</f>
        <v>2018</v>
      </c>
      <c r="K23" s="263">
        <f>+'7. Weather Senstive Class'!H28</f>
        <v>7976.375</v>
      </c>
      <c r="L23" s="551">
        <f t="shared" ref="L23" si="23">IF(K22=0,0,(K23-K22)/K22)</f>
        <v>1.7605689954869472E-2</v>
      </c>
      <c r="M23" s="263">
        <f>+'7. Weather Senstive Class'!G28</f>
        <v>73760865.328503177</v>
      </c>
      <c r="N23" s="551">
        <f t="shared" ref="N23" si="24">IF(M22=0,0,(M23-M22)/M22)</f>
        <v>2.2144921946154729E-2</v>
      </c>
      <c r="O23" s="554"/>
      <c r="P23" s="551">
        <f t="shared" ref="P23" si="25">IF(O22=0,0,(O23-O22)/O22)</f>
        <v>0</v>
      </c>
    </row>
    <row r="24" spans="2:30" x14ac:dyDescent="0.2">
      <c r="B24" s="61">
        <f t="shared" si="0"/>
        <v>2019</v>
      </c>
      <c r="C24" s="68"/>
      <c r="D24" s="551">
        <f t="shared" si="1"/>
        <v>0</v>
      </c>
      <c r="E24" s="68"/>
      <c r="F24" s="551">
        <f t="shared" si="1"/>
        <v>0</v>
      </c>
      <c r="G24" s="554"/>
      <c r="H24" s="551">
        <f t="shared" ref="H24" si="26">IF(G23=0,0,(G24-G23)/G23)</f>
        <v>0</v>
      </c>
      <c r="J24" s="60">
        <f>+$B$24</f>
        <v>2019</v>
      </c>
      <c r="K24" s="263">
        <f>+'7. Weather Senstive Class'!H29</f>
        <v>8152.375</v>
      </c>
      <c r="L24" s="551">
        <f t="shared" ref="L24" si="27">IF(K23=0,0,(K24-K23)/K23)</f>
        <v>2.2065161179107052E-2</v>
      </c>
      <c r="M24" s="263">
        <f>+'7. Weather Senstive Class'!G29</f>
        <v>74690535.299300596</v>
      </c>
      <c r="N24" s="551">
        <f t="shared" ref="N24" si="28">IF(M23=0,0,(M24-M23)/M23)</f>
        <v>1.2603837640149947E-2</v>
      </c>
      <c r="O24" s="554"/>
      <c r="P24" s="551">
        <f t="shared" ref="P24" si="29">IF(O23=0,0,(O24-O23)/O23)</f>
        <v>0</v>
      </c>
    </row>
    <row r="25" spans="2:30" x14ac:dyDescent="0.2">
      <c r="B25" s="61">
        <f t="shared" si="0"/>
        <v>2020</v>
      </c>
      <c r="C25" s="68"/>
      <c r="D25" s="551">
        <f t="shared" si="1"/>
        <v>0</v>
      </c>
      <c r="E25" s="68"/>
      <c r="F25" s="551">
        <f t="shared" si="1"/>
        <v>0</v>
      </c>
      <c r="G25" s="554"/>
      <c r="H25" s="551">
        <f t="shared" ref="H25" si="30">IF(G24=0,0,(G25-G24)/G24)</f>
        <v>0</v>
      </c>
      <c r="J25" s="60">
        <f>+$B$25</f>
        <v>2020</v>
      </c>
      <c r="K25" s="68"/>
      <c r="L25" s="551">
        <f t="shared" ref="L25" si="31">IF(K24=0,0,(K25-K24)/K24)</f>
        <v>-1</v>
      </c>
      <c r="M25" s="68"/>
      <c r="N25" s="551">
        <f t="shared" ref="N25" si="32">IF(M24=0,0,(M25-M24)/M24)</f>
        <v>-1</v>
      </c>
      <c r="O25" s="554"/>
      <c r="P25" s="551">
        <f t="shared" ref="P25" si="33">IF(O24=0,0,(O25-O24)/O24)</f>
        <v>0</v>
      </c>
    </row>
    <row r="26" spans="2:30" x14ac:dyDescent="0.2">
      <c r="B26" s="61">
        <f t="shared" si="0"/>
        <v>2021</v>
      </c>
      <c r="C26" s="68"/>
      <c r="D26" s="551">
        <f t="shared" si="1"/>
        <v>0</v>
      </c>
      <c r="E26" s="68"/>
      <c r="F26" s="551">
        <f t="shared" si="1"/>
        <v>0</v>
      </c>
      <c r="G26" s="554"/>
      <c r="H26" s="551">
        <f t="shared" ref="H26" si="34">IF(G25=0,0,(G26-G25)/G25)</f>
        <v>0</v>
      </c>
      <c r="J26" s="60">
        <f>+$B$26</f>
        <v>2021</v>
      </c>
      <c r="K26" s="68"/>
      <c r="L26" s="551">
        <f t="shared" ref="L26" si="35">IF(K25=0,0,(K26-K25)/K25)</f>
        <v>0</v>
      </c>
      <c r="M26" s="68"/>
      <c r="N26" s="551">
        <f t="shared" ref="N26" si="36">IF(M25=0,0,(M26-M25)/M25)</f>
        <v>0</v>
      </c>
      <c r="O26" s="554"/>
      <c r="P26" s="551">
        <f t="shared" ref="P26" si="37">IF(O25=0,0,(O26-O25)/O25)</f>
        <v>0</v>
      </c>
      <c r="AC26" s="1" t="s">
        <v>29</v>
      </c>
      <c r="AD26" s="1" t="s">
        <v>29</v>
      </c>
    </row>
    <row r="27" spans="2:30" ht="13.5" thickBot="1" x14ac:dyDescent="0.25">
      <c r="B27" s="550">
        <f t="shared" si="0"/>
        <v>2022</v>
      </c>
      <c r="C27" s="69"/>
      <c r="D27" s="552">
        <f t="shared" si="1"/>
        <v>0</v>
      </c>
      <c r="E27" s="69"/>
      <c r="F27" s="552">
        <f t="shared" si="1"/>
        <v>0</v>
      </c>
      <c r="G27" s="555"/>
      <c r="H27" s="552">
        <f t="shared" ref="H27" si="38">IF(G26=0,0,(G27-G26)/G26)</f>
        <v>0</v>
      </c>
      <c r="J27" s="550">
        <f>+$B$27</f>
        <v>2022</v>
      </c>
      <c r="K27" s="69"/>
      <c r="L27" s="552">
        <f t="shared" ref="L27" si="39">IF(K26=0,0,(K27-K26)/K26)</f>
        <v>0</v>
      </c>
      <c r="M27" s="69"/>
      <c r="N27" s="552">
        <f t="shared" ref="N27" si="40">IF(M26=0,0,(M27-M26)/M26)</f>
        <v>0</v>
      </c>
      <c r="O27" s="555"/>
      <c r="P27" s="552">
        <f t="shared" ref="P27" si="41">IF(O26=0,0,(O27-O26)/O26)</f>
        <v>0</v>
      </c>
    </row>
    <row r="29" spans="2:30" ht="13.5" thickBot="1" x14ac:dyDescent="0.25">
      <c r="C29" s="92"/>
      <c r="D29" s="92"/>
      <c r="E29" s="92"/>
      <c r="F29" s="92"/>
      <c r="K29" s="92"/>
      <c r="L29" s="92"/>
      <c r="M29" s="92"/>
      <c r="N29" s="92"/>
    </row>
    <row r="30" spans="2:30" ht="13.5" thickBot="1" x14ac:dyDescent="0.25">
      <c r="B30" s="934" t="str">
        <f>+'11. Final Load Forecast'!B18</f>
        <v>General Service &lt; 50 kW</v>
      </c>
      <c r="C30" s="935"/>
      <c r="D30" s="935"/>
      <c r="E30" s="935"/>
      <c r="F30" s="935"/>
      <c r="G30" s="935"/>
      <c r="H30" s="936"/>
      <c r="J30" s="934" t="str">
        <f>+B30</f>
        <v>General Service &lt; 50 kW</v>
      </c>
      <c r="K30" s="935"/>
      <c r="L30" s="935"/>
      <c r="M30" s="935"/>
      <c r="N30" s="935"/>
      <c r="O30" s="935"/>
      <c r="P30" s="936"/>
    </row>
    <row r="31" spans="2:30" ht="13.5" thickBot="1" x14ac:dyDescent="0.25">
      <c r="B31" s="59" t="s">
        <v>32</v>
      </c>
      <c r="C31" s="265" t="s">
        <v>48</v>
      </c>
      <c r="D31" s="266" t="s">
        <v>53</v>
      </c>
      <c r="E31" s="267" t="s">
        <v>35</v>
      </c>
      <c r="F31" s="266" t="s">
        <v>53</v>
      </c>
      <c r="G31" s="267" t="s">
        <v>36</v>
      </c>
      <c r="H31" s="268" t="s">
        <v>53</v>
      </c>
      <c r="J31" s="59" t="s">
        <v>32</v>
      </c>
      <c r="K31" s="265" t="s">
        <v>48</v>
      </c>
      <c r="L31" s="266" t="s">
        <v>53</v>
      </c>
      <c r="M31" s="267" t="s">
        <v>35</v>
      </c>
      <c r="N31" s="266" t="s">
        <v>53</v>
      </c>
      <c r="O31" s="267" t="s">
        <v>36</v>
      </c>
      <c r="P31" s="268" t="s">
        <v>53</v>
      </c>
    </row>
    <row r="32" spans="2:30" x14ac:dyDescent="0.2">
      <c r="B32" s="60">
        <f>+$B$16</f>
        <v>2011</v>
      </c>
      <c r="C32" s="263">
        <f>+'3. Consumption by Rate Class'!G134</f>
        <v>1234.6666666666667</v>
      </c>
      <c r="D32" s="263"/>
      <c r="E32" s="263">
        <f>+'3. Consumption by Rate Class'!F134</f>
        <v>34321035.060000002</v>
      </c>
      <c r="F32" s="263"/>
      <c r="G32" s="553"/>
      <c r="H32" s="264"/>
      <c r="J32" s="60">
        <f>+$B$16</f>
        <v>2011</v>
      </c>
      <c r="K32" s="263">
        <f>+'7. Weather Senstive Class'!Q21</f>
        <v>1234.6666666666667</v>
      </c>
      <c r="L32" s="263"/>
      <c r="M32" s="263">
        <f>+'7. Weather Senstive Class'!P21</f>
        <v>34727805.10651359</v>
      </c>
      <c r="N32" s="263"/>
      <c r="O32" s="553"/>
      <c r="P32" s="264"/>
    </row>
    <row r="33" spans="2:16" x14ac:dyDescent="0.2">
      <c r="B33" s="60">
        <f>+$B$17</f>
        <v>2012</v>
      </c>
      <c r="C33" s="263">
        <f>+'3. Consumption by Rate Class'!G135</f>
        <v>1268.9583333333333</v>
      </c>
      <c r="D33" s="551">
        <f>IF(C32=0,0,(C33-C32)/C32)</f>
        <v>2.7774028077753657E-2</v>
      </c>
      <c r="E33" s="263">
        <f>+'3. Consumption by Rate Class'!F135</f>
        <v>35374878.009999998</v>
      </c>
      <c r="F33" s="551">
        <f>IF(E32=0,0,(E33-E32)/E32)</f>
        <v>3.0705453613437596E-2</v>
      </c>
      <c r="G33" s="554"/>
      <c r="H33" s="551">
        <f>IF(G32=0,0,(G33-G32)/G32)</f>
        <v>0</v>
      </c>
      <c r="J33" s="60">
        <f>+$B$17</f>
        <v>2012</v>
      </c>
      <c r="K33" s="263">
        <f>+'7. Weather Senstive Class'!Q22</f>
        <v>1268.9583333333333</v>
      </c>
      <c r="L33" s="551">
        <f>IF(K32=0,0,(K33-K32)/K32)</f>
        <v>2.7774028077753657E-2</v>
      </c>
      <c r="M33" s="263">
        <f>+'7. Weather Senstive Class'!P22</f>
        <v>36645605.729967102</v>
      </c>
      <c r="N33" s="551">
        <f>IF(M32=0,0,(M33-M32)/M32)</f>
        <v>5.5223778686024926E-2</v>
      </c>
      <c r="O33" s="554"/>
      <c r="P33" s="551">
        <f>IF(O32=0,0,(O33-O32)/O32)</f>
        <v>0</v>
      </c>
    </row>
    <row r="34" spans="2:16" x14ac:dyDescent="0.2">
      <c r="B34" s="60">
        <f>+$B$18</f>
        <v>2013</v>
      </c>
      <c r="C34" s="263">
        <f>+'3. Consumption by Rate Class'!G136</f>
        <v>1221.0416666666667</v>
      </c>
      <c r="D34" s="551">
        <f t="shared" ref="D34" si="42">IF(C33=0,0,(C34-C33)/C33)</f>
        <v>-3.7760630438351546E-2</v>
      </c>
      <c r="E34" s="263">
        <f>+'3. Consumption by Rate Class'!F136</f>
        <v>35291130.910000004</v>
      </c>
      <c r="F34" s="551">
        <f t="shared" ref="F34" si="43">IF(E33=0,0,(E34-E33)/E33)</f>
        <v>-2.3674173512717098E-3</v>
      </c>
      <c r="G34" s="554"/>
      <c r="H34" s="551">
        <f t="shared" ref="H34" si="44">IF(G33=0,0,(G34-G33)/G33)</f>
        <v>0</v>
      </c>
      <c r="J34" s="60">
        <f>+$B$18</f>
        <v>2013</v>
      </c>
      <c r="K34" s="263">
        <f>+'7. Weather Senstive Class'!Q23</f>
        <v>1221.0416666666667</v>
      </c>
      <c r="L34" s="551">
        <f t="shared" ref="L34" si="45">IF(K33=0,0,(K34-K33)/K33)</f>
        <v>-3.7760630438351546E-2</v>
      </c>
      <c r="M34" s="263">
        <f>+'7. Weather Senstive Class'!P23</f>
        <v>35677960.336362258</v>
      </c>
      <c r="N34" s="551">
        <f t="shared" ref="N34" si="46">IF(M33=0,0,(M34-M33)/M33)</f>
        <v>-2.640549594773238E-2</v>
      </c>
      <c r="O34" s="554"/>
      <c r="P34" s="551">
        <f t="shared" ref="P34" si="47">IF(O33=0,0,(O34-O33)/O33)</f>
        <v>0</v>
      </c>
    </row>
    <row r="35" spans="2:16" x14ac:dyDescent="0.2">
      <c r="B35" s="60">
        <f>+$B$19</f>
        <v>2014</v>
      </c>
      <c r="C35" s="263">
        <f>+'3. Consumption by Rate Class'!G137</f>
        <v>1311.8333333333333</v>
      </c>
      <c r="D35" s="551">
        <f t="shared" ref="D35" si="48">IF(C34=0,0,(C35-C34)/C34)</f>
        <v>7.4355911960416188E-2</v>
      </c>
      <c r="E35" s="263">
        <f>+'3. Consumption by Rate Class'!F137</f>
        <v>39288460.370000005</v>
      </c>
      <c r="F35" s="551">
        <f t="shared" ref="F35" si="49">IF(E34=0,0,(E35-E34)/E34)</f>
        <v>0.11326725318590819</v>
      </c>
      <c r="G35" s="554"/>
      <c r="H35" s="551">
        <f t="shared" ref="H35" si="50">IF(G34=0,0,(G35-G34)/G34)</f>
        <v>0</v>
      </c>
      <c r="J35" s="60">
        <f>+$B$19</f>
        <v>2014</v>
      </c>
      <c r="K35" s="263">
        <f>+'7. Weather Senstive Class'!Q24</f>
        <v>1311.8333333333333</v>
      </c>
      <c r="L35" s="551">
        <f t="shared" ref="L35" si="51">IF(K34=0,0,(K35-K34)/K34)</f>
        <v>7.4355911960416188E-2</v>
      </c>
      <c r="M35" s="263">
        <f>+'7. Weather Senstive Class'!P24</f>
        <v>38707967.355970196</v>
      </c>
      <c r="N35" s="551">
        <f t="shared" ref="N35" si="52">IF(M34=0,0,(M35-M34)/M34)</f>
        <v>8.4926576268425771E-2</v>
      </c>
      <c r="O35" s="554"/>
      <c r="P35" s="551">
        <f t="shared" ref="P35" si="53">IF(O34=0,0,(O35-O34)/O34)</f>
        <v>0</v>
      </c>
    </row>
    <row r="36" spans="2:16" x14ac:dyDescent="0.2">
      <c r="B36" s="60">
        <f>+$B$20</f>
        <v>2015</v>
      </c>
      <c r="C36" s="263">
        <f>+'3. Consumption by Rate Class'!G138</f>
        <v>1321.5416666666667</v>
      </c>
      <c r="D36" s="551">
        <f t="shared" ref="D36" si="54">IF(C35=0,0,(C36-C35)/C35)</f>
        <v>7.400584423834445E-3</v>
      </c>
      <c r="E36" s="263">
        <f>+'3. Consumption by Rate Class'!F138</f>
        <v>41172287.869999997</v>
      </c>
      <c r="F36" s="551">
        <f t="shared" ref="F36" si="55">IF(E35=0,0,(E36-E35)/E35)</f>
        <v>4.7948621102965161E-2</v>
      </c>
      <c r="G36" s="554"/>
      <c r="H36" s="551">
        <f t="shared" ref="H36" si="56">IF(G35=0,0,(G36-G35)/G35)</f>
        <v>0</v>
      </c>
      <c r="J36" s="60">
        <f>+$B$20</f>
        <v>2015</v>
      </c>
      <c r="K36" s="263">
        <f>+'7. Weather Senstive Class'!Q25</f>
        <v>1321.5416666666667</v>
      </c>
      <c r="L36" s="551">
        <f t="shared" ref="L36" si="57">IF(K35=0,0,(K36-K35)/K35)</f>
        <v>7.400584423834445E-3</v>
      </c>
      <c r="M36" s="263">
        <f>+'7. Weather Senstive Class'!P25</f>
        <v>40933420.951249197</v>
      </c>
      <c r="N36" s="551">
        <f t="shared" ref="N36" si="58">IF(M35=0,0,(M36-M35)/M35)</f>
        <v>5.7493424410872705E-2</v>
      </c>
      <c r="O36" s="554"/>
      <c r="P36" s="551">
        <f t="shared" ref="P36" si="59">IF(O35=0,0,(O36-O35)/O35)</f>
        <v>0</v>
      </c>
    </row>
    <row r="37" spans="2:16" x14ac:dyDescent="0.2">
      <c r="B37" s="60">
        <f>+$B$21</f>
        <v>2016</v>
      </c>
      <c r="C37" s="263">
        <f>+'3. Consumption by Rate Class'!G139</f>
        <v>1332.7083333333333</v>
      </c>
      <c r="D37" s="551">
        <f t="shared" ref="D37" si="60">IF(C36=0,0,(C37-C36)/C36)</f>
        <v>8.449727275593415E-3</v>
      </c>
      <c r="E37" s="263">
        <f>+'3. Consumption by Rate Class'!F139</f>
        <v>43510840.949999996</v>
      </c>
      <c r="F37" s="551">
        <f t="shared" ref="F37" si="61">IF(E36=0,0,(E37-E36)/E36)</f>
        <v>5.679920162279771E-2</v>
      </c>
      <c r="G37" s="554"/>
      <c r="H37" s="551">
        <f t="shared" ref="H37" si="62">IF(G36=0,0,(G37-G36)/G36)</f>
        <v>0</v>
      </c>
      <c r="J37" s="60">
        <f>+$B$21</f>
        <v>2016</v>
      </c>
      <c r="K37" s="263">
        <f>+'7. Weather Senstive Class'!Q26</f>
        <v>1332.7083333333333</v>
      </c>
      <c r="L37" s="551">
        <f t="shared" ref="L37" si="63">IF(K36=0,0,(K37-K36)/K36)</f>
        <v>8.449727275593415E-3</v>
      </c>
      <c r="M37" s="263">
        <f>+'7. Weather Senstive Class'!P26</f>
        <v>44267820.419921681</v>
      </c>
      <c r="N37" s="551">
        <f t="shared" ref="N37" si="64">IF(M36=0,0,(M37-M36)/M36)</f>
        <v>8.1459096043882587E-2</v>
      </c>
      <c r="O37" s="554"/>
      <c r="P37" s="551">
        <f t="shared" ref="P37" si="65">IF(O36=0,0,(O37-O36)/O36)</f>
        <v>0</v>
      </c>
    </row>
    <row r="38" spans="2:16" x14ac:dyDescent="0.2">
      <c r="B38" s="60">
        <f>+$B$22</f>
        <v>2017</v>
      </c>
      <c r="C38" s="263">
        <f>+'3. Consumption by Rate Class'!G140</f>
        <v>1331.6666666666667</v>
      </c>
      <c r="D38" s="551">
        <f t="shared" ref="D38" si="66">IF(C37=0,0,(C38-C37)/C37)</f>
        <v>-7.8161638267926724E-4</v>
      </c>
      <c r="E38" s="263">
        <f>+'3. Consumption by Rate Class'!F140</f>
        <v>40733064.149999999</v>
      </c>
      <c r="F38" s="551">
        <f t="shared" ref="F38" si="67">IF(E37=0,0,(E38-E37)/E37)</f>
        <v>-6.38410276462376E-2</v>
      </c>
      <c r="G38" s="554"/>
      <c r="H38" s="551">
        <f t="shared" ref="H38" si="68">IF(G37=0,0,(G38-G37)/G37)</f>
        <v>0</v>
      </c>
      <c r="J38" s="60">
        <f>+$B$22</f>
        <v>2017</v>
      </c>
      <c r="K38" s="263">
        <f>+'7. Weather Senstive Class'!Q27</f>
        <v>1331.6666666666667</v>
      </c>
      <c r="L38" s="551">
        <f t="shared" ref="L38" si="69">IF(K37=0,0,(K38-K37)/K37)</f>
        <v>-7.8161638267926724E-4</v>
      </c>
      <c r="M38" s="263">
        <f>+'7. Weather Senstive Class'!P27</f>
        <v>41390098.581814982</v>
      </c>
      <c r="N38" s="551">
        <f t="shared" ref="N38" si="70">IF(M37=0,0,(M38-M37)/M37)</f>
        <v>-6.5007082137968755E-2</v>
      </c>
      <c r="O38" s="554"/>
      <c r="P38" s="551">
        <f t="shared" ref="P38" si="71">IF(O37=0,0,(O38-O37)/O37)</f>
        <v>0</v>
      </c>
    </row>
    <row r="39" spans="2:16" x14ac:dyDescent="0.2">
      <c r="B39" s="60">
        <f>+$B$23</f>
        <v>2018</v>
      </c>
      <c r="C39" s="68"/>
      <c r="D39" s="551">
        <f t="shared" ref="D39" si="72">IF(C38=0,0,(C39-C38)/C38)</f>
        <v>-1</v>
      </c>
      <c r="E39" s="68"/>
      <c r="F39" s="551">
        <f t="shared" ref="F39" si="73">IF(E38=0,0,(E39-E38)/E38)</f>
        <v>-1</v>
      </c>
      <c r="G39" s="554"/>
      <c r="H39" s="551">
        <f t="shared" ref="H39" si="74">IF(G38=0,0,(G39-G38)/G38)</f>
        <v>0</v>
      </c>
      <c r="J39" s="60">
        <f>+$B$23</f>
        <v>2018</v>
      </c>
      <c r="K39" s="263">
        <f>+'7. Weather Senstive Class'!Q28</f>
        <v>1336.6666666666667</v>
      </c>
      <c r="L39" s="551">
        <f t="shared" ref="L39" si="75">IF(K38=0,0,(K39-K38)/K38)</f>
        <v>3.7546933667083854E-3</v>
      </c>
      <c r="M39" s="263">
        <f>+'7. Weather Senstive Class'!P28</f>
        <v>42306679.084252924</v>
      </c>
      <c r="N39" s="551">
        <f t="shared" ref="N39" si="76">IF(M38=0,0,(M39-M38)/M38)</f>
        <v>2.2144921946154715E-2</v>
      </c>
      <c r="O39" s="554"/>
      <c r="P39" s="551">
        <f t="shared" ref="P39" si="77">IF(O38=0,0,(O39-O38)/O38)</f>
        <v>0</v>
      </c>
    </row>
    <row r="40" spans="2:16" x14ac:dyDescent="0.2">
      <c r="B40" s="60">
        <f>+$B$24</f>
        <v>2019</v>
      </c>
      <c r="C40" s="68"/>
      <c r="D40" s="551">
        <f t="shared" ref="D40" si="78">IF(C39=0,0,(C40-C39)/C39)</f>
        <v>0</v>
      </c>
      <c r="E40" s="68"/>
      <c r="F40" s="551">
        <f t="shared" ref="F40" si="79">IF(E39=0,0,(E40-E39)/E39)</f>
        <v>0</v>
      </c>
      <c r="G40" s="554"/>
      <c r="H40" s="551">
        <f t="shared" ref="H40" si="80">IF(G39=0,0,(G40-G39)/G39)</f>
        <v>0</v>
      </c>
      <c r="J40" s="60">
        <f>+$B$24</f>
        <v>2019</v>
      </c>
      <c r="K40" s="263">
        <f>+'7. Weather Senstive Class'!Q29</f>
        <v>1341.6666666666667</v>
      </c>
      <c r="L40" s="551">
        <f t="shared" ref="L40" si="81">IF(K39=0,0,(K40-K39)/K39)</f>
        <v>3.740648379052369E-3</v>
      </c>
      <c r="M40" s="263">
        <f>+'7. Weather Senstive Class'!P29</f>
        <v>42839905.598524772</v>
      </c>
      <c r="N40" s="551">
        <f t="shared" ref="N40" si="82">IF(M39=0,0,(M40-M39)/M39)</f>
        <v>1.2603837640149862E-2</v>
      </c>
      <c r="O40" s="554"/>
      <c r="P40" s="551">
        <f t="shared" ref="P40" si="83">IF(O39=0,0,(O40-O39)/O39)</f>
        <v>0</v>
      </c>
    </row>
    <row r="41" spans="2:16" x14ac:dyDescent="0.2">
      <c r="B41" s="60">
        <f>+$B$25</f>
        <v>2020</v>
      </c>
      <c r="C41" s="68"/>
      <c r="D41" s="551">
        <f t="shared" ref="D41" si="84">IF(C40=0,0,(C41-C40)/C40)</f>
        <v>0</v>
      </c>
      <c r="E41" s="68"/>
      <c r="F41" s="551">
        <f t="shared" ref="F41" si="85">IF(E40=0,0,(E41-E40)/E40)</f>
        <v>0</v>
      </c>
      <c r="G41" s="554"/>
      <c r="H41" s="551">
        <f t="shared" ref="H41" si="86">IF(G40=0,0,(G41-G40)/G40)</f>
        <v>0</v>
      </c>
      <c r="J41" s="60">
        <f>+$B$25</f>
        <v>2020</v>
      </c>
      <c r="K41" s="68"/>
      <c r="L41" s="551">
        <f t="shared" ref="L41" si="87">IF(K40=0,0,(K41-K40)/K40)</f>
        <v>-1</v>
      </c>
      <c r="M41" s="68"/>
      <c r="N41" s="551">
        <f t="shared" ref="N41" si="88">IF(M40=0,0,(M41-M40)/M40)</f>
        <v>-1</v>
      </c>
      <c r="O41" s="554"/>
      <c r="P41" s="551">
        <f t="shared" ref="P41" si="89">IF(O40=0,0,(O41-O40)/O40)</f>
        <v>0</v>
      </c>
    </row>
    <row r="42" spans="2:16" x14ac:dyDescent="0.2">
      <c r="B42" s="60">
        <f>+$B$26</f>
        <v>2021</v>
      </c>
      <c r="C42" s="68"/>
      <c r="D42" s="551">
        <f t="shared" ref="D42" si="90">IF(C41=0,0,(C42-C41)/C41)</f>
        <v>0</v>
      </c>
      <c r="E42" s="68"/>
      <c r="F42" s="551">
        <f t="shared" ref="F42" si="91">IF(E41=0,0,(E42-E41)/E41)</f>
        <v>0</v>
      </c>
      <c r="G42" s="554"/>
      <c r="H42" s="551">
        <f t="shared" ref="H42" si="92">IF(G41=0,0,(G42-G41)/G41)</f>
        <v>0</v>
      </c>
      <c r="J42" s="60">
        <f>+$B$26</f>
        <v>2021</v>
      </c>
      <c r="K42" s="68"/>
      <c r="L42" s="551">
        <f t="shared" ref="L42" si="93">IF(K41=0,0,(K42-K41)/K41)</f>
        <v>0</v>
      </c>
      <c r="M42" s="68"/>
      <c r="N42" s="551">
        <f t="shared" ref="N42" si="94">IF(M41=0,0,(M42-M41)/M41)</f>
        <v>0</v>
      </c>
      <c r="O42" s="554"/>
      <c r="P42" s="551">
        <f t="shared" ref="P42" si="95">IF(O41=0,0,(O42-O41)/O41)</f>
        <v>0</v>
      </c>
    </row>
    <row r="43" spans="2:16" ht="13.5" thickBot="1" x14ac:dyDescent="0.25">
      <c r="B43" s="550">
        <f>+$B$27</f>
        <v>2022</v>
      </c>
      <c r="C43" s="69"/>
      <c r="D43" s="552">
        <f t="shared" ref="D43" si="96">IF(C42=0,0,(C43-C42)/C42)</f>
        <v>0</v>
      </c>
      <c r="E43" s="69"/>
      <c r="F43" s="552">
        <f t="shared" ref="F43" si="97">IF(E42=0,0,(E43-E42)/E42)</f>
        <v>0</v>
      </c>
      <c r="G43" s="555"/>
      <c r="H43" s="552">
        <f t="shared" ref="H43" si="98">IF(G42=0,0,(G43-G42)/G42)</f>
        <v>0</v>
      </c>
      <c r="J43" s="550">
        <f>+$B$27</f>
        <v>2022</v>
      </c>
      <c r="K43" s="69"/>
      <c r="L43" s="552">
        <f t="shared" ref="L43" si="99">IF(K42=0,0,(K43-K42)/K42)</f>
        <v>0</v>
      </c>
      <c r="M43" s="69"/>
      <c r="N43" s="552">
        <f t="shared" ref="N43" si="100">IF(M42=0,0,(M43-M42)/M42)</f>
        <v>0</v>
      </c>
      <c r="O43" s="555"/>
      <c r="P43" s="552">
        <f t="shared" ref="P43" si="101">IF(O42=0,0,(O43-O42)/O42)</f>
        <v>0</v>
      </c>
    </row>
    <row r="45" spans="2:16" ht="13.5" thickBot="1" x14ac:dyDescent="0.25">
      <c r="C45" s="92"/>
      <c r="D45" s="92"/>
      <c r="E45" s="92"/>
      <c r="F45" s="92"/>
      <c r="G45" s="92"/>
      <c r="H45" s="92"/>
      <c r="I45" s="43"/>
      <c r="K45" s="92"/>
      <c r="L45" s="92"/>
      <c r="M45" s="92"/>
      <c r="N45" s="92"/>
      <c r="O45" s="92"/>
      <c r="P45" s="92"/>
    </row>
    <row r="46" spans="2:16" ht="13.5" thickBot="1" x14ac:dyDescent="0.25">
      <c r="B46" s="934" t="str">
        <f>+'11. Final Load Forecast'!B22</f>
        <v>General Service &gt; 50 kW - 4999 kW</v>
      </c>
      <c r="C46" s="935"/>
      <c r="D46" s="935"/>
      <c r="E46" s="935"/>
      <c r="F46" s="935"/>
      <c r="G46" s="935"/>
      <c r="H46" s="936"/>
      <c r="J46" s="934" t="str">
        <f>+B46</f>
        <v>General Service &gt; 50 kW - 4999 kW</v>
      </c>
      <c r="K46" s="935"/>
      <c r="L46" s="935"/>
      <c r="M46" s="935"/>
      <c r="N46" s="935"/>
      <c r="O46" s="935"/>
      <c r="P46" s="936"/>
    </row>
    <row r="47" spans="2:16" ht="13.5" thickBot="1" x14ac:dyDescent="0.25">
      <c r="B47" s="59" t="s">
        <v>32</v>
      </c>
      <c r="C47" s="44" t="s">
        <v>48</v>
      </c>
      <c r="D47" s="45" t="s">
        <v>53</v>
      </c>
      <c r="E47" s="269" t="s">
        <v>35</v>
      </c>
      <c r="F47" s="45" t="s">
        <v>53</v>
      </c>
      <c r="G47" s="269" t="s">
        <v>36</v>
      </c>
      <c r="H47" s="270" t="s">
        <v>53</v>
      </c>
      <c r="J47" s="59" t="s">
        <v>32</v>
      </c>
      <c r="K47" s="44" t="s">
        <v>48</v>
      </c>
      <c r="L47" s="45" t="s">
        <v>53</v>
      </c>
      <c r="M47" s="269" t="s">
        <v>35</v>
      </c>
      <c r="N47" s="45" t="s">
        <v>53</v>
      </c>
      <c r="O47" s="269" t="s">
        <v>36</v>
      </c>
      <c r="P47" s="270" t="s">
        <v>53</v>
      </c>
    </row>
    <row r="48" spans="2:16" x14ac:dyDescent="0.2">
      <c r="B48" s="60">
        <f>+$B$16</f>
        <v>2011</v>
      </c>
      <c r="C48" s="263">
        <f>+'3. Consumption by Rate Class'!L134</f>
        <v>120.04166666666667</v>
      </c>
      <c r="D48" s="263"/>
      <c r="E48" s="263">
        <f>+'3. Consumption by Rate Class'!J134</f>
        <v>78632456.620000005</v>
      </c>
      <c r="F48" s="263"/>
      <c r="G48" s="263">
        <f>+'3. Consumption by Rate Class'!K134</f>
        <v>199917.50000000003</v>
      </c>
      <c r="H48" s="264"/>
      <c r="J48" s="60">
        <f>+$B$16</f>
        <v>2011</v>
      </c>
      <c r="K48" s="263">
        <f>+'8. KW and Non-Weather Sensitive'!G21</f>
        <v>120.04166666666667</v>
      </c>
      <c r="L48" s="263"/>
      <c r="M48" s="263">
        <f>+'8. KW and Non-Weather Sensitive'!E21</f>
        <v>78632456.620000005</v>
      </c>
      <c r="N48" s="263"/>
      <c r="O48" s="263">
        <f>+'8. KW and Non-Weather Sensitive'!F21</f>
        <v>199917.50000000003</v>
      </c>
      <c r="P48" s="264"/>
    </row>
    <row r="49" spans="2:16" x14ac:dyDescent="0.2">
      <c r="B49" s="60">
        <f>+$B$17</f>
        <v>2012</v>
      </c>
      <c r="C49" s="263">
        <f>+'3. Consumption by Rate Class'!L135</f>
        <v>117.70833333333333</v>
      </c>
      <c r="D49" s="551">
        <f>IF(C48=0,0,(C49-C48)/C48)</f>
        <v>-1.9437695244706777E-2</v>
      </c>
      <c r="E49" s="263">
        <f>+'3. Consumption by Rate Class'!J135</f>
        <v>77993647.680000007</v>
      </c>
      <c r="F49" s="551">
        <f>IF(E48=0,0,(E49-E48)/E48)</f>
        <v>-8.1239855329347278E-3</v>
      </c>
      <c r="G49" s="263">
        <f>+'3. Consumption by Rate Class'!K135</f>
        <v>202737.81</v>
      </c>
      <c r="H49" s="551">
        <f>IF(G48=0,0,(G49-G48)/G48)</f>
        <v>1.4107369289831896E-2</v>
      </c>
      <c r="J49" s="60">
        <f>+$B$17</f>
        <v>2012</v>
      </c>
      <c r="K49" s="263">
        <f>+'8. KW and Non-Weather Sensitive'!G22</f>
        <v>117.70833333333333</v>
      </c>
      <c r="L49" s="551">
        <f>IF(K48=0,0,(K49-K48)/K48)</f>
        <v>-1.9437695244706777E-2</v>
      </c>
      <c r="M49" s="263">
        <f>+'8. KW and Non-Weather Sensitive'!E22</f>
        <v>77993647.680000007</v>
      </c>
      <c r="N49" s="551">
        <f>IF(M48=0,0,(M49-M48)/M48)</f>
        <v>-8.1239855329347278E-3</v>
      </c>
      <c r="O49" s="263">
        <f>+'8. KW and Non-Weather Sensitive'!F22</f>
        <v>202737.81</v>
      </c>
      <c r="P49" s="551">
        <f>IF(O48=0,0,(O49-O48)/O48)</f>
        <v>1.4107369289831896E-2</v>
      </c>
    </row>
    <row r="50" spans="2:16" x14ac:dyDescent="0.2">
      <c r="B50" s="60">
        <f>+$B$18</f>
        <v>2013</v>
      </c>
      <c r="C50" s="263">
        <f>+'3. Consumption by Rate Class'!L136</f>
        <v>117.875</v>
      </c>
      <c r="D50" s="551">
        <f t="shared" ref="D50" si="102">IF(C49=0,0,(C50-C49)/C49)</f>
        <v>1.4159292035398634E-3</v>
      </c>
      <c r="E50" s="263">
        <f>+'3. Consumption by Rate Class'!J136</f>
        <v>77896093.379999995</v>
      </c>
      <c r="F50" s="551">
        <f t="shared" ref="F50" si="103">IF(E49=0,0,(E50-E49)/E49)</f>
        <v>-1.2507980188369607E-3</v>
      </c>
      <c r="G50" s="263">
        <f>+'3. Consumption by Rate Class'!K136</f>
        <v>204592.81999999998</v>
      </c>
      <c r="H50" s="551">
        <f t="shared" ref="H50" si="104">IF(G49=0,0,(G50-G49)/G49)</f>
        <v>9.1497979582593897E-3</v>
      </c>
      <c r="J50" s="60">
        <f>+$B$18</f>
        <v>2013</v>
      </c>
      <c r="K50" s="263">
        <f>+'8. KW and Non-Weather Sensitive'!G23</f>
        <v>117.875</v>
      </c>
      <c r="L50" s="551">
        <f t="shared" ref="L50" si="105">IF(K49=0,0,(K50-K49)/K49)</f>
        <v>1.4159292035398634E-3</v>
      </c>
      <c r="M50" s="263">
        <f>+'8. KW and Non-Weather Sensitive'!E23</f>
        <v>77896093.379999995</v>
      </c>
      <c r="N50" s="551">
        <f t="shared" ref="N50" si="106">IF(M49=0,0,(M50-M49)/M49)</f>
        <v>-1.2507980188369607E-3</v>
      </c>
      <c r="O50" s="263">
        <f>+'8. KW and Non-Weather Sensitive'!F23</f>
        <v>204592.81999999998</v>
      </c>
      <c r="P50" s="551">
        <f t="shared" ref="P50" si="107">IF(O49=0,0,(O50-O49)/O49)</f>
        <v>9.1497979582593897E-3</v>
      </c>
    </row>
    <row r="51" spans="2:16" x14ac:dyDescent="0.2">
      <c r="B51" s="60">
        <f>+$B$19</f>
        <v>2014</v>
      </c>
      <c r="C51" s="263">
        <f>+'3. Consumption by Rate Class'!L137</f>
        <v>129.375</v>
      </c>
      <c r="D51" s="551">
        <f t="shared" ref="D51" si="108">IF(C50=0,0,(C51-C50)/C50)</f>
        <v>9.7560975609756101E-2</v>
      </c>
      <c r="E51" s="263">
        <f>+'3. Consumption by Rate Class'!J137</f>
        <v>80076898.530000001</v>
      </c>
      <c r="F51" s="551">
        <f t="shared" ref="F51" si="109">IF(E50=0,0,(E51-E50)/E50)</f>
        <v>2.7996335315063858E-2</v>
      </c>
      <c r="G51" s="263">
        <f>+'3. Consumption by Rate Class'!K137</f>
        <v>208042.52000000002</v>
      </c>
      <c r="H51" s="551">
        <f t="shared" ref="H51" si="110">IF(G50=0,0,(G51-G50)/G50)</f>
        <v>1.6861295523469697E-2</v>
      </c>
      <c r="J51" s="60">
        <f>+$B$19</f>
        <v>2014</v>
      </c>
      <c r="K51" s="263">
        <f>+'8. KW and Non-Weather Sensitive'!G24</f>
        <v>129.375</v>
      </c>
      <c r="L51" s="551">
        <f t="shared" ref="L51" si="111">IF(K50=0,0,(K51-K50)/K50)</f>
        <v>9.7560975609756101E-2</v>
      </c>
      <c r="M51" s="263">
        <f>+'8. KW and Non-Weather Sensitive'!E24</f>
        <v>80076898.530000001</v>
      </c>
      <c r="N51" s="551">
        <f t="shared" ref="N51" si="112">IF(M50=0,0,(M51-M50)/M50)</f>
        <v>2.7996335315063858E-2</v>
      </c>
      <c r="O51" s="263">
        <f>+'8. KW and Non-Weather Sensitive'!F24</f>
        <v>208042.52000000002</v>
      </c>
      <c r="P51" s="551">
        <f t="shared" ref="P51" si="113">IF(O50=0,0,(O51-O50)/O50)</f>
        <v>1.6861295523469697E-2</v>
      </c>
    </row>
    <row r="52" spans="2:16" x14ac:dyDescent="0.2">
      <c r="B52" s="60">
        <f>+$B$20</f>
        <v>2015</v>
      </c>
      <c r="C52" s="263">
        <f>+'3. Consumption by Rate Class'!L138</f>
        <v>128</v>
      </c>
      <c r="D52" s="551">
        <f t="shared" ref="D52" si="114">IF(C51=0,0,(C52-C51)/C51)</f>
        <v>-1.0628019323671498E-2</v>
      </c>
      <c r="E52" s="263">
        <f>+'3. Consumption by Rate Class'!J138</f>
        <v>81848511.329999983</v>
      </c>
      <c r="F52" s="551">
        <f t="shared" ref="F52" si="115">IF(E51=0,0,(E52-E51)/E51)</f>
        <v>2.2123893813598004E-2</v>
      </c>
      <c r="G52" s="263">
        <f>+'3. Consumption by Rate Class'!K138</f>
        <v>213948.53999999998</v>
      </c>
      <c r="H52" s="551">
        <f t="shared" ref="H52" si="116">IF(G51=0,0,(G52-G51)/G51)</f>
        <v>2.8388523653722134E-2</v>
      </c>
      <c r="J52" s="60">
        <f>+$B$20</f>
        <v>2015</v>
      </c>
      <c r="K52" s="263">
        <f>+'8. KW and Non-Weather Sensitive'!G25</f>
        <v>128</v>
      </c>
      <c r="L52" s="551">
        <f t="shared" ref="L52" si="117">IF(K51=0,0,(K52-K51)/K51)</f>
        <v>-1.0628019323671498E-2</v>
      </c>
      <c r="M52" s="263">
        <f>+'8. KW and Non-Weather Sensitive'!E25</f>
        <v>81848511.329999983</v>
      </c>
      <c r="N52" s="551">
        <f t="shared" ref="N52" si="118">IF(M51=0,0,(M52-M51)/M51)</f>
        <v>2.2123893813598004E-2</v>
      </c>
      <c r="O52" s="263">
        <f>+'8. KW and Non-Weather Sensitive'!F25</f>
        <v>213948.53999999998</v>
      </c>
      <c r="P52" s="551">
        <f t="shared" ref="P52" si="119">IF(O51=0,0,(O52-O51)/O51)</f>
        <v>2.8388523653722134E-2</v>
      </c>
    </row>
    <row r="53" spans="2:16" x14ac:dyDescent="0.2">
      <c r="B53" s="60">
        <f>+$B$21</f>
        <v>2016</v>
      </c>
      <c r="C53" s="263">
        <f>+'3. Consumption by Rate Class'!L139</f>
        <v>121.5</v>
      </c>
      <c r="D53" s="551">
        <f t="shared" ref="D53" si="120">IF(C52=0,0,(C53-C52)/C52)</f>
        <v>-5.078125E-2</v>
      </c>
      <c r="E53" s="263">
        <f>+'3. Consumption by Rate Class'!J139</f>
        <v>83681623.590000004</v>
      </c>
      <c r="F53" s="551">
        <f t="shared" ref="F53" si="121">IF(E52=0,0,(E53-E52)/E52)</f>
        <v>2.2396403186970715E-2</v>
      </c>
      <c r="G53" s="263">
        <f>+'3. Consumption by Rate Class'!K139</f>
        <v>211155.36</v>
      </c>
      <c r="H53" s="551">
        <f t="shared" ref="H53" si="122">IF(G52=0,0,(G53-G52)/G52)</f>
        <v>-1.3055382383072085E-2</v>
      </c>
      <c r="J53" s="60">
        <f>+$B$21</f>
        <v>2016</v>
      </c>
      <c r="K53" s="263">
        <f>+'8. KW and Non-Weather Sensitive'!G26</f>
        <v>121.5</v>
      </c>
      <c r="L53" s="551">
        <f t="shared" ref="L53" si="123">IF(K52=0,0,(K53-K52)/K52)</f>
        <v>-5.078125E-2</v>
      </c>
      <c r="M53" s="263">
        <f>+'8. KW and Non-Weather Sensitive'!E26</f>
        <v>83681623.590000004</v>
      </c>
      <c r="N53" s="551">
        <f t="shared" ref="N53" si="124">IF(M52=0,0,(M53-M52)/M52)</f>
        <v>2.2396403186970715E-2</v>
      </c>
      <c r="O53" s="263">
        <f>+'8. KW and Non-Weather Sensitive'!F26</f>
        <v>211155.36</v>
      </c>
      <c r="P53" s="551">
        <f t="shared" ref="P53" si="125">IF(O52=0,0,(O53-O52)/O52)</f>
        <v>-1.3055382383072085E-2</v>
      </c>
    </row>
    <row r="54" spans="2:16" x14ac:dyDescent="0.2">
      <c r="B54" s="60">
        <f>+$B$22</f>
        <v>2017</v>
      </c>
      <c r="C54" s="263">
        <f>+'3. Consumption by Rate Class'!L140</f>
        <v>128.95833333333334</v>
      </c>
      <c r="D54" s="551">
        <f t="shared" ref="D54" si="126">IF(C53=0,0,(C54-C53)/C53)</f>
        <v>6.1385459533607759E-2</v>
      </c>
      <c r="E54" s="263">
        <f>+'3. Consumption by Rate Class'!J140</f>
        <v>84099297.00999999</v>
      </c>
      <c r="F54" s="551">
        <f t="shared" ref="F54" si="127">IF(E53=0,0,(E54-E53)/E53)</f>
        <v>4.9912203191274972E-3</v>
      </c>
      <c r="G54" s="263">
        <f>+'3. Consumption by Rate Class'!K140</f>
        <v>211533.96999999997</v>
      </c>
      <c r="H54" s="551">
        <f t="shared" ref="H54" si="128">IF(G53=0,0,(G54-G53)/G53)</f>
        <v>1.7930399682962632E-3</v>
      </c>
      <c r="J54" s="60">
        <f>+$B$22</f>
        <v>2017</v>
      </c>
      <c r="K54" s="263">
        <f>+'8. KW and Non-Weather Sensitive'!G27</f>
        <v>128.95833333333334</v>
      </c>
      <c r="L54" s="551">
        <f t="shared" ref="L54" si="129">IF(K53=0,0,(K54-K53)/K53)</f>
        <v>6.1385459533607759E-2</v>
      </c>
      <c r="M54" s="263">
        <f>+'8. KW and Non-Weather Sensitive'!E27</f>
        <v>84099297.00999999</v>
      </c>
      <c r="N54" s="551">
        <f t="shared" ref="N54" si="130">IF(M53=0,0,(M54-M53)/M53)</f>
        <v>4.9912203191274972E-3</v>
      </c>
      <c r="O54" s="263">
        <f>+'8. KW and Non-Weather Sensitive'!F27</f>
        <v>211533.96999999997</v>
      </c>
      <c r="P54" s="551">
        <f t="shared" ref="P54" si="131">IF(O53=0,0,(O54-O53)/O53)</f>
        <v>1.7930399682962632E-3</v>
      </c>
    </row>
    <row r="55" spans="2:16" x14ac:dyDescent="0.2">
      <c r="B55" s="60">
        <f>+$B$23</f>
        <v>2018</v>
      </c>
      <c r="C55" s="68"/>
      <c r="D55" s="551">
        <f t="shared" ref="D55" si="132">IF(C54=0,0,(C55-C54)/C54)</f>
        <v>-1</v>
      </c>
      <c r="E55" s="68"/>
      <c r="F55" s="551">
        <f t="shared" ref="F55" si="133">IF(E54=0,0,(E55-E54)/E54)</f>
        <v>-1</v>
      </c>
      <c r="G55" s="263"/>
      <c r="H55" s="551">
        <f t="shared" ref="H55" si="134">IF(G54=0,0,(G55-G54)/G54)</f>
        <v>-1</v>
      </c>
      <c r="J55" s="60">
        <f>+$B$23</f>
        <v>2018</v>
      </c>
      <c r="K55" s="263">
        <f>+'8. KW and Non-Weather Sensitive'!G28</f>
        <v>130.50755221180745</v>
      </c>
      <c r="L55" s="551">
        <f t="shared" ref="L55" si="135">IF(K54=0,0,(K55-K54)/K54)</f>
        <v>1.2013328944548813E-2</v>
      </c>
      <c r="M55" s="263">
        <f>+'8. KW and Non-Weather Sensitive'!E28</f>
        <v>85961669.378012925</v>
      </c>
      <c r="N55" s="551">
        <f t="shared" ref="N55" si="136">IF(M54=0,0,(M55-M54)/M54)</f>
        <v>2.2144921946154746E-2</v>
      </c>
      <c r="O55" s="263">
        <f>+'8. KW and Non-Weather Sensitive'!F28</f>
        <v>221276.70912632582</v>
      </c>
      <c r="P55" s="551">
        <f t="shared" ref="P55" si="137">IF(O54=0,0,(O55-O54)/O54)</f>
        <v>4.6057562888484761E-2</v>
      </c>
    </row>
    <row r="56" spans="2:16" x14ac:dyDescent="0.2">
      <c r="B56" s="60">
        <f>+$B$24</f>
        <v>2019</v>
      </c>
      <c r="C56" s="68"/>
      <c r="D56" s="551">
        <f t="shared" ref="D56" si="138">IF(C55=0,0,(C56-C55)/C55)</f>
        <v>0</v>
      </c>
      <c r="E56" s="68"/>
      <c r="F56" s="551">
        <f t="shared" ref="F56" si="139">IF(E55=0,0,(E56-E55)/E55)</f>
        <v>0</v>
      </c>
      <c r="G56" s="68"/>
      <c r="H56" s="551">
        <f t="shared" ref="H56" si="140">IF(G55=0,0,(G56-G55)/G55)</f>
        <v>0</v>
      </c>
      <c r="J56" s="60">
        <f>+$B$24</f>
        <v>2019</v>
      </c>
      <c r="K56" s="263">
        <f>+'8. KW and Non-Weather Sensitive'!G29</f>
        <v>131</v>
      </c>
      <c r="L56" s="551">
        <f t="shared" ref="L56" si="141">IF(K55=0,0,(K56-K55)/K55)</f>
        <v>3.7733279020767379E-3</v>
      </c>
      <c r="M56" s="263">
        <f>+'8. KW and Non-Weather Sensitive'!E29</f>
        <v>84345116.302129641</v>
      </c>
      <c r="N56" s="551">
        <f t="shared" ref="N56" si="142">IF(M55=0,0,(M56-M55)/M55)</f>
        <v>-1.880551049764469E-2</v>
      </c>
      <c r="O56" s="263">
        <f>+'8. KW and Non-Weather Sensitive'!F29</f>
        <v>217115.48764996644</v>
      </c>
      <c r="P56" s="551">
        <f t="shared" ref="P56" si="143">IF(O55=0,0,(O56-O55)/O55)</f>
        <v>-1.8805510497644642E-2</v>
      </c>
    </row>
    <row r="57" spans="2:16" x14ac:dyDescent="0.2">
      <c r="B57" s="60">
        <f>+$B$25</f>
        <v>2020</v>
      </c>
      <c r="C57" s="68"/>
      <c r="D57" s="551">
        <f t="shared" ref="D57" si="144">IF(C56=0,0,(C57-C56)/C56)</f>
        <v>0</v>
      </c>
      <c r="E57" s="68"/>
      <c r="F57" s="551">
        <f t="shared" ref="F57" si="145">IF(E56=0,0,(E57-E56)/E56)</f>
        <v>0</v>
      </c>
      <c r="G57" s="68"/>
      <c r="H57" s="551">
        <f t="shared" ref="H57" si="146">IF(G56=0,0,(G57-G56)/G56)</f>
        <v>0</v>
      </c>
      <c r="J57" s="60">
        <f>+$B$25</f>
        <v>2020</v>
      </c>
      <c r="K57" s="68"/>
      <c r="L57" s="551">
        <f t="shared" ref="L57" si="147">IF(K56=0,0,(K57-K56)/K56)</f>
        <v>-1</v>
      </c>
      <c r="M57" s="68"/>
      <c r="N57" s="551">
        <f t="shared" ref="N57" si="148">IF(M56=0,0,(M57-M56)/M56)</f>
        <v>-1</v>
      </c>
      <c r="O57" s="68"/>
      <c r="P57" s="551">
        <f t="shared" ref="P57" si="149">IF(O56=0,0,(O57-O56)/O56)</f>
        <v>-1</v>
      </c>
    </row>
    <row r="58" spans="2:16" x14ac:dyDescent="0.2">
      <c r="B58" s="60">
        <f>+$B$26</f>
        <v>2021</v>
      </c>
      <c r="C58" s="68"/>
      <c r="D58" s="551">
        <f t="shared" ref="D58" si="150">IF(C57=0,0,(C58-C57)/C57)</f>
        <v>0</v>
      </c>
      <c r="E58" s="68"/>
      <c r="F58" s="551">
        <f t="shared" ref="F58" si="151">IF(E57=0,0,(E58-E57)/E57)</f>
        <v>0</v>
      </c>
      <c r="G58" s="68"/>
      <c r="H58" s="551">
        <f t="shared" ref="H58" si="152">IF(G57=0,0,(G58-G57)/G57)</f>
        <v>0</v>
      </c>
      <c r="J58" s="60">
        <f>+$B$26</f>
        <v>2021</v>
      </c>
      <c r="K58" s="68"/>
      <c r="L58" s="551">
        <f t="shared" ref="L58" si="153">IF(K57=0,0,(K58-K57)/K57)</f>
        <v>0</v>
      </c>
      <c r="M58" s="68"/>
      <c r="N58" s="551">
        <f t="shared" ref="N58" si="154">IF(M57=0,0,(M58-M57)/M57)</f>
        <v>0</v>
      </c>
      <c r="O58" s="68"/>
      <c r="P58" s="551">
        <f t="shared" ref="P58" si="155">IF(O57=0,0,(O58-O57)/O57)</f>
        <v>0</v>
      </c>
    </row>
    <row r="59" spans="2:16" ht="13.5" thickBot="1" x14ac:dyDescent="0.25">
      <c r="B59" s="550">
        <f>+$B$27</f>
        <v>2022</v>
      </c>
      <c r="C59" s="69"/>
      <c r="D59" s="552">
        <f t="shared" ref="D59" si="156">IF(C58=0,0,(C59-C58)/C58)</f>
        <v>0</v>
      </c>
      <c r="E59" s="69"/>
      <c r="F59" s="552">
        <f t="shared" ref="F59" si="157">IF(E58=0,0,(E59-E58)/E58)</f>
        <v>0</v>
      </c>
      <c r="G59" s="69"/>
      <c r="H59" s="552">
        <f t="shared" ref="H59" si="158">IF(G58=0,0,(G59-G58)/G58)</f>
        <v>0</v>
      </c>
      <c r="J59" s="550">
        <f>+$B$27</f>
        <v>2022</v>
      </c>
      <c r="K59" s="69"/>
      <c r="L59" s="552">
        <f t="shared" ref="L59" si="159">IF(K58=0,0,(K59-K58)/K58)</f>
        <v>0</v>
      </c>
      <c r="M59" s="69"/>
      <c r="N59" s="552">
        <f t="shared" ref="N59" si="160">IF(M58=0,0,(M59-M58)/M58)</f>
        <v>0</v>
      </c>
      <c r="O59" s="69"/>
      <c r="P59" s="552">
        <f t="shared" ref="P59" si="161">IF(O58=0,0,(O59-O58)/O58)</f>
        <v>0</v>
      </c>
    </row>
    <row r="61" spans="2:16" ht="13.5" thickBot="1" x14ac:dyDescent="0.25">
      <c r="B61" s="17"/>
      <c r="C61" s="19" t="s">
        <v>29</v>
      </c>
      <c r="D61" s="19"/>
      <c r="E61" s="19"/>
      <c r="F61" s="19"/>
      <c r="G61" s="19"/>
      <c r="H61" s="19"/>
      <c r="J61" s="17"/>
      <c r="K61" s="297" t="s">
        <v>29</v>
      </c>
      <c r="L61" s="297"/>
      <c r="M61" s="297"/>
      <c r="N61" s="297"/>
      <c r="O61" s="297"/>
      <c r="P61" s="297"/>
    </row>
    <row r="62" spans="2:16" ht="13.5" thickBot="1" x14ac:dyDescent="0.25">
      <c r="B62" s="934" t="str">
        <f>+'11. Final Load Forecast'!B26</f>
        <v>Unmetered Scattered Load</v>
      </c>
      <c r="C62" s="935"/>
      <c r="D62" s="935"/>
      <c r="E62" s="935"/>
      <c r="F62" s="935"/>
      <c r="G62" s="935"/>
      <c r="H62" s="936"/>
      <c r="J62" s="934" t="str">
        <f>+B62</f>
        <v>Unmetered Scattered Load</v>
      </c>
      <c r="K62" s="935"/>
      <c r="L62" s="935"/>
      <c r="M62" s="935"/>
      <c r="N62" s="935"/>
      <c r="O62" s="935"/>
      <c r="P62" s="936"/>
    </row>
    <row r="63" spans="2:16" ht="13.5" thickBot="1" x14ac:dyDescent="0.25">
      <c r="B63" s="125" t="s">
        <v>32</v>
      </c>
      <c r="C63" s="44" t="s">
        <v>48</v>
      </c>
      <c r="D63" s="45" t="s">
        <v>53</v>
      </c>
      <c r="E63" s="269" t="s">
        <v>35</v>
      </c>
      <c r="F63" s="45" t="s">
        <v>53</v>
      </c>
      <c r="G63" s="269" t="s">
        <v>36</v>
      </c>
      <c r="H63" s="47"/>
      <c r="J63" s="125" t="s">
        <v>32</v>
      </c>
      <c r="K63" s="44" t="s">
        <v>48</v>
      </c>
      <c r="L63" s="45" t="s">
        <v>53</v>
      </c>
      <c r="M63" s="269" t="s">
        <v>35</v>
      </c>
      <c r="N63" s="45" t="s">
        <v>53</v>
      </c>
      <c r="O63" s="269" t="s">
        <v>36</v>
      </c>
      <c r="P63" s="47"/>
    </row>
    <row r="64" spans="2:16" x14ac:dyDescent="0.2">
      <c r="B64" s="60">
        <f>+$B$16</f>
        <v>2011</v>
      </c>
      <c r="C64" s="263">
        <f>+'3. Consumption by Rate Class'!I134</f>
        <v>22.083333333333332</v>
      </c>
      <c r="D64" s="263"/>
      <c r="E64" s="263">
        <f>+'3. Consumption by Rate Class'!H134</f>
        <v>225362.2</v>
      </c>
      <c r="F64" s="263"/>
      <c r="G64" s="553"/>
      <c r="H64" s="264"/>
      <c r="J64" s="60">
        <f>+$B$16</f>
        <v>2011</v>
      </c>
      <c r="K64" s="263">
        <f>+'8. KW and Non-Weather Sensitive'!AB21</f>
        <v>22.083333333333332</v>
      </c>
      <c r="L64" s="263"/>
      <c r="M64" s="263">
        <f>+'8. KW and Non-Weather Sensitive'!Z21</f>
        <v>225362.2</v>
      </c>
      <c r="N64" s="263"/>
      <c r="O64" s="553"/>
      <c r="P64" s="264"/>
    </row>
    <row r="65" spans="2:16" x14ac:dyDescent="0.2">
      <c r="B65" s="60">
        <f>+$B$17</f>
        <v>2012</v>
      </c>
      <c r="C65" s="263">
        <f>+'3. Consumption by Rate Class'!I135</f>
        <v>22</v>
      </c>
      <c r="D65" s="551">
        <f>IF(C64=0,0,(C65-C64)/C64)</f>
        <v>-3.773584905660324E-3</v>
      </c>
      <c r="E65" s="263">
        <f>+'3. Consumption by Rate Class'!H135</f>
        <v>226393.8</v>
      </c>
      <c r="F65" s="551">
        <f>IF(E64=0,0,(E65-E64)/E64)</f>
        <v>4.5775200987564759E-3</v>
      </c>
      <c r="G65" s="554"/>
      <c r="H65" s="551">
        <f>IF(G64=0,0,(G65-G64)/G64)</f>
        <v>0</v>
      </c>
      <c r="J65" s="60">
        <f>+$B$17</f>
        <v>2012</v>
      </c>
      <c r="K65" s="263">
        <f>+'8. KW and Non-Weather Sensitive'!AB22</f>
        <v>22</v>
      </c>
      <c r="L65" s="551">
        <f>IF(K64=0,0,(K65-K64)/K64)</f>
        <v>-3.773584905660324E-3</v>
      </c>
      <c r="M65" s="263">
        <f>+'8. KW and Non-Weather Sensitive'!Z22</f>
        <v>226393.8</v>
      </c>
      <c r="N65" s="551">
        <f>IF(M64=0,0,(M65-M64)/M64)</f>
        <v>4.5775200987564759E-3</v>
      </c>
      <c r="O65" s="554"/>
      <c r="P65" s="551">
        <f>IF(O64=0,0,(O65-O64)/O64)</f>
        <v>0</v>
      </c>
    </row>
    <row r="66" spans="2:16" x14ac:dyDescent="0.2">
      <c r="B66" s="60">
        <f>+$B$18</f>
        <v>2013</v>
      </c>
      <c r="C66" s="263">
        <f>+'3. Consumption by Rate Class'!I136</f>
        <v>21.375</v>
      </c>
      <c r="D66" s="551">
        <f t="shared" ref="D66" si="162">IF(C65=0,0,(C66-C65)/C65)</f>
        <v>-2.8409090909090908E-2</v>
      </c>
      <c r="E66" s="263">
        <f>+'3. Consumption by Rate Class'!H136</f>
        <v>234467.23</v>
      </c>
      <c r="F66" s="551">
        <f t="shared" ref="F66" si="163">IF(E65=0,0,(E66-E65)/E65)</f>
        <v>3.5661003084006819E-2</v>
      </c>
      <c r="G66" s="554"/>
      <c r="H66" s="551">
        <f t="shared" ref="H66" si="164">IF(G65=0,0,(G66-G65)/G65)</f>
        <v>0</v>
      </c>
      <c r="J66" s="60">
        <f>+$B$18</f>
        <v>2013</v>
      </c>
      <c r="K66" s="263">
        <f>+'8. KW and Non-Weather Sensitive'!AB23</f>
        <v>21.375</v>
      </c>
      <c r="L66" s="551">
        <f t="shared" ref="L66" si="165">IF(K65=0,0,(K66-K65)/K65)</f>
        <v>-2.8409090909090908E-2</v>
      </c>
      <c r="M66" s="263">
        <f>+'8. KW and Non-Weather Sensitive'!Z23</f>
        <v>234467.23</v>
      </c>
      <c r="N66" s="551">
        <f t="shared" ref="N66" si="166">IF(M65=0,0,(M66-M65)/M65)</f>
        <v>3.5661003084006819E-2</v>
      </c>
      <c r="O66" s="554"/>
      <c r="P66" s="551">
        <f t="shared" ref="P66" si="167">IF(O65=0,0,(O66-O65)/O65)</f>
        <v>0</v>
      </c>
    </row>
    <row r="67" spans="2:16" x14ac:dyDescent="0.2">
      <c r="B67" s="60">
        <f>+$B$19</f>
        <v>2014</v>
      </c>
      <c r="C67" s="263">
        <f>+'3. Consumption by Rate Class'!I137</f>
        <v>21.625</v>
      </c>
      <c r="D67" s="551">
        <f t="shared" ref="D67" si="168">IF(C66=0,0,(C67-C66)/C66)</f>
        <v>1.1695906432748537E-2</v>
      </c>
      <c r="E67" s="263">
        <f>+'3. Consumption by Rate Class'!H137</f>
        <v>230816.74</v>
      </c>
      <c r="F67" s="551">
        <f t="shared" ref="F67" si="169">IF(E66=0,0,(E67-E66)/E66)</f>
        <v>-1.5569297253181263E-2</v>
      </c>
      <c r="G67" s="554"/>
      <c r="H67" s="551">
        <f t="shared" ref="H67" si="170">IF(G66=0,0,(G67-G66)/G66)</f>
        <v>0</v>
      </c>
      <c r="J67" s="60">
        <f>+$B$19</f>
        <v>2014</v>
      </c>
      <c r="K67" s="263">
        <f>+'8. KW and Non-Weather Sensitive'!AB24</f>
        <v>21.625</v>
      </c>
      <c r="L67" s="551">
        <f t="shared" ref="L67" si="171">IF(K66=0,0,(K67-K66)/K66)</f>
        <v>1.1695906432748537E-2</v>
      </c>
      <c r="M67" s="263">
        <f>+'8. KW and Non-Weather Sensitive'!Z24</f>
        <v>230816.74</v>
      </c>
      <c r="N67" s="551">
        <f t="shared" ref="N67" si="172">IF(M66=0,0,(M67-M66)/M66)</f>
        <v>-1.5569297253181263E-2</v>
      </c>
      <c r="O67" s="554"/>
      <c r="P67" s="551">
        <f t="shared" ref="P67" si="173">IF(O66=0,0,(O67-O66)/O66)</f>
        <v>0</v>
      </c>
    </row>
    <row r="68" spans="2:16" x14ac:dyDescent="0.2">
      <c r="B68" s="60">
        <f>+$B$20</f>
        <v>2015</v>
      </c>
      <c r="C68" s="263">
        <f>+'3. Consumption by Rate Class'!I138</f>
        <v>20.208333333333332</v>
      </c>
      <c r="D68" s="551">
        <f t="shared" ref="D68" si="174">IF(C67=0,0,(C68-C67)/C67)</f>
        <v>-6.5510597302504872E-2</v>
      </c>
      <c r="E68" s="263">
        <f>+'3. Consumption by Rate Class'!H138</f>
        <v>224901.2</v>
      </c>
      <c r="F68" s="551">
        <f t="shared" ref="F68" si="175">IF(E67=0,0,(E68-E67)/E67)</f>
        <v>-2.5628730394511159E-2</v>
      </c>
      <c r="G68" s="554"/>
      <c r="H68" s="551">
        <f t="shared" ref="H68" si="176">IF(G67=0,0,(G68-G67)/G67)</f>
        <v>0</v>
      </c>
      <c r="J68" s="60">
        <f>+$B$20</f>
        <v>2015</v>
      </c>
      <c r="K68" s="263">
        <f>+'8. KW and Non-Weather Sensitive'!AB25</f>
        <v>20.208333333333332</v>
      </c>
      <c r="L68" s="551">
        <f t="shared" ref="L68" si="177">IF(K67=0,0,(K68-K67)/K67)</f>
        <v>-6.5510597302504872E-2</v>
      </c>
      <c r="M68" s="263">
        <f>+'8. KW and Non-Weather Sensitive'!Z25</f>
        <v>224901.2</v>
      </c>
      <c r="N68" s="551">
        <f t="shared" ref="N68" si="178">IF(M67=0,0,(M68-M67)/M67)</f>
        <v>-2.5628730394511159E-2</v>
      </c>
      <c r="O68" s="554"/>
      <c r="P68" s="551">
        <f t="shared" ref="P68" si="179">IF(O67=0,0,(O68-O67)/O67)</f>
        <v>0</v>
      </c>
    </row>
    <row r="69" spans="2:16" x14ac:dyDescent="0.2">
      <c r="B69" s="60">
        <f>+$B$21</f>
        <v>2016</v>
      </c>
      <c r="C69" s="263">
        <f>+'3. Consumption by Rate Class'!I139</f>
        <v>17.708333333333332</v>
      </c>
      <c r="D69" s="551">
        <f t="shared" ref="D69" si="180">IF(C68=0,0,(C69-C68)/C68)</f>
        <v>-0.12371134020618557</v>
      </c>
      <c r="E69" s="263">
        <f>+'3. Consumption by Rate Class'!H139</f>
        <v>224075.16999999998</v>
      </c>
      <c r="F69" s="551">
        <f t="shared" ref="F69" si="181">IF(E68=0,0,(E69-E68)/E68)</f>
        <v>-3.6728572368668016E-3</v>
      </c>
      <c r="G69" s="554"/>
      <c r="H69" s="551">
        <f t="shared" ref="H69" si="182">IF(G68=0,0,(G69-G68)/G68)</f>
        <v>0</v>
      </c>
      <c r="J69" s="60">
        <f>+$B$21</f>
        <v>2016</v>
      </c>
      <c r="K69" s="263">
        <f>+'8. KW and Non-Weather Sensitive'!AB26</f>
        <v>17.708333333333332</v>
      </c>
      <c r="L69" s="551">
        <f t="shared" ref="L69" si="183">IF(K68=0,0,(K69-K68)/K68)</f>
        <v>-0.12371134020618557</v>
      </c>
      <c r="M69" s="263">
        <f>+'8. KW and Non-Weather Sensitive'!Z26</f>
        <v>224075.16999999998</v>
      </c>
      <c r="N69" s="551">
        <f t="shared" ref="N69" si="184">IF(M68=0,0,(M69-M68)/M68)</f>
        <v>-3.6728572368668016E-3</v>
      </c>
      <c r="O69" s="554"/>
      <c r="P69" s="551">
        <f t="shared" ref="P69" si="185">IF(O68=0,0,(O69-O68)/O68)</f>
        <v>0</v>
      </c>
    </row>
    <row r="70" spans="2:16" x14ac:dyDescent="0.2">
      <c r="B70" s="60">
        <f>+$B$22</f>
        <v>2017</v>
      </c>
      <c r="C70" s="263">
        <f>+'3. Consumption by Rate Class'!I140</f>
        <v>21.25</v>
      </c>
      <c r="D70" s="551">
        <f t="shared" ref="D70" si="186">IF(C69=0,0,(C70-C69)/C69)</f>
        <v>0.20000000000000007</v>
      </c>
      <c r="E70" s="263">
        <f>+'3. Consumption by Rate Class'!H140</f>
        <v>250759.37</v>
      </c>
      <c r="F70" s="551">
        <f t="shared" ref="F70" si="187">IF(E69=0,0,(E70-E69)/E69)</f>
        <v>0.11908592995823684</v>
      </c>
      <c r="G70" s="554"/>
      <c r="H70" s="551">
        <f t="shared" ref="H70" si="188">IF(G69=0,0,(G70-G69)/G69)</f>
        <v>0</v>
      </c>
      <c r="J70" s="60">
        <f>+$B$22</f>
        <v>2017</v>
      </c>
      <c r="K70" s="263">
        <f>+'8. KW and Non-Weather Sensitive'!AB27</f>
        <v>21.25</v>
      </c>
      <c r="L70" s="551">
        <f t="shared" ref="L70" si="189">IF(K69=0,0,(K70-K69)/K69)</f>
        <v>0.20000000000000007</v>
      </c>
      <c r="M70" s="263">
        <f>+'8. KW and Non-Weather Sensitive'!Z27</f>
        <v>250759.37</v>
      </c>
      <c r="N70" s="551">
        <f t="shared" ref="N70" si="190">IF(M69=0,0,(M70-M69)/M69)</f>
        <v>0.11908592995823684</v>
      </c>
      <c r="O70" s="554"/>
      <c r="P70" s="551">
        <f t="shared" ref="P70" si="191">IF(O69=0,0,(O70-O69)/O69)</f>
        <v>0</v>
      </c>
    </row>
    <row r="71" spans="2:16" x14ac:dyDescent="0.2">
      <c r="B71" s="60">
        <f>+$B$23</f>
        <v>2018</v>
      </c>
      <c r="C71" s="68"/>
      <c r="D71" s="551">
        <f t="shared" ref="D71" si="192">IF(C70=0,0,(C71-C70)/C70)</f>
        <v>-1</v>
      </c>
      <c r="E71" s="68"/>
      <c r="F71" s="551">
        <f t="shared" ref="F71" si="193">IF(E70=0,0,(E71-E70)/E70)</f>
        <v>-1</v>
      </c>
      <c r="G71" s="554"/>
      <c r="H71" s="551">
        <f t="shared" ref="H71" si="194">IF(G70=0,0,(G71-G70)/G70)</f>
        <v>0</v>
      </c>
      <c r="J71" s="60">
        <f>+$B$23</f>
        <v>2018</v>
      </c>
      <c r="K71" s="263">
        <f>+'8. KW and Non-Weather Sensitive'!AB28</f>
        <v>26</v>
      </c>
      <c r="L71" s="551">
        <f t="shared" ref="L71" si="195">IF(K70=0,0,(K71-K70)/K70)</f>
        <v>0.22352941176470589</v>
      </c>
      <c r="M71" s="263">
        <f>+'8. KW and Non-Weather Sensitive'!Z28</f>
        <v>251508.00000000023</v>
      </c>
      <c r="N71" s="551">
        <f t="shared" ref="N71" si="196">IF(M70=0,0,(M71-M70)/M70)</f>
        <v>2.9854517500193015E-3</v>
      </c>
      <c r="O71" s="554"/>
      <c r="P71" s="551">
        <f t="shared" ref="P71" si="197">IF(O70=0,0,(O71-O70)/O70)</f>
        <v>0</v>
      </c>
    </row>
    <row r="72" spans="2:16" x14ac:dyDescent="0.2">
      <c r="B72" s="60">
        <f>+$B$24</f>
        <v>2019</v>
      </c>
      <c r="C72" s="68"/>
      <c r="D72" s="551">
        <f t="shared" ref="D72" si="198">IF(C71=0,0,(C72-C71)/C71)</f>
        <v>0</v>
      </c>
      <c r="E72" s="68"/>
      <c r="F72" s="551">
        <f t="shared" ref="F72" si="199">IF(E71=0,0,(E72-E71)/E71)</f>
        <v>0</v>
      </c>
      <c r="G72" s="554"/>
      <c r="H72" s="551">
        <f t="shared" ref="H72" si="200">IF(G71=0,0,(G72-G71)/G71)</f>
        <v>0</v>
      </c>
      <c r="J72" s="60">
        <f>+$B$24</f>
        <v>2019</v>
      </c>
      <c r="K72" s="263">
        <f>+'8. KW and Non-Weather Sensitive'!AB29</f>
        <v>26</v>
      </c>
      <c r="L72" s="551">
        <f t="shared" ref="L72" si="201">IF(K71=0,0,(K72-K71)/K71)</f>
        <v>0</v>
      </c>
      <c r="M72" s="263">
        <f>+'8. KW and Non-Weather Sensitive'!Z29</f>
        <v>251508.00000000023</v>
      </c>
      <c r="N72" s="551">
        <f t="shared" ref="N72" si="202">IF(M71=0,0,(M72-M71)/M71)</f>
        <v>0</v>
      </c>
      <c r="O72" s="554"/>
      <c r="P72" s="551">
        <f t="shared" ref="P72" si="203">IF(O71=0,0,(O72-O71)/O71)</f>
        <v>0</v>
      </c>
    </row>
    <row r="73" spans="2:16" x14ac:dyDescent="0.2">
      <c r="B73" s="60">
        <f>+$B$25</f>
        <v>2020</v>
      </c>
      <c r="C73" s="68"/>
      <c r="D73" s="551">
        <f t="shared" ref="D73" si="204">IF(C72=0,0,(C73-C72)/C72)</f>
        <v>0</v>
      </c>
      <c r="E73" s="68"/>
      <c r="F73" s="551">
        <f t="shared" ref="F73" si="205">IF(E72=0,0,(E73-E72)/E72)</f>
        <v>0</v>
      </c>
      <c r="G73" s="554"/>
      <c r="H73" s="551">
        <f t="shared" ref="H73" si="206">IF(G72=0,0,(G73-G72)/G72)</f>
        <v>0</v>
      </c>
      <c r="J73" s="60">
        <f>+$B$25</f>
        <v>2020</v>
      </c>
      <c r="K73" s="68"/>
      <c r="L73" s="551">
        <f t="shared" ref="L73" si="207">IF(K72=0,0,(K73-K72)/K72)</f>
        <v>-1</v>
      </c>
      <c r="M73" s="68"/>
      <c r="N73" s="551">
        <f t="shared" ref="N73" si="208">IF(M72=0,0,(M73-M72)/M72)</f>
        <v>-1</v>
      </c>
      <c r="O73" s="554"/>
      <c r="P73" s="551">
        <f t="shared" ref="P73" si="209">IF(O72=0,0,(O73-O72)/O72)</f>
        <v>0</v>
      </c>
    </row>
    <row r="74" spans="2:16" x14ac:dyDescent="0.2">
      <c r="B74" s="60">
        <f>+$B$26</f>
        <v>2021</v>
      </c>
      <c r="C74" s="68"/>
      <c r="D74" s="551">
        <f t="shared" ref="D74" si="210">IF(C73=0,0,(C74-C73)/C73)</f>
        <v>0</v>
      </c>
      <c r="E74" s="68"/>
      <c r="F74" s="551">
        <f t="shared" ref="F74" si="211">IF(E73=0,0,(E74-E73)/E73)</f>
        <v>0</v>
      </c>
      <c r="G74" s="554"/>
      <c r="H74" s="551">
        <f t="shared" ref="H74" si="212">IF(G73=0,0,(G74-G73)/G73)</f>
        <v>0</v>
      </c>
      <c r="J74" s="60">
        <f>+$B$26</f>
        <v>2021</v>
      </c>
      <c r="K74" s="68"/>
      <c r="L74" s="551">
        <f t="shared" ref="L74" si="213">IF(K73=0,0,(K74-K73)/K73)</f>
        <v>0</v>
      </c>
      <c r="M74" s="68"/>
      <c r="N74" s="551">
        <f t="shared" ref="N74" si="214">IF(M73=0,0,(M74-M73)/M73)</f>
        <v>0</v>
      </c>
      <c r="O74" s="554"/>
      <c r="P74" s="551">
        <f t="shared" ref="P74" si="215">IF(O73=0,0,(O74-O73)/O73)</f>
        <v>0</v>
      </c>
    </row>
    <row r="75" spans="2:16" ht="13.5" thickBot="1" x14ac:dyDescent="0.25">
      <c r="B75" s="550">
        <f>+$B$27</f>
        <v>2022</v>
      </c>
      <c r="C75" s="69"/>
      <c r="D75" s="552">
        <f t="shared" ref="D75" si="216">IF(C74=0,0,(C75-C74)/C74)</f>
        <v>0</v>
      </c>
      <c r="E75" s="69"/>
      <c r="F75" s="552">
        <f t="shared" ref="F75" si="217">IF(E74=0,0,(E75-E74)/E74)</f>
        <v>0</v>
      </c>
      <c r="G75" s="555"/>
      <c r="H75" s="552">
        <f t="shared" ref="H75" si="218">IF(G74=0,0,(G75-G74)/G74)</f>
        <v>0</v>
      </c>
      <c r="J75" s="550">
        <f>+$B$27</f>
        <v>2022</v>
      </c>
      <c r="K75" s="69"/>
      <c r="L75" s="552">
        <f t="shared" ref="L75" si="219">IF(K74=0,0,(K75-K74)/K74)</f>
        <v>0</v>
      </c>
      <c r="M75" s="69"/>
      <c r="N75" s="552">
        <f t="shared" ref="N75" si="220">IF(M74=0,0,(M75-M74)/M74)</f>
        <v>0</v>
      </c>
      <c r="O75" s="555"/>
      <c r="P75" s="552">
        <f t="shared" ref="P75" si="221">IF(O74=0,0,(O75-O74)/O74)</f>
        <v>0</v>
      </c>
    </row>
    <row r="77" spans="2:16" ht="13.5" thickBot="1" x14ac:dyDescent="0.25">
      <c r="B77" s="43"/>
      <c r="C77" s="92"/>
      <c r="D77" s="92"/>
      <c r="E77" s="92"/>
      <c r="F77" s="43"/>
      <c r="J77" s="43"/>
      <c r="K77" s="92"/>
      <c r="L77" s="92"/>
      <c r="M77" s="92"/>
      <c r="N77" s="43"/>
    </row>
    <row r="78" spans="2:16" ht="13.5" thickBot="1" x14ac:dyDescent="0.25">
      <c r="B78" s="934" t="str">
        <f>+'11. Final Load Forecast'!B30</f>
        <v>Street Lights</v>
      </c>
      <c r="C78" s="935"/>
      <c r="D78" s="935"/>
      <c r="E78" s="935"/>
      <c r="F78" s="935"/>
      <c r="G78" s="935"/>
      <c r="H78" s="936"/>
      <c r="J78" s="934" t="str">
        <f>+B78</f>
        <v>Street Lights</v>
      </c>
      <c r="K78" s="935"/>
      <c r="L78" s="935"/>
      <c r="M78" s="935"/>
      <c r="N78" s="935"/>
      <c r="O78" s="935"/>
      <c r="P78" s="936"/>
    </row>
    <row r="79" spans="2:16" ht="13.5" thickBot="1" x14ac:dyDescent="0.25">
      <c r="B79" s="59" t="s">
        <v>32</v>
      </c>
      <c r="C79" s="44" t="s">
        <v>0</v>
      </c>
      <c r="D79" s="45" t="s">
        <v>53</v>
      </c>
      <c r="E79" s="269" t="s">
        <v>35</v>
      </c>
      <c r="F79" s="45" t="s">
        <v>53</v>
      </c>
      <c r="G79" s="269" t="s">
        <v>36</v>
      </c>
      <c r="H79" s="270" t="s">
        <v>53</v>
      </c>
      <c r="J79" s="59" t="s">
        <v>32</v>
      </c>
      <c r="K79" s="44" t="s">
        <v>0</v>
      </c>
      <c r="L79" s="45" t="s">
        <v>53</v>
      </c>
      <c r="M79" s="269" t="s">
        <v>35</v>
      </c>
      <c r="N79" s="45" t="s">
        <v>53</v>
      </c>
      <c r="O79" s="269" t="s">
        <v>36</v>
      </c>
      <c r="P79" s="270" t="s">
        <v>53</v>
      </c>
    </row>
    <row r="80" spans="2:16" x14ac:dyDescent="0.2">
      <c r="B80" s="60">
        <f>+$B$16</f>
        <v>2011</v>
      </c>
      <c r="C80" s="263">
        <f>+'3. Consumption by Rate Class'!O134</f>
        <v>1946</v>
      </c>
      <c r="D80" s="263"/>
      <c r="E80" s="263">
        <f>+'3. Consumption by Rate Class'!M134</f>
        <v>1153887.57</v>
      </c>
      <c r="F80" s="263"/>
      <c r="G80" s="263">
        <f>+'3. Consumption by Rate Class'!N134</f>
        <v>3221.89</v>
      </c>
      <c r="H80" s="264"/>
      <c r="J80" s="60">
        <f>+$B$16</f>
        <v>2011</v>
      </c>
      <c r="K80" s="263">
        <f>+'8. KW and Non-Weather Sensitive'!R21</f>
        <v>1946</v>
      </c>
      <c r="L80" s="263"/>
      <c r="M80" s="263">
        <f>+'8. KW and Non-Weather Sensitive'!P21</f>
        <v>1153887.57</v>
      </c>
      <c r="N80" s="263"/>
      <c r="O80" s="263">
        <f>+'8. KW and Non-Weather Sensitive'!Q21</f>
        <v>3221.89</v>
      </c>
      <c r="P80" s="264"/>
    </row>
    <row r="81" spans="2:16" x14ac:dyDescent="0.2">
      <c r="B81" s="60">
        <f>+$B$17</f>
        <v>2012</v>
      </c>
      <c r="C81" s="263">
        <f>+'3. Consumption by Rate Class'!O135</f>
        <v>1946.75</v>
      </c>
      <c r="D81" s="551">
        <f>IF(C80=0,0,(C81-C80)/C80)</f>
        <v>3.8540596094552927E-4</v>
      </c>
      <c r="E81" s="263">
        <f>+'3. Consumption by Rate Class'!M135</f>
        <v>1163464.3800000001</v>
      </c>
      <c r="F81" s="551">
        <f>IF(E80=0,0,(E81-E80)/E80)</f>
        <v>8.2996040940106972E-3</v>
      </c>
      <c r="G81" s="263">
        <f>+'3. Consumption by Rate Class'!N135</f>
        <v>3238.8</v>
      </c>
      <c r="H81" s="551">
        <f>IF(G80=0,0,(G81-G80)/G80)</f>
        <v>5.2484721700617682E-3</v>
      </c>
      <c r="J81" s="60">
        <f>+$B$17</f>
        <v>2012</v>
      </c>
      <c r="K81" s="263">
        <f>+'8. KW and Non-Weather Sensitive'!R22</f>
        <v>1946.75</v>
      </c>
      <c r="L81" s="551">
        <f>IF(K80=0,0,(K81-K80)/K80)</f>
        <v>3.8540596094552927E-4</v>
      </c>
      <c r="M81" s="263">
        <f>+'8. KW and Non-Weather Sensitive'!P22</f>
        <v>1163464.3800000001</v>
      </c>
      <c r="N81" s="551">
        <f>IF(M80=0,0,(M81-M80)/M80)</f>
        <v>8.2996040940106972E-3</v>
      </c>
      <c r="O81" s="263">
        <f>+'8. KW and Non-Weather Sensitive'!Q22</f>
        <v>3238.8</v>
      </c>
      <c r="P81" s="551">
        <f>IF(O80=0,0,(O81-O80)/O80)</f>
        <v>5.2484721700617682E-3</v>
      </c>
    </row>
    <row r="82" spans="2:16" x14ac:dyDescent="0.2">
      <c r="B82" s="60">
        <f>+$B$18</f>
        <v>2013</v>
      </c>
      <c r="C82" s="263">
        <f>+'3. Consumption by Rate Class'!O136</f>
        <v>1948.75</v>
      </c>
      <c r="D82" s="551">
        <f t="shared" ref="D82" si="222">IF(C81=0,0,(C82-C81)/C81)</f>
        <v>1.0273532811095416E-3</v>
      </c>
      <c r="E82" s="263">
        <f>+'3. Consumption by Rate Class'!M136</f>
        <v>1160023.9100000001</v>
      </c>
      <c r="F82" s="551">
        <f t="shared" ref="F82" si="223">IF(E81=0,0,(E82-E81)/E81)</f>
        <v>-2.9570909596733606E-3</v>
      </c>
      <c r="G82" s="263">
        <f>+'3. Consumption by Rate Class'!N136</f>
        <v>3256.79</v>
      </c>
      <c r="H82" s="551">
        <f t="shared" ref="H82" si="224">IF(G81=0,0,(G82-G81)/G81)</f>
        <v>5.5545263677904723E-3</v>
      </c>
      <c r="J82" s="60">
        <f>+$B$18</f>
        <v>2013</v>
      </c>
      <c r="K82" s="263">
        <f>+'8. KW and Non-Weather Sensitive'!R23</f>
        <v>1948.75</v>
      </c>
      <c r="L82" s="551">
        <f t="shared" ref="L82" si="225">IF(K81=0,0,(K82-K81)/K81)</f>
        <v>1.0273532811095416E-3</v>
      </c>
      <c r="M82" s="263">
        <f>+'8. KW and Non-Weather Sensitive'!P23</f>
        <v>1160023.9100000001</v>
      </c>
      <c r="N82" s="551">
        <f t="shared" ref="N82" si="226">IF(M81=0,0,(M82-M81)/M81)</f>
        <v>-2.9570909596733606E-3</v>
      </c>
      <c r="O82" s="263">
        <f>+'8. KW and Non-Weather Sensitive'!Q23</f>
        <v>3256.79</v>
      </c>
      <c r="P82" s="551">
        <f t="shared" ref="P82" si="227">IF(O81=0,0,(O82-O81)/O81)</f>
        <v>5.5545263677904723E-3</v>
      </c>
    </row>
    <row r="83" spans="2:16" x14ac:dyDescent="0.2">
      <c r="B83" s="60">
        <f>+$B$19</f>
        <v>2014</v>
      </c>
      <c r="C83" s="263">
        <f>+'3. Consumption by Rate Class'!O137</f>
        <v>2051.3333333333335</v>
      </c>
      <c r="D83" s="551">
        <f t="shared" ref="D83" si="228">IF(C82=0,0,(C83-C82)/C82)</f>
        <v>5.2640581569382158E-2</v>
      </c>
      <c r="E83" s="263">
        <f>+'3. Consumption by Rate Class'!M137</f>
        <v>1160025.06</v>
      </c>
      <c r="F83" s="551">
        <f t="shared" ref="F83" si="229">IF(E82=0,0,(E83-E82)/E82)</f>
        <v>9.9135887630701308E-7</v>
      </c>
      <c r="G83" s="263">
        <f>+'3. Consumption by Rate Class'!N137</f>
        <v>3238.8</v>
      </c>
      <c r="H83" s="551">
        <f t="shared" ref="H83" si="230">IF(G82=0,0,(G83-G82)/G82)</f>
        <v>-5.5238440304716556E-3</v>
      </c>
      <c r="J83" s="60">
        <f>+$B$19</f>
        <v>2014</v>
      </c>
      <c r="K83" s="263">
        <f>+'8. KW and Non-Weather Sensitive'!R24</f>
        <v>2051.3333333333335</v>
      </c>
      <c r="L83" s="551">
        <f t="shared" ref="L83" si="231">IF(K82=0,0,(K83-K82)/K82)</f>
        <v>5.2640581569382158E-2</v>
      </c>
      <c r="M83" s="263">
        <f>+'8. KW and Non-Weather Sensitive'!P24</f>
        <v>1160025.06</v>
      </c>
      <c r="N83" s="551">
        <f t="shared" ref="N83" si="232">IF(M82=0,0,(M83-M82)/M82)</f>
        <v>9.9135887630701308E-7</v>
      </c>
      <c r="O83" s="263">
        <f>+'8. KW and Non-Weather Sensitive'!Q24</f>
        <v>3238.8</v>
      </c>
      <c r="P83" s="551">
        <f t="shared" ref="P83" si="233">IF(O82=0,0,(O83-O82)/O82)</f>
        <v>-5.5238440304716556E-3</v>
      </c>
    </row>
    <row r="84" spans="2:16" x14ac:dyDescent="0.2">
      <c r="B84" s="60">
        <f>+$B$20</f>
        <v>2015</v>
      </c>
      <c r="C84" s="263">
        <f>+'3. Consumption by Rate Class'!O138</f>
        <v>2080.75</v>
      </c>
      <c r="D84" s="551">
        <f t="shared" ref="D84" si="234">IF(C83=0,0,(C84-C83)/C83)</f>
        <v>1.4340266493337592E-2</v>
      </c>
      <c r="E84" s="263">
        <f>+'3. Consumption by Rate Class'!M138</f>
        <v>974371.32000000007</v>
      </c>
      <c r="F84" s="551">
        <f t="shared" ref="F84" si="235">IF(E83=0,0,(E84-E83)/E83)</f>
        <v>-0.16004287010834056</v>
      </c>
      <c r="G84" s="263">
        <f>+'3. Consumption by Rate Class'!N138</f>
        <v>2742.9900000000007</v>
      </c>
      <c r="H84" s="551">
        <f t="shared" ref="H84" si="236">IF(G83=0,0,(G84-G83)/G83)</f>
        <v>-0.15308447573175232</v>
      </c>
      <c r="J84" s="60">
        <f>+$B$20</f>
        <v>2015</v>
      </c>
      <c r="K84" s="263">
        <f>+'8. KW and Non-Weather Sensitive'!R25</f>
        <v>2080.75</v>
      </c>
      <c r="L84" s="551">
        <f t="shared" ref="L84" si="237">IF(K83=0,0,(K84-K83)/K83)</f>
        <v>1.4340266493337592E-2</v>
      </c>
      <c r="M84" s="263">
        <f>+'8. KW and Non-Weather Sensitive'!P25</f>
        <v>974371.32000000007</v>
      </c>
      <c r="N84" s="551">
        <f t="shared" ref="N84" si="238">IF(M83=0,0,(M84-M83)/M83)</f>
        <v>-0.16004287010834056</v>
      </c>
      <c r="O84" s="263">
        <f>+'8. KW and Non-Weather Sensitive'!Q25</f>
        <v>2742.9900000000007</v>
      </c>
      <c r="P84" s="551">
        <f t="shared" ref="P84" si="239">IF(O83=0,0,(O84-O83)/O83)</f>
        <v>-0.15308447573175232</v>
      </c>
    </row>
    <row r="85" spans="2:16" x14ac:dyDescent="0.2">
      <c r="B85" s="60">
        <f>+$B$21</f>
        <v>2016</v>
      </c>
      <c r="C85" s="263">
        <f>+'3. Consumption by Rate Class'!O139</f>
        <v>2120.1666666666665</v>
      </c>
      <c r="D85" s="551">
        <f t="shared" ref="D85" si="240">IF(C84=0,0,(C85-C84)/C84)</f>
        <v>1.8943489927510038E-2</v>
      </c>
      <c r="E85" s="263">
        <f>+'3. Consumption by Rate Class'!M139</f>
        <v>861899.34000000008</v>
      </c>
      <c r="F85" s="551">
        <f t="shared" ref="F85" si="241">IF(E84=0,0,(E85-E84)/E84)</f>
        <v>-0.11543030638463371</v>
      </c>
      <c r="G85" s="263">
        <f>+'3. Consumption by Rate Class'!N139</f>
        <v>2373.42</v>
      </c>
      <c r="H85" s="551">
        <f t="shared" ref="H85" si="242">IF(G84=0,0,(G85-G84)/G84)</f>
        <v>-0.13473253639276866</v>
      </c>
      <c r="J85" s="60">
        <f>+$B$21</f>
        <v>2016</v>
      </c>
      <c r="K85" s="263">
        <f>+'8. KW and Non-Weather Sensitive'!R26</f>
        <v>2120.1666666666665</v>
      </c>
      <c r="L85" s="551">
        <f t="shared" ref="L85" si="243">IF(K84=0,0,(K85-K84)/K84)</f>
        <v>1.8943489927510038E-2</v>
      </c>
      <c r="M85" s="263">
        <f>+'8. KW and Non-Weather Sensitive'!P26</f>
        <v>861899.34000000008</v>
      </c>
      <c r="N85" s="551">
        <f t="shared" ref="N85" si="244">IF(M84=0,0,(M85-M84)/M84)</f>
        <v>-0.11543030638463371</v>
      </c>
      <c r="O85" s="263">
        <f>+'8. KW and Non-Weather Sensitive'!Q26</f>
        <v>2373.42</v>
      </c>
      <c r="P85" s="551">
        <f t="shared" ref="P85" si="245">IF(O84=0,0,(O85-O84)/O84)</f>
        <v>-0.13473253639276866</v>
      </c>
    </row>
    <row r="86" spans="2:16" x14ac:dyDescent="0.2">
      <c r="B86" s="60">
        <f>+$B$22</f>
        <v>2017</v>
      </c>
      <c r="C86" s="263">
        <f>+'3. Consumption by Rate Class'!O140</f>
        <v>2123.9166666666665</v>
      </c>
      <c r="D86" s="551">
        <f t="shared" ref="D86" si="246">IF(C85=0,0,(C86-C85)/C85)</f>
        <v>1.7687288735162331E-3</v>
      </c>
      <c r="E86" s="263">
        <f>+'3. Consumption by Rate Class'!M140</f>
        <v>858843.55</v>
      </c>
      <c r="F86" s="551">
        <f t="shared" ref="F86" si="247">IF(E85=0,0,(E86-E85)/E85)</f>
        <v>-3.5454140155160544E-3</v>
      </c>
      <c r="G86" s="263">
        <f>+'3. Consumption by Rate Class'!N140</f>
        <v>2399.7999999999997</v>
      </c>
      <c r="H86" s="551">
        <f t="shared" ref="H86" si="248">IF(G85=0,0,(G86-G85)/G85)</f>
        <v>1.1114762663161032E-2</v>
      </c>
      <c r="J86" s="60">
        <f>+$B$22</f>
        <v>2017</v>
      </c>
      <c r="K86" s="263">
        <f>+'8. KW and Non-Weather Sensitive'!R27</f>
        <v>2123.9166666666665</v>
      </c>
      <c r="L86" s="551">
        <f t="shared" ref="L86" si="249">IF(K85=0,0,(K86-K85)/K85)</f>
        <v>1.7687288735162331E-3</v>
      </c>
      <c r="M86" s="263">
        <f>+'8. KW and Non-Weather Sensitive'!P27</f>
        <v>858843.55</v>
      </c>
      <c r="N86" s="551">
        <f t="shared" ref="N86" si="250">IF(M85=0,0,(M86-M85)/M85)</f>
        <v>-3.5454140155160544E-3</v>
      </c>
      <c r="O86" s="263">
        <f>+'8. KW and Non-Weather Sensitive'!Q27</f>
        <v>2399.7999999999997</v>
      </c>
      <c r="P86" s="551">
        <f t="shared" ref="P86" si="251">IF(O85=0,0,(O86-O85)/O85)</f>
        <v>1.1114762663161032E-2</v>
      </c>
    </row>
    <row r="87" spans="2:16" x14ac:dyDescent="0.2">
      <c r="B87" s="60">
        <f>+$B$23</f>
        <v>2018</v>
      </c>
      <c r="C87" s="68"/>
      <c r="D87" s="551">
        <f t="shared" ref="D87" si="252">IF(C86=0,0,(C87-C86)/C86)</f>
        <v>-1</v>
      </c>
      <c r="E87" s="68"/>
      <c r="F87" s="551">
        <f t="shared" ref="F87" si="253">IF(E86=0,0,(E87-E86)/E86)</f>
        <v>-1</v>
      </c>
      <c r="G87" s="68"/>
      <c r="H87" s="551">
        <f t="shared" ref="H87" si="254">IF(G86=0,0,(G87-G86)/G86)</f>
        <v>-1</v>
      </c>
      <c r="J87" s="60">
        <f>+$B$23</f>
        <v>2018</v>
      </c>
      <c r="K87" s="263">
        <f>+'8. KW and Non-Weather Sensitive'!R28</f>
        <v>2155.1123337847007</v>
      </c>
      <c r="L87" s="551">
        <f t="shared" ref="L87" si="255">IF(K86=0,0,(K87-K86)/K86)</f>
        <v>1.46878018368741E-2</v>
      </c>
      <c r="M87" s="263">
        <f>+'8. KW and Non-Weather Sensitive'!P28</f>
        <v>873781.83894371043</v>
      </c>
      <c r="N87" s="551">
        <f t="shared" ref="N87" si="256">IF(M86=0,0,(M87-M86)/M86)</f>
        <v>1.7393492614237352E-2</v>
      </c>
      <c r="O87" s="263">
        <f>+'8. KW and Non-Weather Sensitive'!Q28</f>
        <v>2438.9195714511152</v>
      </c>
      <c r="P87" s="551">
        <f t="shared" ref="P87" si="257">IF(O86=0,0,(O87-O86)/O86)</f>
        <v>1.6301179869620579E-2</v>
      </c>
    </row>
    <row r="88" spans="2:16" x14ac:dyDescent="0.2">
      <c r="B88" s="60">
        <f>+$B$24</f>
        <v>2019</v>
      </c>
      <c r="C88" s="68"/>
      <c r="D88" s="551">
        <f t="shared" ref="D88" si="258">IF(C87=0,0,(C88-C87)/C87)</f>
        <v>0</v>
      </c>
      <c r="E88" s="68"/>
      <c r="F88" s="551">
        <f t="shared" ref="F88" si="259">IF(E87=0,0,(E88-E87)/E87)</f>
        <v>0</v>
      </c>
      <c r="G88" s="68"/>
      <c r="H88" s="551">
        <f t="shared" ref="H88" si="260">IF(G87=0,0,(G88-G87)/G87)</f>
        <v>0</v>
      </c>
      <c r="J88" s="60">
        <f>+$B$24</f>
        <v>2019</v>
      </c>
      <c r="K88" s="263">
        <f>+'8. KW and Non-Weather Sensitive'!R29</f>
        <v>2186.7661966795336</v>
      </c>
      <c r="L88" s="551">
        <f t="shared" ref="L88" si="261">IF(K87=0,0,(K88-K87)/K87)</f>
        <v>1.4687801836874053E-2</v>
      </c>
      <c r="M88" s="263">
        <f>+'8. KW and Non-Weather Sensitive'!P29</f>
        <v>886615.77344277513</v>
      </c>
      <c r="N88" s="551">
        <f t="shared" ref="N88" si="262">IF(M87=0,0,(M88-M87)/M87)</f>
        <v>1.468780183687414E-2</v>
      </c>
      <c r="O88" s="263">
        <f>+'8. KW and Non-Weather Sensitive'!Q29</f>
        <v>2474.7419388126632</v>
      </c>
      <c r="P88" s="551">
        <f t="shared" ref="P88" si="263">IF(O87=0,0,(O88-O87)/O87)</f>
        <v>1.468780183687415E-2</v>
      </c>
    </row>
    <row r="89" spans="2:16" x14ac:dyDescent="0.2">
      <c r="B89" s="60">
        <f>+$B$25</f>
        <v>2020</v>
      </c>
      <c r="C89" s="68"/>
      <c r="D89" s="551">
        <f t="shared" ref="D89" si="264">IF(C88=0,0,(C89-C88)/C88)</f>
        <v>0</v>
      </c>
      <c r="E89" s="68"/>
      <c r="F89" s="551">
        <f t="shared" ref="F89" si="265">IF(E88=0,0,(E89-E88)/E88)</f>
        <v>0</v>
      </c>
      <c r="G89" s="68"/>
      <c r="H89" s="551">
        <f t="shared" ref="H89" si="266">IF(G88=0,0,(G89-G88)/G88)</f>
        <v>0</v>
      </c>
      <c r="J89" s="60">
        <f>+$B$25</f>
        <v>2020</v>
      </c>
      <c r="K89" s="68"/>
      <c r="L89" s="551">
        <f t="shared" ref="L89" si="267">IF(K88=0,0,(K89-K88)/K88)</f>
        <v>-1</v>
      </c>
      <c r="M89" s="68"/>
      <c r="N89" s="551">
        <f t="shared" ref="N89" si="268">IF(M88=0,0,(M89-M88)/M88)</f>
        <v>-1</v>
      </c>
      <c r="O89" s="68"/>
      <c r="P89" s="551">
        <f t="shared" ref="P89" si="269">IF(O88=0,0,(O89-O88)/O88)</f>
        <v>-1</v>
      </c>
    </row>
    <row r="90" spans="2:16" x14ac:dyDescent="0.2">
      <c r="B90" s="60">
        <f>+$B$26</f>
        <v>2021</v>
      </c>
      <c r="C90" s="68"/>
      <c r="D90" s="551">
        <f t="shared" ref="D90" si="270">IF(C89=0,0,(C90-C89)/C89)</f>
        <v>0</v>
      </c>
      <c r="E90" s="68"/>
      <c r="F90" s="551">
        <f t="shared" ref="F90" si="271">IF(E89=0,0,(E90-E89)/E89)</f>
        <v>0</v>
      </c>
      <c r="G90" s="68"/>
      <c r="H90" s="551">
        <f t="shared" ref="H90" si="272">IF(G89=0,0,(G90-G89)/G89)</f>
        <v>0</v>
      </c>
      <c r="J90" s="60">
        <f>+$B$26</f>
        <v>2021</v>
      </c>
      <c r="K90" s="68"/>
      <c r="L90" s="551">
        <f t="shared" ref="L90" si="273">IF(K89=0,0,(K90-K89)/K89)</f>
        <v>0</v>
      </c>
      <c r="M90" s="68"/>
      <c r="N90" s="551">
        <f t="shared" ref="N90" si="274">IF(M89=0,0,(M90-M89)/M89)</f>
        <v>0</v>
      </c>
      <c r="O90" s="68"/>
      <c r="P90" s="551">
        <f t="shared" ref="P90" si="275">IF(O89=0,0,(O90-O89)/O89)</f>
        <v>0</v>
      </c>
    </row>
    <row r="91" spans="2:16" ht="13.5" thickBot="1" x14ac:dyDescent="0.25">
      <c r="B91" s="550">
        <f>+$B$27</f>
        <v>2022</v>
      </c>
      <c r="C91" s="69"/>
      <c r="D91" s="552">
        <f t="shared" ref="D91" si="276">IF(C90=0,0,(C91-C90)/C90)</f>
        <v>0</v>
      </c>
      <c r="E91" s="69"/>
      <c r="F91" s="552">
        <f t="shared" ref="F91" si="277">IF(E90=0,0,(E91-E90)/E90)</f>
        <v>0</v>
      </c>
      <c r="G91" s="69"/>
      <c r="H91" s="552">
        <f t="shared" ref="H91" si="278">IF(G90=0,0,(G91-G90)/G90)</f>
        <v>0</v>
      </c>
      <c r="J91" s="550">
        <f>+$B$27</f>
        <v>2022</v>
      </c>
      <c r="K91" s="69"/>
      <c r="L91" s="552">
        <f t="shared" ref="L91" si="279">IF(K90=0,0,(K91-K90)/K90)</f>
        <v>0</v>
      </c>
      <c r="M91" s="69"/>
      <c r="N91" s="552">
        <f t="shared" ref="N91" si="280">IF(M90=0,0,(M91-M90)/M90)</f>
        <v>0</v>
      </c>
      <c r="O91" s="69"/>
      <c r="P91" s="552">
        <f t="shared" ref="P91" si="281">IF(O90=0,0,(O91-O90)/O90)</f>
        <v>0</v>
      </c>
    </row>
    <row r="93" spans="2:16" ht="13.5" thickBot="1" x14ac:dyDescent="0.25"/>
    <row r="94" spans="2:16" ht="13.5" thickBot="1" x14ac:dyDescent="0.25">
      <c r="B94" s="934" t="str">
        <f>+'11. Final Load Forecast'!B34</f>
        <v>Large User</v>
      </c>
      <c r="C94" s="935"/>
      <c r="D94" s="935"/>
      <c r="E94" s="935"/>
      <c r="F94" s="935"/>
      <c r="G94" s="935"/>
      <c r="H94" s="936"/>
      <c r="J94" s="934" t="str">
        <f>+B94</f>
        <v>Large User</v>
      </c>
      <c r="K94" s="935"/>
      <c r="L94" s="935"/>
      <c r="M94" s="935"/>
      <c r="N94" s="935"/>
      <c r="O94" s="935"/>
      <c r="P94" s="936"/>
    </row>
    <row r="95" spans="2:16" ht="13.5" thickBot="1" x14ac:dyDescent="0.25">
      <c r="B95" s="59" t="s">
        <v>32</v>
      </c>
      <c r="C95" s="44" t="s">
        <v>48</v>
      </c>
      <c r="D95" s="45" t="s">
        <v>53</v>
      </c>
      <c r="E95" s="269" t="s">
        <v>35</v>
      </c>
      <c r="F95" s="45" t="s">
        <v>53</v>
      </c>
      <c r="G95" s="269" t="s">
        <v>36</v>
      </c>
      <c r="H95" s="270" t="s">
        <v>53</v>
      </c>
      <c r="J95" s="59" t="s">
        <v>32</v>
      </c>
      <c r="K95" s="44" t="s">
        <v>48</v>
      </c>
      <c r="L95" s="45" t="s">
        <v>53</v>
      </c>
      <c r="M95" s="269" t="s">
        <v>35</v>
      </c>
      <c r="N95" s="45" t="s">
        <v>53</v>
      </c>
      <c r="O95" s="269" t="s">
        <v>36</v>
      </c>
      <c r="P95" s="270" t="s">
        <v>53</v>
      </c>
    </row>
    <row r="96" spans="2:16" x14ac:dyDescent="0.2">
      <c r="B96" s="60">
        <f>+$B$16</f>
        <v>2011</v>
      </c>
      <c r="C96" s="263">
        <f>+'3. Consumption by Rate Class'!R134</f>
        <v>0</v>
      </c>
      <c r="D96" s="263"/>
      <c r="E96" s="263">
        <f>+'3. Consumption by Rate Class'!P134</f>
        <v>0</v>
      </c>
      <c r="F96" s="263"/>
      <c r="G96" s="263">
        <f>+'3. Consumption by Rate Class'!Q134</f>
        <v>0</v>
      </c>
      <c r="H96" s="264"/>
      <c r="J96" s="60">
        <f>+$B$16</f>
        <v>2011</v>
      </c>
      <c r="K96" s="263">
        <f>+'8. KW and Non-Weather Sensitive'!AL21</f>
        <v>0</v>
      </c>
      <c r="L96" s="263"/>
      <c r="M96" s="263">
        <f>+'8. KW and Non-Weather Sensitive'!AJ21</f>
        <v>0</v>
      </c>
      <c r="N96" s="263"/>
      <c r="O96" s="263">
        <f>+'8. KW and Non-Weather Sensitive'!AK21</f>
        <v>0</v>
      </c>
      <c r="P96" s="264"/>
    </row>
    <row r="97" spans="2:16" x14ac:dyDescent="0.2">
      <c r="B97" s="60">
        <f>+$B$17</f>
        <v>2012</v>
      </c>
      <c r="C97" s="263">
        <f>+'3. Consumption by Rate Class'!R135</f>
        <v>0</v>
      </c>
      <c r="D97" s="551">
        <f>IF(C96=0,0,(C97-C96)/C96)</f>
        <v>0</v>
      </c>
      <c r="E97" s="263">
        <f>+'3. Consumption by Rate Class'!P135</f>
        <v>0</v>
      </c>
      <c r="F97" s="551">
        <f>IF(E96=0,0,(E97-E96)/E96)</f>
        <v>0</v>
      </c>
      <c r="G97" s="263">
        <f>+'3. Consumption by Rate Class'!Q135</f>
        <v>0</v>
      </c>
      <c r="H97" s="551">
        <f>IF(G96=0,0,(G97-G96)/G96)</f>
        <v>0</v>
      </c>
      <c r="J97" s="60">
        <f>+$B$17</f>
        <v>2012</v>
      </c>
      <c r="K97" s="263">
        <f>+'8. KW and Non-Weather Sensitive'!AL22</f>
        <v>0</v>
      </c>
      <c r="L97" s="551">
        <f>IF(K96=0,0,(K97-K96)/K96)</f>
        <v>0</v>
      </c>
      <c r="M97" s="263">
        <f>+'8. KW and Non-Weather Sensitive'!AJ22</f>
        <v>0</v>
      </c>
      <c r="N97" s="551">
        <f>IF(M96=0,0,(M97-M96)/M96)</f>
        <v>0</v>
      </c>
      <c r="O97" s="263">
        <f>+'8. KW and Non-Weather Sensitive'!AK22</f>
        <v>0</v>
      </c>
      <c r="P97" s="551">
        <f>IF(O96=0,0,(O97-O96)/O96)</f>
        <v>0</v>
      </c>
    </row>
    <row r="98" spans="2:16" x14ac:dyDescent="0.2">
      <c r="B98" s="60">
        <f>+$B$18</f>
        <v>2013</v>
      </c>
      <c r="C98" s="263">
        <f>+'3. Consumption by Rate Class'!R136</f>
        <v>0</v>
      </c>
      <c r="D98" s="551">
        <f t="shared" ref="D98" si="282">IF(C97=0,0,(C98-C97)/C97)</f>
        <v>0</v>
      </c>
      <c r="E98" s="263">
        <f>+'3. Consumption by Rate Class'!P136</f>
        <v>0</v>
      </c>
      <c r="F98" s="551">
        <f t="shared" ref="F98" si="283">IF(E97=0,0,(E98-E97)/E97)</f>
        <v>0</v>
      </c>
      <c r="G98" s="263">
        <f>+'3. Consumption by Rate Class'!Q136</f>
        <v>0</v>
      </c>
      <c r="H98" s="551">
        <f t="shared" ref="H98" si="284">IF(G97=0,0,(G98-G97)/G97)</f>
        <v>0</v>
      </c>
      <c r="J98" s="60">
        <f>+$B$18</f>
        <v>2013</v>
      </c>
      <c r="K98" s="263">
        <f>+'8. KW and Non-Weather Sensitive'!AL23</f>
        <v>0</v>
      </c>
      <c r="L98" s="551">
        <f t="shared" ref="L98" si="285">IF(K97=0,0,(K98-K97)/K97)</f>
        <v>0</v>
      </c>
      <c r="M98" s="263">
        <f>+'8. KW and Non-Weather Sensitive'!AJ23</f>
        <v>0</v>
      </c>
      <c r="N98" s="551">
        <f t="shared" ref="N98" si="286">IF(M97=0,0,(M98-M97)/M97)</f>
        <v>0</v>
      </c>
      <c r="O98" s="263">
        <f>+'8. KW and Non-Weather Sensitive'!AK23</f>
        <v>0</v>
      </c>
      <c r="P98" s="551">
        <f t="shared" ref="P98" si="287">IF(O97=0,0,(O98-O97)/O97)</f>
        <v>0</v>
      </c>
    </row>
    <row r="99" spans="2:16" x14ac:dyDescent="0.2">
      <c r="B99" s="60">
        <f>+$B$19</f>
        <v>2014</v>
      </c>
      <c r="C99" s="263">
        <f>+'3. Consumption by Rate Class'!R137</f>
        <v>0</v>
      </c>
      <c r="D99" s="551">
        <f t="shared" ref="D99" si="288">IF(C98=0,0,(C99-C98)/C98)</f>
        <v>0</v>
      </c>
      <c r="E99" s="263">
        <f>+'3. Consumption by Rate Class'!P137</f>
        <v>0</v>
      </c>
      <c r="F99" s="551">
        <f t="shared" ref="F99" si="289">IF(E98=0,0,(E99-E98)/E98)</f>
        <v>0</v>
      </c>
      <c r="G99" s="263">
        <f>+'3. Consumption by Rate Class'!Q137</f>
        <v>0</v>
      </c>
      <c r="H99" s="551">
        <f t="shared" ref="H99" si="290">IF(G98=0,0,(G99-G98)/G98)</f>
        <v>0</v>
      </c>
      <c r="J99" s="60">
        <f>+$B$19</f>
        <v>2014</v>
      </c>
      <c r="K99" s="263">
        <f>+'8. KW and Non-Weather Sensitive'!AL24</f>
        <v>0</v>
      </c>
      <c r="L99" s="551">
        <f t="shared" ref="L99" si="291">IF(K98=0,0,(K99-K98)/K98)</f>
        <v>0</v>
      </c>
      <c r="M99" s="263">
        <f>+'8. KW and Non-Weather Sensitive'!AJ24</f>
        <v>0</v>
      </c>
      <c r="N99" s="551">
        <f t="shared" ref="N99" si="292">IF(M98=0,0,(M99-M98)/M98)</f>
        <v>0</v>
      </c>
      <c r="O99" s="263">
        <f>+'8. KW and Non-Weather Sensitive'!AK24</f>
        <v>0</v>
      </c>
      <c r="P99" s="551">
        <f t="shared" ref="P99" si="293">IF(O98=0,0,(O99-O98)/O98)</f>
        <v>0</v>
      </c>
    </row>
    <row r="100" spans="2:16" x14ac:dyDescent="0.2">
      <c r="B100" s="60">
        <f>+$B$20</f>
        <v>2015</v>
      </c>
      <c r="C100" s="263">
        <f>+'3. Consumption by Rate Class'!R138</f>
        <v>0</v>
      </c>
      <c r="D100" s="551">
        <f t="shared" ref="D100" si="294">IF(C99=0,0,(C100-C99)/C99)</f>
        <v>0</v>
      </c>
      <c r="E100" s="263">
        <f>+'3. Consumption by Rate Class'!P138</f>
        <v>0</v>
      </c>
      <c r="F100" s="551">
        <f t="shared" ref="F100" si="295">IF(E99=0,0,(E100-E99)/E99)</f>
        <v>0</v>
      </c>
      <c r="G100" s="263">
        <f>+'3. Consumption by Rate Class'!Q138</f>
        <v>0</v>
      </c>
      <c r="H100" s="551">
        <f t="shared" ref="H100" si="296">IF(G99=0,0,(G100-G99)/G99)</f>
        <v>0</v>
      </c>
      <c r="J100" s="60">
        <f>+$B$20</f>
        <v>2015</v>
      </c>
      <c r="K100" s="263">
        <f>+'8. KW and Non-Weather Sensitive'!AL25</f>
        <v>0</v>
      </c>
      <c r="L100" s="551">
        <f t="shared" ref="L100" si="297">IF(K99=0,0,(K100-K99)/K99)</f>
        <v>0</v>
      </c>
      <c r="M100" s="263">
        <f>+'8. KW and Non-Weather Sensitive'!AJ25</f>
        <v>0</v>
      </c>
      <c r="N100" s="551">
        <f t="shared" ref="N100" si="298">IF(M99=0,0,(M100-M99)/M99)</f>
        <v>0</v>
      </c>
      <c r="O100" s="263">
        <f>+'8. KW and Non-Weather Sensitive'!AK25</f>
        <v>0</v>
      </c>
      <c r="P100" s="551">
        <f t="shared" ref="P100" si="299">IF(O99=0,0,(O100-O99)/O99)</f>
        <v>0</v>
      </c>
    </row>
    <row r="101" spans="2:16" x14ac:dyDescent="0.2">
      <c r="B101" s="60">
        <f>+$B$21</f>
        <v>2016</v>
      </c>
      <c r="C101" s="263">
        <f>+'3. Consumption by Rate Class'!R139</f>
        <v>0</v>
      </c>
      <c r="D101" s="551">
        <f t="shared" ref="D101" si="300">IF(C100=0,0,(C101-C100)/C100)</f>
        <v>0</v>
      </c>
      <c r="E101" s="263">
        <f>+'3. Consumption by Rate Class'!P139</f>
        <v>0</v>
      </c>
      <c r="F101" s="551">
        <f t="shared" ref="F101" si="301">IF(E100=0,0,(E101-E100)/E100)</f>
        <v>0</v>
      </c>
      <c r="G101" s="263">
        <f>+'3. Consumption by Rate Class'!Q139</f>
        <v>0</v>
      </c>
      <c r="H101" s="551">
        <f t="shared" ref="H101" si="302">IF(G100=0,0,(G101-G100)/G100)</f>
        <v>0</v>
      </c>
      <c r="J101" s="60">
        <f>+$B$21</f>
        <v>2016</v>
      </c>
      <c r="K101" s="263">
        <f>+'8. KW and Non-Weather Sensitive'!AL26</f>
        <v>0</v>
      </c>
      <c r="L101" s="551">
        <f t="shared" ref="L101" si="303">IF(K100=0,0,(K101-K100)/K100)</f>
        <v>0</v>
      </c>
      <c r="M101" s="263">
        <f>+'8. KW and Non-Weather Sensitive'!AJ26</f>
        <v>0</v>
      </c>
      <c r="N101" s="551">
        <f t="shared" ref="N101" si="304">IF(M100=0,0,(M101-M100)/M100)</f>
        <v>0</v>
      </c>
      <c r="O101" s="263">
        <f>+'8. KW and Non-Weather Sensitive'!AK26</f>
        <v>0</v>
      </c>
      <c r="P101" s="551">
        <f t="shared" ref="P101" si="305">IF(O100=0,0,(O101-O100)/O100)</f>
        <v>0</v>
      </c>
    </row>
    <row r="102" spans="2:16" x14ac:dyDescent="0.2">
      <c r="B102" s="60">
        <f>+$B$22</f>
        <v>2017</v>
      </c>
      <c r="C102" s="263">
        <f>+'3. Consumption by Rate Class'!R140</f>
        <v>0</v>
      </c>
      <c r="D102" s="551">
        <f t="shared" ref="D102" si="306">IF(C101=0,0,(C102-C101)/C101)</f>
        <v>0</v>
      </c>
      <c r="E102" s="263">
        <f>+'3. Consumption by Rate Class'!P140</f>
        <v>0</v>
      </c>
      <c r="F102" s="551">
        <f t="shared" ref="F102" si="307">IF(E101=0,0,(E102-E101)/E101)</f>
        <v>0</v>
      </c>
      <c r="G102" s="263">
        <f>+'3. Consumption by Rate Class'!Q140</f>
        <v>0</v>
      </c>
      <c r="H102" s="551">
        <f t="shared" ref="H102" si="308">IF(G101=0,0,(G102-G101)/G101)</f>
        <v>0</v>
      </c>
      <c r="J102" s="60">
        <f>+$B$22</f>
        <v>2017</v>
      </c>
      <c r="K102" s="263">
        <f>+'8. KW and Non-Weather Sensitive'!AL27</f>
        <v>0</v>
      </c>
      <c r="L102" s="551">
        <f t="shared" ref="L102" si="309">IF(K101=0,0,(K102-K101)/K101)</f>
        <v>0</v>
      </c>
      <c r="M102" s="263">
        <f>+'8. KW and Non-Weather Sensitive'!AJ27</f>
        <v>0</v>
      </c>
      <c r="N102" s="551">
        <f t="shared" ref="N102" si="310">IF(M101=0,0,(M102-M101)/M101)</f>
        <v>0</v>
      </c>
      <c r="O102" s="263">
        <f>+'8. KW and Non-Weather Sensitive'!AK27</f>
        <v>0</v>
      </c>
      <c r="P102" s="551">
        <f t="shared" ref="P102" si="311">IF(O101=0,0,(O102-O101)/O101)</f>
        <v>0</v>
      </c>
    </row>
    <row r="103" spans="2:16" x14ac:dyDescent="0.2">
      <c r="B103" s="60">
        <f>+$B$23</f>
        <v>2018</v>
      </c>
      <c r="C103" s="68"/>
      <c r="D103" s="551">
        <f t="shared" ref="D103" si="312">IF(C102=0,0,(C103-C102)/C102)</f>
        <v>0</v>
      </c>
      <c r="E103" s="68"/>
      <c r="F103" s="551">
        <f t="shared" ref="F103" si="313">IF(E102=0,0,(E103-E102)/E102)</f>
        <v>0</v>
      </c>
      <c r="G103" s="68"/>
      <c r="H103" s="551">
        <f t="shared" ref="H103" si="314">IF(G102=0,0,(G103-G102)/G102)</f>
        <v>0</v>
      </c>
      <c r="J103" s="60">
        <f>+$B$23</f>
        <v>2018</v>
      </c>
      <c r="K103" s="263">
        <f>+'8. KW and Non-Weather Sensitive'!AL28</f>
        <v>0</v>
      </c>
      <c r="L103" s="551">
        <f t="shared" ref="L103" si="315">IF(K102=0,0,(K103-K102)/K102)</f>
        <v>0</v>
      </c>
      <c r="M103" s="263">
        <f>+'8. KW and Non-Weather Sensitive'!AJ28</f>
        <v>0</v>
      </c>
      <c r="N103" s="551">
        <f t="shared" ref="N103" si="316">IF(M102=0,0,(M103-M102)/M102)</f>
        <v>0</v>
      </c>
      <c r="O103" s="263">
        <f>+'8. KW and Non-Weather Sensitive'!AK28</f>
        <v>0</v>
      </c>
      <c r="P103" s="551">
        <f t="shared" ref="P103" si="317">IF(O102=0,0,(O103-O102)/O102)</f>
        <v>0</v>
      </c>
    </row>
    <row r="104" spans="2:16" x14ac:dyDescent="0.2">
      <c r="B104" s="60">
        <f>+$B$24</f>
        <v>2019</v>
      </c>
      <c r="C104" s="68"/>
      <c r="D104" s="551">
        <f t="shared" ref="D104" si="318">IF(C103=0,0,(C104-C103)/C103)</f>
        <v>0</v>
      </c>
      <c r="E104" s="68"/>
      <c r="F104" s="551">
        <f t="shared" ref="F104" si="319">IF(E103=0,0,(E104-E103)/E103)</f>
        <v>0</v>
      </c>
      <c r="G104" s="68"/>
      <c r="H104" s="551">
        <f t="shared" ref="H104" si="320">IF(G103=0,0,(G104-G103)/G103)</f>
        <v>0</v>
      </c>
      <c r="J104" s="60">
        <f>+$B$24</f>
        <v>2019</v>
      </c>
      <c r="K104" s="263">
        <f>+'8. KW and Non-Weather Sensitive'!AL29</f>
        <v>1</v>
      </c>
      <c r="L104" s="551">
        <f t="shared" ref="L104" si="321">IF(K103=0,0,(K104-K103)/K103)</f>
        <v>0</v>
      </c>
      <c r="M104" s="263">
        <f>+'8. KW and Non-Weather Sensitive'!AJ29</f>
        <v>23308825.330262251</v>
      </c>
      <c r="N104" s="551">
        <f t="shared" ref="N104" si="322">IF(M103=0,0,(M104-M103)/M103)</f>
        <v>0</v>
      </c>
      <c r="O104" s="263">
        <f>+'8. KW and Non-Weather Sensitive'!AK29</f>
        <v>60000</v>
      </c>
      <c r="P104" s="551">
        <f t="shared" ref="P104" si="323">IF(O103=0,0,(O104-O103)/O103)</f>
        <v>0</v>
      </c>
    </row>
    <row r="105" spans="2:16" x14ac:dyDescent="0.2">
      <c r="B105" s="60">
        <f>+$B$25</f>
        <v>2020</v>
      </c>
      <c r="C105" s="68"/>
      <c r="D105" s="551">
        <f t="shared" ref="D105" si="324">IF(C104=0,0,(C105-C104)/C104)</f>
        <v>0</v>
      </c>
      <c r="E105" s="68"/>
      <c r="F105" s="551">
        <f t="shared" ref="F105" si="325">IF(E104=0,0,(E105-E104)/E104)</f>
        <v>0</v>
      </c>
      <c r="G105" s="68"/>
      <c r="H105" s="551">
        <f t="shared" ref="H105" si="326">IF(G104=0,0,(G105-G104)/G104)</f>
        <v>0</v>
      </c>
      <c r="J105" s="60">
        <f>+$B$25</f>
        <v>2020</v>
      </c>
      <c r="K105" s="68"/>
      <c r="L105" s="551">
        <f t="shared" ref="L105" si="327">IF(K104=0,0,(K105-K104)/K104)</f>
        <v>-1</v>
      </c>
      <c r="M105" s="68"/>
      <c r="N105" s="551">
        <f t="shared" ref="N105" si="328">IF(M104=0,0,(M105-M104)/M104)</f>
        <v>-1</v>
      </c>
      <c r="O105" s="68"/>
      <c r="P105" s="551">
        <f t="shared" ref="P105" si="329">IF(O104=0,0,(O105-O104)/O104)</f>
        <v>-1</v>
      </c>
    </row>
    <row r="106" spans="2:16" x14ac:dyDescent="0.2">
      <c r="B106" s="60">
        <f>+$B$26</f>
        <v>2021</v>
      </c>
      <c r="C106" s="68"/>
      <c r="D106" s="551">
        <f t="shared" ref="D106" si="330">IF(C105=0,0,(C106-C105)/C105)</f>
        <v>0</v>
      </c>
      <c r="E106" s="68"/>
      <c r="F106" s="551">
        <f t="shared" ref="F106" si="331">IF(E105=0,0,(E106-E105)/E105)</f>
        <v>0</v>
      </c>
      <c r="G106" s="68"/>
      <c r="H106" s="551">
        <f t="shared" ref="H106" si="332">IF(G105=0,0,(G106-G105)/G105)</f>
        <v>0</v>
      </c>
      <c r="J106" s="60">
        <f>+$B$26</f>
        <v>2021</v>
      </c>
      <c r="K106" s="68"/>
      <c r="L106" s="551">
        <f t="shared" ref="L106" si="333">IF(K105=0,0,(K106-K105)/K105)</f>
        <v>0</v>
      </c>
      <c r="M106" s="68"/>
      <c r="N106" s="551">
        <f t="shared" ref="N106" si="334">IF(M105=0,0,(M106-M105)/M105)</f>
        <v>0</v>
      </c>
      <c r="O106" s="68"/>
      <c r="P106" s="551">
        <f t="shared" ref="P106" si="335">IF(O105=0,0,(O106-O105)/O105)</f>
        <v>0</v>
      </c>
    </row>
    <row r="107" spans="2:16" ht="13.5" thickBot="1" x14ac:dyDescent="0.25">
      <c r="B107" s="550">
        <f>+$B$27</f>
        <v>2022</v>
      </c>
      <c r="C107" s="69"/>
      <c r="D107" s="552">
        <f t="shared" ref="D107" si="336">IF(C106=0,0,(C107-C106)/C106)</f>
        <v>0</v>
      </c>
      <c r="E107" s="69"/>
      <c r="F107" s="552">
        <f t="shared" ref="F107" si="337">IF(E106=0,0,(E107-E106)/E106)</f>
        <v>0</v>
      </c>
      <c r="G107" s="69"/>
      <c r="H107" s="552">
        <f t="shared" ref="H107" si="338">IF(G106=0,0,(G107-G106)/G106)</f>
        <v>0</v>
      </c>
      <c r="J107" s="550">
        <f>+$B$27</f>
        <v>2022</v>
      </c>
      <c r="K107" s="69"/>
      <c r="L107" s="552">
        <f t="shared" ref="L107" si="339">IF(K106=0,0,(K107-K106)/K106)</f>
        <v>0</v>
      </c>
      <c r="M107" s="69"/>
      <c r="N107" s="552">
        <f t="shared" ref="N107" si="340">IF(M106=0,0,(M107-M106)/M106)</f>
        <v>0</v>
      </c>
      <c r="O107" s="69"/>
      <c r="P107" s="552">
        <f t="shared" ref="P107" si="341">IF(O106=0,0,(O107-O106)/O106)</f>
        <v>0</v>
      </c>
    </row>
    <row r="109" spans="2:16" ht="13.5" thickBot="1" x14ac:dyDescent="0.25"/>
    <row r="110" spans="2:16" ht="13.5" thickBot="1" x14ac:dyDescent="0.25">
      <c r="B110" s="934" t="s">
        <v>16</v>
      </c>
      <c r="C110" s="935"/>
      <c r="D110" s="935"/>
      <c r="E110" s="935"/>
      <c r="F110" s="935"/>
      <c r="G110" s="935"/>
      <c r="H110" s="936"/>
      <c r="J110" s="934" t="str">
        <f>+B110</f>
        <v>Total</v>
      </c>
      <c r="K110" s="935"/>
      <c r="L110" s="935"/>
      <c r="M110" s="935"/>
      <c r="N110" s="935"/>
      <c r="O110" s="935"/>
      <c r="P110" s="936"/>
    </row>
    <row r="111" spans="2:16" ht="13.5" thickBot="1" x14ac:dyDescent="0.25">
      <c r="B111" s="59" t="s">
        <v>32</v>
      </c>
      <c r="C111" s="44" t="s">
        <v>105</v>
      </c>
      <c r="D111" s="45" t="s">
        <v>53</v>
      </c>
      <c r="E111" s="269" t="s">
        <v>35</v>
      </c>
      <c r="F111" s="45" t="s">
        <v>53</v>
      </c>
      <c r="G111" s="269" t="s">
        <v>36</v>
      </c>
      <c r="H111" s="270" t="s">
        <v>53</v>
      </c>
      <c r="J111" s="59" t="s">
        <v>32</v>
      </c>
      <c r="K111" s="44" t="s">
        <v>105</v>
      </c>
      <c r="L111" s="45" t="s">
        <v>53</v>
      </c>
      <c r="M111" s="269" t="s">
        <v>35</v>
      </c>
      <c r="N111" s="45" t="s">
        <v>53</v>
      </c>
      <c r="O111" s="269" t="s">
        <v>36</v>
      </c>
      <c r="P111" s="270" t="s">
        <v>53</v>
      </c>
    </row>
    <row r="112" spans="2:16" x14ac:dyDescent="0.2">
      <c r="B112" s="557">
        <f>+$B$16</f>
        <v>2011</v>
      </c>
      <c r="C112" s="558">
        <f>+C16+C32+C48+C64+C80+C96</f>
        <v>9916.9166666666679</v>
      </c>
      <c r="D112" s="558"/>
      <c r="E112" s="558">
        <f>+E16+E32+E48+E64+E80+E96</f>
        <v>181309571.40999997</v>
      </c>
      <c r="F112" s="558"/>
      <c r="G112" s="558">
        <f>+G16+G32+G48+G64+G80+G96</f>
        <v>203139.39000000004</v>
      </c>
      <c r="H112" s="559"/>
      <c r="J112" s="557">
        <f>+$B$16</f>
        <v>2011</v>
      </c>
      <c r="K112" s="558">
        <f>+K16+K32+K48+K64+K80+K96</f>
        <v>9916.9166666666679</v>
      </c>
      <c r="L112" s="558"/>
      <c r="M112" s="558">
        <f>+M16+M32+M48+M64+M80+M96</f>
        <v>182510145.26197964</v>
      </c>
      <c r="N112" s="558"/>
      <c r="O112" s="558">
        <f>+O16+O32+O48+O64+O80+O96</f>
        <v>203139.39000000004</v>
      </c>
      <c r="P112" s="559"/>
    </row>
    <row r="113" spans="2:16" x14ac:dyDescent="0.2">
      <c r="B113" s="60">
        <f>+$B$17</f>
        <v>2012</v>
      </c>
      <c r="C113" s="263">
        <f t="shared" ref="C113:E123" si="342">+C17+C33+C49+C65+C81+C97</f>
        <v>10071.666666666666</v>
      </c>
      <c r="D113" s="551">
        <f>IF(C112=0,0,(C113-C112)/C112)</f>
        <v>1.5604648622303454E-2</v>
      </c>
      <c r="E113" s="263">
        <f t="shared" si="342"/>
        <v>181845358.93000001</v>
      </c>
      <c r="F113" s="551">
        <f>IF(E112=0,0,(E113-E112)/E112)</f>
        <v>2.9550978243087374E-3</v>
      </c>
      <c r="G113" s="263">
        <f t="shared" ref="G113" si="343">+G17+G33+G49+G65+G81+G97</f>
        <v>205976.61</v>
      </c>
      <c r="H113" s="560">
        <f>IF(G112=0,0,(G113-G112)/G112)</f>
        <v>1.3966862852152614E-2</v>
      </c>
      <c r="J113" s="60">
        <f>+$B$17</f>
        <v>2012</v>
      </c>
      <c r="K113" s="263">
        <f t="shared" ref="K113" si="344">+K17+K33+K49+K65+K81+K97</f>
        <v>10071.666666666666</v>
      </c>
      <c r="L113" s="551">
        <f>IF(K112=0,0,(K113-K112)/K112)</f>
        <v>1.5604648622303454E-2</v>
      </c>
      <c r="M113" s="263">
        <f t="shared" ref="M113" si="345">+M17+M33+M49+M65+M81+M97</f>
        <v>185525968.56767678</v>
      </c>
      <c r="N113" s="551">
        <f>IF(M112=0,0,(M113-M112)/M112)</f>
        <v>1.6524140624446682E-2</v>
      </c>
      <c r="O113" s="263">
        <f t="shared" ref="O113" si="346">+O17+O33+O49+O65+O81+O97</f>
        <v>205976.61</v>
      </c>
      <c r="P113" s="560">
        <f>IF(O112=0,0,(O113-O112)/O112)</f>
        <v>1.3966862852152614E-2</v>
      </c>
    </row>
    <row r="114" spans="2:16" x14ac:dyDescent="0.2">
      <c r="B114" s="60">
        <f>+$B$18</f>
        <v>2013</v>
      </c>
      <c r="C114" s="263">
        <f t="shared" si="342"/>
        <v>10221.5</v>
      </c>
      <c r="D114" s="551">
        <f t="shared" ref="D114" si="347">IF(C113=0,0,(C114-C113)/C113)</f>
        <v>1.4876716862485581E-2</v>
      </c>
      <c r="E114" s="263">
        <f t="shared" si="342"/>
        <v>182708523.99999997</v>
      </c>
      <c r="F114" s="551">
        <f t="shared" ref="F114" si="348">IF(E113=0,0,(E114-E113)/E113)</f>
        <v>4.7466983764608032E-3</v>
      </c>
      <c r="G114" s="263">
        <f t="shared" ref="G114" si="349">+G18+G34+G50+G66+G82+G98</f>
        <v>207849.61</v>
      </c>
      <c r="H114" s="560">
        <f t="shared" ref="H114" si="350">IF(G113=0,0,(G114-G113)/G113)</f>
        <v>9.0932654926207408E-3</v>
      </c>
      <c r="J114" s="60">
        <f>+$B$18</f>
        <v>2013</v>
      </c>
      <c r="K114" s="263">
        <f t="shared" ref="K114" si="351">+K18+K34+K50+K66+K82+K98</f>
        <v>10221.5</v>
      </c>
      <c r="L114" s="551">
        <f t="shared" ref="L114:L123" si="352">IF(K113=0,0,(K114-K113)/K113)</f>
        <v>1.4876716862485581E-2</v>
      </c>
      <c r="M114" s="263">
        <f t="shared" ref="M114" si="353">+M18+M34+M50+M66+M82+M98</f>
        <v>183842097.82359427</v>
      </c>
      <c r="N114" s="551">
        <f t="shared" ref="N114:N123" si="354">IF(M113=0,0,(M114-M113)/M113)</f>
        <v>-9.0761997206243519E-3</v>
      </c>
      <c r="O114" s="263">
        <f t="shared" ref="O114" si="355">+O18+O34+O50+O66+O82+O98</f>
        <v>207849.61</v>
      </c>
      <c r="P114" s="560">
        <f t="shared" ref="P114:P123" si="356">IF(O113=0,0,(O114-O113)/O113)</f>
        <v>9.0932654926207408E-3</v>
      </c>
    </row>
    <row r="115" spans="2:16" x14ac:dyDescent="0.2">
      <c r="B115" s="60">
        <f>+$B$19</f>
        <v>2014</v>
      </c>
      <c r="C115" s="263">
        <f t="shared" si="342"/>
        <v>10624.375</v>
      </c>
      <c r="D115" s="551">
        <f t="shared" ref="D115" si="357">IF(C114=0,0,(C115-C114)/C114)</f>
        <v>3.9414469500562536E-2</v>
      </c>
      <c r="E115" s="263">
        <f t="shared" si="342"/>
        <v>189355728.62000003</v>
      </c>
      <c r="F115" s="551">
        <f t="shared" ref="F115" si="358">IF(E114=0,0,(E115-E114)/E114)</f>
        <v>3.6381469646156551E-2</v>
      </c>
      <c r="G115" s="263">
        <f t="shared" ref="G115" si="359">+G19+G35+G51+G67+G83+G99</f>
        <v>211281.32</v>
      </c>
      <c r="H115" s="560">
        <f t="shared" ref="H115" si="360">IF(G114=0,0,(G115-G114)/G114)</f>
        <v>1.6510543368351862E-2</v>
      </c>
      <c r="J115" s="60">
        <f>+$B$19</f>
        <v>2014</v>
      </c>
      <c r="K115" s="263">
        <f t="shared" ref="K115" si="361">+K19+K35+K51+K67+K83+K99</f>
        <v>10624.375</v>
      </c>
      <c r="L115" s="551">
        <f t="shared" si="352"/>
        <v>3.9414469500562536E-2</v>
      </c>
      <c r="M115" s="263">
        <f t="shared" ref="M115" si="362">+M19+M35+M51+M67+M83+M99</f>
        <v>187761667.08360302</v>
      </c>
      <c r="N115" s="551">
        <f t="shared" si="354"/>
        <v>2.1320303164565582E-2</v>
      </c>
      <c r="O115" s="263">
        <f t="shared" ref="O115" si="363">+O19+O35+O51+O67+O83+O99</f>
        <v>211281.32</v>
      </c>
      <c r="P115" s="560">
        <f t="shared" si="356"/>
        <v>1.6510543368351862E-2</v>
      </c>
    </row>
    <row r="116" spans="2:16" x14ac:dyDescent="0.2">
      <c r="B116" s="60">
        <f>+$B$20</f>
        <v>2015</v>
      </c>
      <c r="C116" s="263">
        <f t="shared" si="342"/>
        <v>10939.708333333334</v>
      </c>
      <c r="D116" s="551">
        <f t="shared" ref="D116" si="364">IF(C115=0,0,(C116-C115)/C115)</f>
        <v>2.9680177265329389E-2</v>
      </c>
      <c r="E116" s="263">
        <f t="shared" si="342"/>
        <v>193845049.99999997</v>
      </c>
      <c r="F116" s="551">
        <f t="shared" ref="F116" si="365">IF(E115=0,0,(E116-E115)/E115)</f>
        <v>2.370840012455671E-2</v>
      </c>
      <c r="G116" s="263">
        <f t="shared" ref="G116" si="366">+G20+G36+G52+G68+G84+G100</f>
        <v>216691.52999999997</v>
      </c>
      <c r="H116" s="560">
        <f t="shared" ref="H116" si="367">IF(G115=0,0,(G116-G115)/G115)</f>
        <v>2.5606665085204705E-2</v>
      </c>
      <c r="J116" s="60">
        <f>+$B$20</f>
        <v>2015</v>
      </c>
      <c r="K116" s="263">
        <f t="shared" ref="K116" si="368">+K20+K36+K52+K68+K84+K100</f>
        <v>10939.708333333334</v>
      </c>
      <c r="L116" s="551">
        <f t="shared" si="352"/>
        <v>2.9680177265329389E-2</v>
      </c>
      <c r="M116" s="263">
        <f t="shared" ref="M116" si="369">+M20+M36+M52+M68+M84+M100</f>
        <v>193202243.80825207</v>
      </c>
      <c r="N116" s="551">
        <f t="shared" si="354"/>
        <v>2.897597155561344E-2</v>
      </c>
      <c r="O116" s="263">
        <f t="shared" ref="O116" si="370">+O20+O36+O52+O68+O84+O100</f>
        <v>216691.52999999997</v>
      </c>
      <c r="P116" s="560">
        <f t="shared" si="356"/>
        <v>2.5606665085204705E-2</v>
      </c>
    </row>
    <row r="117" spans="2:16" x14ac:dyDescent="0.2">
      <c r="B117" s="60">
        <f>+$B$21</f>
        <v>2016</v>
      </c>
      <c r="C117" s="263">
        <f t="shared" si="342"/>
        <v>11252.875</v>
      </c>
      <c r="D117" s="551">
        <f t="shared" ref="D117" si="371">IF(C116=0,0,(C117-C116)/C116)</f>
        <v>2.8626601105300586E-2</v>
      </c>
      <c r="E117" s="263">
        <f t="shared" si="342"/>
        <v>202468100.50999999</v>
      </c>
      <c r="F117" s="551">
        <f t="shared" ref="F117" si="372">IF(E116=0,0,(E117-E116)/E116)</f>
        <v>4.4484244039246924E-2</v>
      </c>
      <c r="G117" s="263">
        <f t="shared" ref="G117" si="373">+G21+G37+G53+G69+G85+G101</f>
        <v>213528.78</v>
      </c>
      <c r="H117" s="560">
        <f t="shared" ref="H117" si="374">IF(G116=0,0,(G117-G116)/G116)</f>
        <v>-1.4595632787308167E-2</v>
      </c>
      <c r="J117" s="60">
        <f>+$B$21</f>
        <v>2016</v>
      </c>
      <c r="K117" s="263">
        <f t="shared" ref="K117" si="375">+K21+K37+K53+K69+K85+K101</f>
        <v>11252.875</v>
      </c>
      <c r="L117" s="551">
        <f t="shared" si="352"/>
        <v>2.8626601105300586E-2</v>
      </c>
      <c r="M117" s="263">
        <f t="shared" ref="M117" si="376">+M21+M37+M53+M69+M85+M101</f>
        <v>204515793.9578518</v>
      </c>
      <c r="N117" s="551">
        <f t="shared" si="354"/>
        <v>5.8558068097946725E-2</v>
      </c>
      <c r="O117" s="263">
        <f t="shared" ref="O117" si="377">+O21+O37+O53+O69+O85+O101</f>
        <v>213528.78</v>
      </c>
      <c r="P117" s="560">
        <f t="shared" si="356"/>
        <v>-1.4595632787308167E-2</v>
      </c>
    </row>
    <row r="118" spans="2:16" x14ac:dyDescent="0.2">
      <c r="B118" s="60">
        <f>+$B$22</f>
        <v>2017</v>
      </c>
      <c r="C118" s="263">
        <f t="shared" si="342"/>
        <v>11444.166666666666</v>
      </c>
      <c r="D118" s="551">
        <f t="shared" ref="D118" si="378">IF(C117=0,0,(C118-C117)/C117)</f>
        <v>1.6999359422962226E-2</v>
      </c>
      <c r="E118" s="263">
        <f t="shared" si="342"/>
        <v>196959262.63000003</v>
      </c>
      <c r="F118" s="551">
        <f t="shared" ref="F118" si="379">IF(E117=0,0,(E118-E117)/E117)</f>
        <v>-2.7208423776998301E-2</v>
      </c>
      <c r="G118" s="263">
        <f t="shared" ref="G118" si="380">+G22+G38+G54+G70+G86+G102</f>
        <v>213933.76999999996</v>
      </c>
      <c r="H118" s="560">
        <f t="shared" ref="H118" si="381">IF(G117=0,0,(G118-G117)/G117)</f>
        <v>1.8966529945048231E-3</v>
      </c>
      <c r="J118" s="60">
        <f>+$B$22</f>
        <v>2017</v>
      </c>
      <c r="K118" s="263">
        <f t="shared" ref="K118" si="382">+K22+K38+K54+K70+K86+K102</f>
        <v>11444.166666666666</v>
      </c>
      <c r="L118" s="551">
        <f t="shared" si="352"/>
        <v>1.6999359422962226E-2</v>
      </c>
      <c r="M118" s="263">
        <f t="shared" ref="M118" si="383">+M22+M38+M54+M70+M86+M102</f>
        <v>198761823.7089144</v>
      </c>
      <c r="N118" s="551">
        <f t="shared" si="354"/>
        <v>-2.8134600940029213E-2</v>
      </c>
      <c r="O118" s="263">
        <f t="shared" ref="O118" si="384">+O22+O38+O54+O70+O86+O102</f>
        <v>213933.76999999996</v>
      </c>
      <c r="P118" s="560">
        <f t="shared" si="356"/>
        <v>1.8966529945048231E-3</v>
      </c>
    </row>
    <row r="119" spans="2:16" x14ac:dyDescent="0.2">
      <c r="B119" s="60">
        <f>+$B$23</f>
        <v>2018</v>
      </c>
      <c r="C119" s="263">
        <f t="shared" si="342"/>
        <v>0</v>
      </c>
      <c r="D119" s="551">
        <f t="shared" ref="D119" si="385">IF(C118=0,0,(C119-C118)/C118)</f>
        <v>-1</v>
      </c>
      <c r="E119" s="263">
        <f t="shared" si="342"/>
        <v>0</v>
      </c>
      <c r="F119" s="551">
        <f t="shared" ref="F119" si="386">IF(E118=0,0,(E119-E118)/E118)</f>
        <v>-1</v>
      </c>
      <c r="G119" s="263">
        <f t="shared" ref="G119" si="387">+G23+G39+G55+G71+G87+G103</f>
        <v>0</v>
      </c>
      <c r="H119" s="560">
        <f t="shared" ref="H119" si="388">IF(G118=0,0,(G119-G118)/G118)</f>
        <v>-1</v>
      </c>
      <c r="J119" s="60">
        <f>+$B$23</f>
        <v>2018</v>
      </c>
      <c r="K119" s="263">
        <f t="shared" ref="K119" si="389">+K23+K39+K55+K71+K87+K103</f>
        <v>11624.661552663174</v>
      </c>
      <c r="L119" s="551">
        <f t="shared" si="352"/>
        <v>1.5771780615729231E-2</v>
      </c>
      <c r="M119" s="263">
        <f t="shared" ref="M119" si="390">+M23+M39+M55+M71+M87+M103</f>
        <v>203154503.62971276</v>
      </c>
      <c r="N119" s="551">
        <f t="shared" si="354"/>
        <v>2.2100219442700509E-2</v>
      </c>
      <c r="O119" s="263">
        <f t="shared" ref="O119" si="391">+O23+O39+O55+O71+O87+O103</f>
        <v>223715.62869777693</v>
      </c>
      <c r="P119" s="560">
        <f t="shared" si="356"/>
        <v>4.5723770949191313E-2</v>
      </c>
    </row>
    <row r="120" spans="2:16" x14ac:dyDescent="0.2">
      <c r="B120" s="60">
        <f>+$B$24</f>
        <v>2019</v>
      </c>
      <c r="C120" s="263">
        <f t="shared" si="342"/>
        <v>0</v>
      </c>
      <c r="D120" s="551">
        <f t="shared" ref="D120" si="392">IF(C119=0,0,(C120-C119)/C119)</f>
        <v>0</v>
      </c>
      <c r="E120" s="263">
        <f t="shared" si="342"/>
        <v>0</v>
      </c>
      <c r="F120" s="551">
        <f t="shared" ref="F120" si="393">IF(E119=0,0,(E120-E119)/E119)</f>
        <v>0</v>
      </c>
      <c r="G120" s="263">
        <f t="shared" ref="G120" si="394">+G24+G40+G56+G72+G88+G104</f>
        <v>0</v>
      </c>
      <c r="H120" s="560">
        <f t="shared" ref="H120" si="395">IF(G119=0,0,(G120-G119)/G119)</f>
        <v>0</v>
      </c>
      <c r="J120" s="60">
        <f>+$B$24</f>
        <v>2019</v>
      </c>
      <c r="K120" s="263">
        <f t="shared" ref="K120" si="396">+K24+K40+K56+K72+K88+K104</f>
        <v>11838.807863346199</v>
      </c>
      <c r="L120" s="551">
        <f t="shared" si="352"/>
        <v>1.8421724341210165E-2</v>
      </c>
      <c r="M120" s="263">
        <f t="shared" ref="M120" si="397">+M24+M40+M56+M72+M88+M104</f>
        <v>226322506.30366001</v>
      </c>
      <c r="N120" s="551">
        <f t="shared" si="354"/>
        <v>0.11404129497505643</v>
      </c>
      <c r="O120" s="263">
        <f t="shared" ref="O120" si="398">+O24+O40+O56+O72+O88+O104</f>
        <v>279590.2295887791</v>
      </c>
      <c r="P120" s="560">
        <f t="shared" si="356"/>
        <v>0.24975725306381955</v>
      </c>
    </row>
    <row r="121" spans="2:16" x14ac:dyDescent="0.2">
      <c r="B121" s="60">
        <f>+$B$25</f>
        <v>2020</v>
      </c>
      <c r="C121" s="263">
        <f t="shared" si="342"/>
        <v>0</v>
      </c>
      <c r="D121" s="551">
        <f t="shared" ref="D121" si="399">IF(C120=0,0,(C121-C120)/C120)</f>
        <v>0</v>
      </c>
      <c r="E121" s="263">
        <f t="shared" si="342"/>
        <v>0</v>
      </c>
      <c r="F121" s="551">
        <f t="shared" ref="F121" si="400">IF(E120=0,0,(E121-E120)/E120)</f>
        <v>0</v>
      </c>
      <c r="G121" s="263">
        <f t="shared" ref="G121" si="401">+G25+G41+G57+G73+G89+G105</f>
        <v>0</v>
      </c>
      <c r="H121" s="560">
        <f t="shared" ref="H121" si="402">IF(G120=0,0,(G121-G120)/G120)</f>
        <v>0</v>
      </c>
      <c r="J121" s="60">
        <f>+$B$25</f>
        <v>2020</v>
      </c>
      <c r="K121" s="263">
        <f t="shared" ref="K121" si="403">+K25+K41+K57+K73+K89+K105</f>
        <v>0</v>
      </c>
      <c r="L121" s="551">
        <f t="shared" si="352"/>
        <v>-1</v>
      </c>
      <c r="M121" s="263">
        <f t="shared" ref="M121" si="404">+M25+M41+M57+M73+M89+M105</f>
        <v>0</v>
      </c>
      <c r="N121" s="551">
        <f t="shared" si="354"/>
        <v>-1</v>
      </c>
      <c r="O121" s="263">
        <f t="shared" ref="O121" si="405">+O25+O41+O57+O73+O89+O105</f>
        <v>0</v>
      </c>
      <c r="P121" s="560">
        <f t="shared" si="356"/>
        <v>-1</v>
      </c>
    </row>
    <row r="122" spans="2:16" x14ac:dyDescent="0.2">
      <c r="B122" s="60">
        <f>+$B$26</f>
        <v>2021</v>
      </c>
      <c r="C122" s="263">
        <f t="shared" si="342"/>
        <v>0</v>
      </c>
      <c r="D122" s="551">
        <f t="shared" ref="D122" si="406">IF(C121=0,0,(C122-C121)/C121)</f>
        <v>0</v>
      </c>
      <c r="E122" s="263">
        <f t="shared" si="342"/>
        <v>0</v>
      </c>
      <c r="F122" s="551">
        <f t="shared" ref="F122" si="407">IF(E121=0,0,(E122-E121)/E121)</f>
        <v>0</v>
      </c>
      <c r="G122" s="263">
        <f t="shared" ref="G122" si="408">+G26+G42+G58+G74+G90+G106</f>
        <v>0</v>
      </c>
      <c r="H122" s="560">
        <f t="shared" ref="H122" si="409">IF(G121=0,0,(G122-G121)/G121)</f>
        <v>0</v>
      </c>
      <c r="J122" s="60">
        <f>+$B$26</f>
        <v>2021</v>
      </c>
      <c r="K122" s="263">
        <f t="shared" ref="K122" si="410">+K26+K42+K58+K74+K90+K106</f>
        <v>0</v>
      </c>
      <c r="L122" s="551">
        <f t="shared" si="352"/>
        <v>0</v>
      </c>
      <c r="M122" s="263">
        <f t="shared" ref="M122" si="411">+M26+M42+M58+M74+M90+M106</f>
        <v>0</v>
      </c>
      <c r="N122" s="551">
        <f t="shared" si="354"/>
        <v>0</v>
      </c>
      <c r="O122" s="263">
        <f t="shared" ref="O122" si="412">+O26+O42+O58+O74+O90+O106</f>
        <v>0</v>
      </c>
      <c r="P122" s="560">
        <f t="shared" si="356"/>
        <v>0</v>
      </c>
    </row>
    <row r="123" spans="2:16" ht="13.5" thickBot="1" x14ac:dyDescent="0.25">
      <c r="B123" s="556">
        <f>+$B$27</f>
        <v>2022</v>
      </c>
      <c r="C123" s="69">
        <f t="shared" si="342"/>
        <v>0</v>
      </c>
      <c r="D123" s="552">
        <f t="shared" ref="D123" si="413">IF(C122=0,0,(C123-C122)/C122)</f>
        <v>0</v>
      </c>
      <c r="E123" s="69">
        <f t="shared" si="342"/>
        <v>0</v>
      </c>
      <c r="F123" s="552">
        <f t="shared" ref="F123" si="414">IF(E122=0,0,(E123-E122)/E122)</f>
        <v>0</v>
      </c>
      <c r="G123" s="69">
        <f t="shared" ref="G123" si="415">+G27+G43+G59+G75+G91+G107</f>
        <v>0</v>
      </c>
      <c r="H123" s="561">
        <f t="shared" ref="H123" si="416">IF(G122=0,0,(G123-G122)/G122)</f>
        <v>0</v>
      </c>
      <c r="J123" s="556">
        <f>+$B$27</f>
        <v>2022</v>
      </c>
      <c r="K123" s="69">
        <f t="shared" ref="K123" si="417">+K27+K43+K59+K75+K91+K107</f>
        <v>0</v>
      </c>
      <c r="L123" s="552">
        <f t="shared" si="352"/>
        <v>0</v>
      </c>
      <c r="M123" s="69">
        <f t="shared" ref="M123" si="418">+M27+M43+M59+M75+M91+M107</f>
        <v>0</v>
      </c>
      <c r="N123" s="552">
        <f t="shared" si="354"/>
        <v>0</v>
      </c>
      <c r="O123" s="69">
        <f t="shared" ref="O123" si="419">+O27+O43+O59+O75+O91+O107</f>
        <v>0</v>
      </c>
      <c r="P123" s="561">
        <f t="shared" si="356"/>
        <v>0</v>
      </c>
    </row>
  </sheetData>
  <mergeCells count="14">
    <mergeCell ref="B14:H14"/>
    <mergeCell ref="B78:H78"/>
    <mergeCell ref="B94:H94"/>
    <mergeCell ref="B110:H110"/>
    <mergeCell ref="B62:H62"/>
    <mergeCell ref="B46:H46"/>
    <mergeCell ref="B30:H30"/>
    <mergeCell ref="J94:P94"/>
    <mergeCell ref="J110:P110"/>
    <mergeCell ref="J14:P14"/>
    <mergeCell ref="J30:P30"/>
    <mergeCell ref="J46:P46"/>
    <mergeCell ref="J62:P62"/>
    <mergeCell ref="J78:P78"/>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9"/>
  <sheetViews>
    <sheetView topLeftCell="A85" workbookViewId="0">
      <selection activeCell="D101" sqref="D100:D101"/>
    </sheetView>
  </sheetViews>
  <sheetFormatPr defaultRowHeight="12.75" x14ac:dyDescent="0.2"/>
  <cols>
    <col min="1" max="1" width="14.33203125" style="38" customWidth="1"/>
    <col min="2" max="2" width="12.1640625" style="296" customWidth="1"/>
    <col min="3" max="3" width="11.83203125" style="296" customWidth="1"/>
    <col min="4" max="4" width="11.33203125" style="296" customWidth="1"/>
    <col min="5" max="5" width="18.1640625" style="296" customWidth="1"/>
    <col min="6" max="6" width="13" style="296" customWidth="1"/>
    <col min="7" max="7" width="21.1640625" style="296" customWidth="1"/>
    <col min="8" max="8" width="16" style="296" customWidth="1"/>
    <col min="9" max="9" width="12" style="296" customWidth="1"/>
    <col min="10" max="16384" width="9.33203125" style="296"/>
  </cols>
  <sheetData>
    <row r="5" spans="1:9" x14ac:dyDescent="0.2">
      <c r="A5" s="937" t="s">
        <v>315</v>
      </c>
      <c r="B5" s="938"/>
      <c r="C5" s="938"/>
      <c r="D5" s="938"/>
      <c r="E5" s="938"/>
      <c r="F5" s="938"/>
      <c r="G5" s="938"/>
      <c r="H5" s="938"/>
      <c r="I5" s="939"/>
    </row>
    <row r="6" spans="1:9" s="38" customFormat="1" ht="25.5" x14ac:dyDescent="0.2">
      <c r="A6" s="770" t="s">
        <v>32</v>
      </c>
      <c r="B6" s="771" t="s">
        <v>305</v>
      </c>
      <c r="C6" s="771" t="s">
        <v>306</v>
      </c>
      <c r="D6" s="771" t="s">
        <v>307</v>
      </c>
      <c r="E6" s="771" t="s">
        <v>35</v>
      </c>
      <c r="F6" s="771" t="s">
        <v>307</v>
      </c>
      <c r="G6" s="772" t="s">
        <v>311</v>
      </c>
      <c r="H6" s="772" t="s">
        <v>312</v>
      </c>
      <c r="I6" s="773" t="s">
        <v>307</v>
      </c>
    </row>
    <row r="7" spans="1:9" x14ac:dyDescent="0.2">
      <c r="A7" s="610"/>
      <c r="B7" s="636"/>
      <c r="C7" s="636"/>
      <c r="D7" s="636"/>
      <c r="E7" s="636"/>
      <c r="F7" s="636"/>
      <c r="G7" s="636"/>
      <c r="H7" s="768"/>
      <c r="I7" s="769"/>
    </row>
    <row r="8" spans="1:9" x14ac:dyDescent="0.2">
      <c r="A8" s="614">
        <v>2011</v>
      </c>
      <c r="B8" s="739">
        <f>+'13. Analysis_Weather adj LF'!C16</f>
        <v>6594.125</v>
      </c>
      <c r="C8" s="43"/>
      <c r="D8" s="43"/>
      <c r="E8" s="739">
        <f>+'13. Analysis_Weather adj LF'!E16</f>
        <v>66976829.959999993</v>
      </c>
      <c r="F8" s="43"/>
      <c r="G8" s="620">
        <f>+E8/B8/12</f>
        <v>846.42048742883492</v>
      </c>
      <c r="H8" s="759">
        <v>2303061</v>
      </c>
      <c r="I8" s="761"/>
    </row>
    <row r="9" spans="1:9" x14ac:dyDescent="0.2">
      <c r="A9" s="614">
        <v>2012</v>
      </c>
      <c r="B9" s="739">
        <f>+'13. Analysis_Weather adj LF'!C17</f>
        <v>6716.25</v>
      </c>
      <c r="C9" s="739">
        <f>+B9-B8</f>
        <v>122.125</v>
      </c>
      <c r="D9" s="760">
        <f>+C9/B8</f>
        <v>1.852027372850833E-2</v>
      </c>
      <c r="E9" s="739">
        <f>+'13. Analysis_Weather adj LF'!E17</f>
        <v>67086975.060000002</v>
      </c>
      <c r="F9" s="760">
        <f>(E9-E8)/E8</f>
        <v>1.6445254286562975E-3</v>
      </c>
      <c r="G9" s="620">
        <f t="shared" ref="G9:G17" si="0">+E9/B9/12</f>
        <v>832.39624120603014</v>
      </c>
      <c r="H9" s="759">
        <v>2765045</v>
      </c>
      <c r="I9" s="762">
        <f>(H9-H8)/H8</f>
        <v>0.20059564206071831</v>
      </c>
    </row>
    <row r="10" spans="1:9" x14ac:dyDescent="0.2">
      <c r="A10" s="614">
        <v>2013</v>
      </c>
      <c r="B10" s="739">
        <f>+'13. Analysis_Weather adj LF'!C18</f>
        <v>6912.458333333333</v>
      </c>
      <c r="C10" s="739">
        <f t="shared" ref="C10:C17" si="1">+B10-B9</f>
        <v>196.20833333333303</v>
      </c>
      <c r="D10" s="760">
        <f t="shared" ref="D10:D17" si="2">+C10/B9</f>
        <v>2.9213971090017946E-2</v>
      </c>
      <c r="E10" s="739">
        <f>+'13. Analysis_Weather adj LF'!E18</f>
        <v>68126808.569999993</v>
      </c>
      <c r="F10" s="760">
        <f t="shared" ref="F10:F17" si="3">(E10-E9)/E9</f>
        <v>1.5499782320934928E-2</v>
      </c>
      <c r="G10" s="620">
        <f t="shared" si="0"/>
        <v>821.30463197487632</v>
      </c>
      <c r="H10" s="759">
        <v>2698997</v>
      </c>
      <c r="I10" s="762">
        <f t="shared" ref="I10:I17" si="4">(H10-H9)/H9</f>
        <v>-2.3886772186347782E-2</v>
      </c>
    </row>
    <row r="11" spans="1:9" x14ac:dyDescent="0.2">
      <c r="A11" s="614">
        <v>2014</v>
      </c>
      <c r="B11" s="739">
        <f>+'13. Analysis_Weather adj LF'!C19</f>
        <v>7110.208333333333</v>
      </c>
      <c r="C11" s="739">
        <f>+B11-B10</f>
        <v>197.75</v>
      </c>
      <c r="D11" s="760">
        <f>+C11/B10</f>
        <v>2.8607767376536329E-2</v>
      </c>
      <c r="E11" s="739">
        <f>+'13. Analysis_Weather adj LF'!E19</f>
        <v>68599527.920000017</v>
      </c>
      <c r="F11" s="760">
        <f>(E11-E10)/E10</f>
        <v>6.9388154226292112E-3</v>
      </c>
      <c r="G11" s="620">
        <f t="shared" si="0"/>
        <v>804.00278847900643</v>
      </c>
      <c r="H11" s="759">
        <v>2381359</v>
      </c>
      <c r="I11" s="762">
        <f>(H11-H10)/H10</f>
        <v>-0.11768742240172923</v>
      </c>
    </row>
    <row r="12" spans="1:9" ht="30" customHeight="1" x14ac:dyDescent="0.2">
      <c r="A12" s="763" t="s">
        <v>308</v>
      </c>
      <c r="B12" s="620">
        <v>7083</v>
      </c>
      <c r="C12" s="739">
        <f t="shared" si="1"/>
        <v>-27.20833333333303</v>
      </c>
      <c r="D12" s="760">
        <f t="shared" si="2"/>
        <v>-3.8266576811508851E-3</v>
      </c>
      <c r="E12" s="739">
        <v>67753410</v>
      </c>
      <c r="F12" s="760">
        <f t="shared" si="3"/>
        <v>-1.2334165345667534E-2</v>
      </c>
      <c r="G12" s="620">
        <f t="shared" si="0"/>
        <v>797.13645348016371</v>
      </c>
      <c r="H12" s="759">
        <v>2430368</v>
      </c>
      <c r="I12" s="762">
        <f t="shared" si="4"/>
        <v>2.0580265302291675E-2</v>
      </c>
    </row>
    <row r="13" spans="1:9" x14ac:dyDescent="0.2">
      <c r="A13" s="614">
        <v>2015</v>
      </c>
      <c r="B13" s="739">
        <f>+'13. Analysis_Weather adj LF'!C20</f>
        <v>7389.208333333333</v>
      </c>
      <c r="C13" s="739">
        <f>+B13-B11</f>
        <v>279</v>
      </c>
      <c r="D13" s="760">
        <f>+C13/B11</f>
        <v>3.9239356558938149E-2</v>
      </c>
      <c r="E13" s="739">
        <f>+'13. Analysis_Weather adj LF'!E20</f>
        <v>69624978.280000001</v>
      </c>
      <c r="F13" s="760">
        <f>(E13-E11)/E11</f>
        <v>1.4948358845790499E-2</v>
      </c>
      <c r="G13" s="620">
        <f t="shared" si="0"/>
        <v>785.21016888367615</v>
      </c>
      <c r="H13" s="759">
        <v>2483926</v>
      </c>
      <c r="I13" s="762">
        <f>(H13-H11)/H11</f>
        <v>4.3070784371445042E-2</v>
      </c>
    </row>
    <row r="14" spans="1:9" x14ac:dyDescent="0.2">
      <c r="A14" s="614">
        <v>2016</v>
      </c>
      <c r="B14" s="739">
        <f>+'13. Analysis_Weather adj LF'!C21</f>
        <v>7660.791666666667</v>
      </c>
      <c r="C14" s="739">
        <f t="shared" si="1"/>
        <v>271.58333333333394</v>
      </c>
      <c r="D14" s="760">
        <f t="shared" si="2"/>
        <v>3.6754050106856367E-2</v>
      </c>
      <c r="E14" s="739">
        <f>+'13. Analysis_Weather adj LF'!E21</f>
        <v>74189661.459999993</v>
      </c>
      <c r="F14" s="760">
        <f t="shared" si="3"/>
        <v>6.5560999698167408E-2</v>
      </c>
      <c r="G14" s="620">
        <f t="shared" si="0"/>
        <v>807.02779260193938</v>
      </c>
      <c r="H14" s="759">
        <v>2597709</v>
      </c>
      <c r="I14" s="762">
        <f t="shared" si="4"/>
        <v>4.5807725350916248E-2</v>
      </c>
    </row>
    <row r="15" spans="1:9" x14ac:dyDescent="0.2">
      <c r="A15" s="614">
        <v>2017</v>
      </c>
      <c r="B15" s="739">
        <f>+'13. Analysis_Weather adj LF'!C22</f>
        <v>7838.375</v>
      </c>
      <c r="C15" s="739">
        <f t="shared" si="1"/>
        <v>177.58333333333303</v>
      </c>
      <c r="D15" s="760">
        <f t="shared" si="2"/>
        <v>2.3180807031475167E-2</v>
      </c>
      <c r="E15" s="739">
        <f>+'13. Analysis_Weather adj LF'!E22</f>
        <v>71017298.550000012</v>
      </c>
      <c r="F15" s="760">
        <f t="shared" si="3"/>
        <v>-4.2760175037466493E-2</v>
      </c>
      <c r="G15" s="620">
        <f t="shared" si="0"/>
        <v>755.01723412059266</v>
      </c>
      <c r="H15" s="759">
        <v>2721715</v>
      </c>
      <c r="I15" s="762">
        <f t="shared" si="4"/>
        <v>4.7736678742692121E-2</v>
      </c>
    </row>
    <row r="16" spans="1:9" x14ac:dyDescent="0.2">
      <c r="A16" s="614" t="s">
        <v>310</v>
      </c>
      <c r="B16" s="739">
        <f>+'13. Analysis_Weather adj LF'!K23</f>
        <v>7976.375</v>
      </c>
      <c r="C16" s="739">
        <f t="shared" si="1"/>
        <v>138</v>
      </c>
      <c r="D16" s="760">
        <f t="shared" si="2"/>
        <v>1.7605689954869472E-2</v>
      </c>
      <c r="E16" s="739">
        <f>+'13. Analysis_Weather adj LF'!M23</f>
        <v>73760865.328503177</v>
      </c>
      <c r="F16" s="760">
        <f t="shared" si="3"/>
        <v>3.8632373161470591E-2</v>
      </c>
      <c r="G16" s="620">
        <f t="shared" si="0"/>
        <v>770.61807868552626</v>
      </c>
      <c r="H16" s="759">
        <f>E16*0.0033+26.86*B16*12</f>
        <v>2814356.0455840603</v>
      </c>
      <c r="I16" s="762">
        <f t="shared" si="4"/>
        <v>3.4037746635507481E-2</v>
      </c>
    </row>
    <row r="17" spans="1:9" x14ac:dyDescent="0.2">
      <c r="A17" s="631" t="s">
        <v>309</v>
      </c>
      <c r="B17" s="764">
        <f>+'13. Analysis_Weather adj LF'!K24</f>
        <v>8152.375</v>
      </c>
      <c r="C17" s="764">
        <f t="shared" si="1"/>
        <v>176</v>
      </c>
      <c r="D17" s="765">
        <f t="shared" si="2"/>
        <v>2.2065161179107052E-2</v>
      </c>
      <c r="E17" s="764">
        <f>+'13. Analysis_Weather adj LF'!M24</f>
        <v>74690535.299300596</v>
      </c>
      <c r="F17" s="765">
        <f t="shared" si="3"/>
        <v>1.2603837640149947E-2</v>
      </c>
      <c r="G17" s="621">
        <f t="shared" si="0"/>
        <v>763.48441711056182</v>
      </c>
      <c r="H17" s="766">
        <f>E17*0.0033+26.86*B17*12</f>
        <v>2874152.2764876918</v>
      </c>
      <c r="I17" s="767">
        <f t="shared" si="4"/>
        <v>2.1246860715244752E-2</v>
      </c>
    </row>
    <row r="18" spans="1:9" x14ac:dyDescent="0.2">
      <c r="A18" s="642" t="s">
        <v>313</v>
      </c>
      <c r="B18" s="774"/>
      <c r="C18" s="774"/>
      <c r="D18" s="775">
        <f>AVERAGE(D13:D17,D9:D11)</f>
        <v>2.6898384628288603E-2</v>
      </c>
      <c r="E18" s="774"/>
      <c r="F18" s="775">
        <f>AVERAGE(F13:F17,F9:F11)</f>
        <v>1.4133564685041547E-2</v>
      </c>
      <c r="G18" s="774"/>
      <c r="H18" s="774"/>
      <c r="I18" s="776">
        <f>AVERAGE(I13:I17,I9:I11)</f>
        <v>3.1365155411055869E-2</v>
      </c>
    </row>
    <row r="21" spans="1:9" x14ac:dyDescent="0.2">
      <c r="A21" s="937" t="s">
        <v>316</v>
      </c>
      <c r="B21" s="938"/>
      <c r="C21" s="938"/>
      <c r="D21" s="938"/>
      <c r="E21" s="938"/>
      <c r="F21" s="938"/>
      <c r="G21" s="938"/>
      <c r="H21" s="938"/>
      <c r="I21" s="939"/>
    </row>
    <row r="22" spans="1:9" ht="25.5" x14ac:dyDescent="0.2">
      <c r="A22" s="770" t="s">
        <v>32</v>
      </c>
      <c r="B22" s="771" t="s">
        <v>305</v>
      </c>
      <c r="C22" s="771" t="s">
        <v>306</v>
      </c>
      <c r="D22" s="771" t="s">
        <v>307</v>
      </c>
      <c r="E22" s="771" t="s">
        <v>35</v>
      </c>
      <c r="F22" s="771" t="s">
        <v>307</v>
      </c>
      <c r="G22" s="772" t="s">
        <v>311</v>
      </c>
      <c r="H22" s="772" t="s">
        <v>312</v>
      </c>
      <c r="I22" s="773" t="s">
        <v>307</v>
      </c>
    </row>
    <row r="23" spans="1:9" x14ac:dyDescent="0.2">
      <c r="A23" s="610"/>
      <c r="B23" s="636"/>
      <c r="C23" s="636"/>
      <c r="D23" s="636"/>
      <c r="E23" s="636"/>
      <c r="F23" s="636"/>
      <c r="G23" s="636"/>
      <c r="H23" s="768"/>
      <c r="I23" s="769"/>
    </row>
    <row r="24" spans="1:9" x14ac:dyDescent="0.2">
      <c r="A24" s="614">
        <v>2011</v>
      </c>
      <c r="B24" s="739">
        <f>+'13. Analysis_Weather adj LF'!C32</f>
        <v>1234.6666666666667</v>
      </c>
      <c r="C24" s="43"/>
      <c r="D24" s="43"/>
      <c r="E24" s="739">
        <f>+'13. Analysis_Weather adj LF'!E32</f>
        <v>34321035.060000002</v>
      </c>
      <c r="F24" s="43"/>
      <c r="G24" s="620">
        <f>+E24/B24/12</f>
        <v>2316.4845477861772</v>
      </c>
      <c r="H24" s="759">
        <v>1137475</v>
      </c>
      <c r="I24" s="761"/>
    </row>
    <row r="25" spans="1:9" x14ac:dyDescent="0.2">
      <c r="A25" s="614">
        <v>2012</v>
      </c>
      <c r="B25" s="739">
        <f>+'13. Analysis_Weather adj LF'!C33</f>
        <v>1268.9583333333333</v>
      </c>
      <c r="C25" s="739">
        <f>+B25-B24</f>
        <v>34.291666666666515</v>
      </c>
      <c r="D25" s="760">
        <f>+C25/B24</f>
        <v>2.7774028077753657E-2</v>
      </c>
      <c r="E25" s="739">
        <f>+'13. Analysis_Weather adj LF'!E33</f>
        <v>35374878.009999998</v>
      </c>
      <c r="F25" s="760">
        <f>(E25-E24)/E24</f>
        <v>3.0705453613437596E-2</v>
      </c>
      <c r="G25" s="620">
        <f t="shared" ref="G25:G33" si="5">+E25/B25/12</f>
        <v>2323.091644065014</v>
      </c>
      <c r="H25" s="759">
        <v>1298862</v>
      </c>
      <c r="I25" s="762">
        <f>(H25-H24)/H24</f>
        <v>0.1418817995999912</v>
      </c>
    </row>
    <row r="26" spans="1:9" x14ac:dyDescent="0.2">
      <c r="A26" s="614">
        <v>2013</v>
      </c>
      <c r="B26" s="739">
        <f>+'13. Analysis_Weather adj LF'!C34</f>
        <v>1221.0416666666667</v>
      </c>
      <c r="C26" s="739">
        <f t="shared" ref="C26:C33" si="6">+B26-B25</f>
        <v>-47.916666666666515</v>
      </c>
      <c r="D26" s="760">
        <f t="shared" ref="D26" si="7">+C26/B25</f>
        <v>-3.7760630438351546E-2</v>
      </c>
      <c r="E26" s="739">
        <f>+'13. Analysis_Weather adj LF'!E34</f>
        <v>35291130.910000004</v>
      </c>
      <c r="F26" s="760">
        <f t="shared" ref="F26:F33" si="8">(E26-E25)/E25</f>
        <v>-2.3674173512717098E-3</v>
      </c>
      <c r="G26" s="620">
        <f t="shared" si="5"/>
        <v>2408.5399017232553</v>
      </c>
      <c r="H26" s="759">
        <v>1266468</v>
      </c>
      <c r="I26" s="762">
        <f t="shared" ref="I26:I33" si="9">(H26-H25)/H25</f>
        <v>-2.4940293888034294E-2</v>
      </c>
    </row>
    <row r="27" spans="1:9" x14ac:dyDescent="0.2">
      <c r="A27" s="614">
        <v>2014</v>
      </c>
      <c r="B27" s="739">
        <f>+'13. Analysis_Weather adj LF'!C35</f>
        <v>1311.8333333333333</v>
      </c>
      <c r="C27" s="739">
        <f>+B27-B26</f>
        <v>90.791666666666515</v>
      </c>
      <c r="D27" s="760">
        <f>+C27/B26</f>
        <v>7.4355911960416188E-2</v>
      </c>
      <c r="E27" s="739">
        <f>+'13. Analysis_Weather adj LF'!E35</f>
        <v>39288460.370000005</v>
      </c>
      <c r="F27" s="760">
        <f>(E27-E26)/E26</f>
        <v>0.11326725318590819</v>
      </c>
      <c r="G27" s="620">
        <f t="shared" si="5"/>
        <v>2495.7731145978914</v>
      </c>
      <c r="H27" s="759">
        <v>1063028</v>
      </c>
      <c r="I27" s="762">
        <f>(H27-H26)/H26</f>
        <v>-0.16063572076041399</v>
      </c>
    </row>
    <row r="28" spans="1:9" ht="25.5" x14ac:dyDescent="0.2">
      <c r="A28" s="763" t="s">
        <v>308</v>
      </c>
      <c r="B28" s="620">
        <v>1291</v>
      </c>
      <c r="C28" s="739">
        <f t="shared" si="6"/>
        <v>-20.833333333333258</v>
      </c>
      <c r="D28" s="760">
        <f t="shared" ref="D28" si="10">+C28/B27</f>
        <v>-1.5881082454580048E-2</v>
      </c>
      <c r="E28" s="739">
        <v>37260698</v>
      </c>
      <c r="F28" s="760">
        <f t="shared" si="8"/>
        <v>-5.1612161711187071E-2</v>
      </c>
      <c r="G28" s="620">
        <f t="shared" si="5"/>
        <v>2405.1573715466047</v>
      </c>
      <c r="H28" s="759">
        <v>1226488</v>
      </c>
      <c r="I28" s="762">
        <f t="shared" si="9"/>
        <v>0.15376829208637965</v>
      </c>
    </row>
    <row r="29" spans="1:9" x14ac:dyDescent="0.2">
      <c r="A29" s="614">
        <v>2015</v>
      </c>
      <c r="B29" s="739">
        <f>+'13. Analysis_Weather adj LF'!C36</f>
        <v>1321.5416666666667</v>
      </c>
      <c r="C29" s="739">
        <f>+B29-B27</f>
        <v>9.7083333333334849</v>
      </c>
      <c r="D29" s="760">
        <f>+C29/B27</f>
        <v>7.400584423834445E-3</v>
      </c>
      <c r="E29" s="739">
        <f>+'13. Analysis_Weather adj LF'!E36</f>
        <v>41172287.869999997</v>
      </c>
      <c r="F29" s="760">
        <f>(E29-E27)/E27</f>
        <v>4.7948621102965161E-2</v>
      </c>
      <c r="G29" s="620">
        <f t="shared" si="5"/>
        <v>2596.2283866696093</v>
      </c>
      <c r="H29" s="759">
        <v>1084578</v>
      </c>
      <c r="I29" s="762">
        <f>(H29-H27)/H27</f>
        <v>2.0272278811094346E-2</v>
      </c>
    </row>
    <row r="30" spans="1:9" x14ac:dyDescent="0.2">
      <c r="A30" s="614">
        <v>2016</v>
      </c>
      <c r="B30" s="739">
        <f>+'13. Analysis_Weather adj LF'!C37</f>
        <v>1332.7083333333333</v>
      </c>
      <c r="C30" s="739">
        <f t="shared" si="6"/>
        <v>11.166666666666515</v>
      </c>
      <c r="D30" s="760">
        <f t="shared" ref="D30:D33" si="11">+C30/B29</f>
        <v>8.449727275593415E-3</v>
      </c>
      <c r="E30" s="739">
        <f>+'13. Analysis_Weather adj LF'!E37</f>
        <v>43510840.949999996</v>
      </c>
      <c r="F30" s="760">
        <f t="shared" si="8"/>
        <v>5.679920162279771E-2</v>
      </c>
      <c r="G30" s="620">
        <f t="shared" si="5"/>
        <v>2720.7028888541504</v>
      </c>
      <c r="H30" s="759">
        <v>1114648</v>
      </c>
      <c r="I30" s="762">
        <f t="shared" si="9"/>
        <v>2.7725069105218804E-2</v>
      </c>
    </row>
    <row r="31" spans="1:9" x14ac:dyDescent="0.2">
      <c r="A31" s="614">
        <v>2017</v>
      </c>
      <c r="B31" s="739">
        <f>+'13. Analysis_Weather adj LF'!C38</f>
        <v>1331.6666666666667</v>
      </c>
      <c r="C31" s="739">
        <f t="shared" si="6"/>
        <v>-1.0416666666665151</v>
      </c>
      <c r="D31" s="760">
        <f t="shared" si="11"/>
        <v>-7.8161638267926724E-4</v>
      </c>
      <c r="E31" s="739">
        <f>+'13. Analysis_Weather adj LF'!E38</f>
        <v>40733064.149999999</v>
      </c>
      <c r="F31" s="760">
        <f t="shared" si="8"/>
        <v>-6.38410276462376E-2</v>
      </c>
      <c r="G31" s="620">
        <f t="shared" si="5"/>
        <v>2549.0027628285357</v>
      </c>
      <c r="H31" s="759">
        <v>1097530</v>
      </c>
      <c r="I31" s="762">
        <f t="shared" si="9"/>
        <v>-1.5357314596177448E-2</v>
      </c>
    </row>
    <row r="32" spans="1:9" x14ac:dyDescent="0.2">
      <c r="A32" s="614" t="s">
        <v>310</v>
      </c>
      <c r="B32" s="739">
        <f>+'13. Analysis_Weather adj LF'!K39</f>
        <v>1336.6666666666667</v>
      </c>
      <c r="C32" s="739">
        <f t="shared" si="6"/>
        <v>5</v>
      </c>
      <c r="D32" s="760">
        <f t="shared" si="11"/>
        <v>3.7546933667083854E-3</v>
      </c>
      <c r="E32" s="739">
        <f>+'13. Analysis_Weather adj LF'!M39</f>
        <v>42306679.084252924</v>
      </c>
      <c r="F32" s="760">
        <f t="shared" si="8"/>
        <v>3.8632373161470723E-2</v>
      </c>
      <c r="G32" s="620">
        <f t="shared" si="5"/>
        <v>2637.5735089933241</v>
      </c>
      <c r="H32" s="759">
        <f>E32*0.0118+39.41*B32*12</f>
        <v>1131355.2131941845</v>
      </c>
      <c r="I32" s="762">
        <f t="shared" si="9"/>
        <v>3.0819397368804926E-2</v>
      </c>
    </row>
    <row r="33" spans="1:9" x14ac:dyDescent="0.2">
      <c r="A33" s="631" t="s">
        <v>309</v>
      </c>
      <c r="B33" s="764">
        <f>+'13. Analysis_Weather adj LF'!K40</f>
        <v>1341.6666666666667</v>
      </c>
      <c r="C33" s="764">
        <f t="shared" si="6"/>
        <v>5</v>
      </c>
      <c r="D33" s="765">
        <f t="shared" si="11"/>
        <v>3.740648379052369E-3</v>
      </c>
      <c r="E33" s="764">
        <f>+'13. Analysis_Weather adj LF'!M40</f>
        <v>42839905.598524772</v>
      </c>
      <c r="F33" s="765">
        <f t="shared" si="8"/>
        <v>1.2603837640149862E-2</v>
      </c>
      <c r="G33" s="621">
        <f t="shared" si="5"/>
        <v>2660.8637017717247</v>
      </c>
      <c r="H33" s="759">
        <f>E33*0.0118+39.41*B33*12</f>
        <v>1140011.8860625923</v>
      </c>
      <c r="I33" s="767">
        <f t="shared" si="9"/>
        <v>7.6515958626002072E-3</v>
      </c>
    </row>
    <row r="34" spans="1:9" x14ac:dyDescent="0.2">
      <c r="A34" s="642" t="s">
        <v>313</v>
      </c>
      <c r="B34" s="774"/>
      <c r="C34" s="774"/>
      <c r="D34" s="775">
        <f>AVERAGE(D29:D33,D25:D27)</f>
        <v>1.0866668332790956E-2</v>
      </c>
      <c r="E34" s="774"/>
      <c r="F34" s="775">
        <f>AVERAGE(F29:F33,F25:F27)</f>
        <v>2.921853691615249E-2</v>
      </c>
      <c r="G34" s="774"/>
      <c r="H34" s="774"/>
      <c r="I34" s="776">
        <f>AVERAGE(I29:I33,I25:I27)</f>
        <v>3.4271014378854693E-3</v>
      </c>
    </row>
    <row r="37" spans="1:9" x14ac:dyDescent="0.2">
      <c r="A37" s="937" t="s">
        <v>314</v>
      </c>
      <c r="B37" s="938"/>
      <c r="C37" s="938"/>
      <c r="D37" s="938"/>
      <c r="E37" s="938"/>
      <c r="F37" s="938"/>
      <c r="G37" s="938"/>
      <c r="H37" s="938"/>
      <c r="I37" s="939"/>
    </row>
    <row r="38" spans="1:9" ht="25.5" x14ac:dyDescent="0.2">
      <c r="A38" s="770" t="s">
        <v>32</v>
      </c>
      <c r="B38" s="771" t="s">
        <v>305</v>
      </c>
      <c r="C38" s="771" t="s">
        <v>306</v>
      </c>
      <c r="D38" s="771" t="s">
        <v>307</v>
      </c>
      <c r="E38" s="771" t="s">
        <v>36</v>
      </c>
      <c r="F38" s="771" t="s">
        <v>307</v>
      </c>
      <c r="G38" s="772" t="s">
        <v>317</v>
      </c>
      <c r="H38" s="772" t="s">
        <v>312</v>
      </c>
      <c r="I38" s="773" t="s">
        <v>307</v>
      </c>
    </row>
    <row r="39" spans="1:9" x14ac:dyDescent="0.2">
      <c r="A39" s="610"/>
      <c r="B39" s="636"/>
      <c r="C39" s="636"/>
      <c r="D39" s="636"/>
      <c r="E39" s="636"/>
      <c r="F39" s="636"/>
      <c r="G39" s="636"/>
      <c r="H39" s="768"/>
      <c r="I39" s="769"/>
    </row>
    <row r="40" spans="1:9" x14ac:dyDescent="0.2">
      <c r="A40" s="614">
        <v>2011</v>
      </c>
      <c r="B40" s="739">
        <f>+'13. Analysis_Weather adj LF'!C48</f>
        <v>120.04166666666667</v>
      </c>
      <c r="C40" s="43"/>
      <c r="D40" s="43"/>
      <c r="E40" s="739">
        <f>+'13. Analysis_Weather adj LF'!O48</f>
        <v>199917.50000000003</v>
      </c>
      <c r="F40" s="43"/>
      <c r="G40" s="620">
        <f>+E40/B40/12</f>
        <v>138.78340853870185</v>
      </c>
      <c r="H40" s="759">
        <v>953246</v>
      </c>
      <c r="I40" s="761"/>
    </row>
    <row r="41" spans="1:9" x14ac:dyDescent="0.2">
      <c r="A41" s="614">
        <v>2012</v>
      </c>
      <c r="B41" s="739">
        <f>+'13. Analysis_Weather adj LF'!C49</f>
        <v>117.70833333333333</v>
      </c>
      <c r="C41" s="739">
        <f>+B41-B40</f>
        <v>-2.3333333333333428</v>
      </c>
      <c r="D41" s="760">
        <f>+C41/B40</f>
        <v>-1.9437695244706777E-2</v>
      </c>
      <c r="E41" s="739">
        <f>+'13. Analysis_Weather adj LF'!O49</f>
        <v>202737.81</v>
      </c>
      <c r="F41" s="760">
        <f>(E41-E40)/E40</f>
        <v>1.4107369289831896E-2</v>
      </c>
      <c r="G41" s="620">
        <f t="shared" ref="G41:G49" si="12">+E41/B41/12</f>
        <v>143.53119292035399</v>
      </c>
      <c r="H41" s="759">
        <v>954393</v>
      </c>
      <c r="I41" s="762">
        <f>(H41-H40)/H40</f>
        <v>1.2032570815927893E-3</v>
      </c>
    </row>
    <row r="42" spans="1:9" x14ac:dyDescent="0.2">
      <c r="A42" s="614">
        <v>2013</v>
      </c>
      <c r="B42" s="739">
        <f>+'13. Analysis_Weather adj LF'!C50</f>
        <v>117.875</v>
      </c>
      <c r="C42" s="739">
        <f t="shared" ref="C42:C49" si="13">+B42-B41</f>
        <v>0.1666666666666714</v>
      </c>
      <c r="D42" s="760">
        <f t="shared" ref="D42" si="14">+C42/B41</f>
        <v>1.4159292035398634E-3</v>
      </c>
      <c r="E42" s="739">
        <f>+'13. Analysis_Weather adj LF'!O50</f>
        <v>204592.81999999998</v>
      </c>
      <c r="F42" s="760">
        <f t="shared" ref="F42:F49" si="15">(E42-E41)/E41</f>
        <v>9.1497979582593897E-3</v>
      </c>
      <c r="G42" s="620">
        <f t="shared" si="12"/>
        <v>144.63967479674795</v>
      </c>
      <c r="H42" s="759">
        <v>947250</v>
      </c>
      <c r="I42" s="762">
        <f t="shared" ref="I42:I49" si="16">(H42-H41)/H41</f>
        <v>-7.4843382128745705E-3</v>
      </c>
    </row>
    <row r="43" spans="1:9" x14ac:dyDescent="0.2">
      <c r="A43" s="614">
        <v>2014</v>
      </c>
      <c r="B43" s="739">
        <f>+'13. Analysis_Weather adj LF'!C51</f>
        <v>129.375</v>
      </c>
      <c r="C43" s="739">
        <f>+B43-B42</f>
        <v>11.5</v>
      </c>
      <c r="D43" s="760">
        <f>+C43/B42</f>
        <v>9.7560975609756101E-2</v>
      </c>
      <c r="E43" s="739">
        <f>+'13. Analysis_Weather adj LF'!O51</f>
        <v>208042.52000000002</v>
      </c>
      <c r="F43" s="760">
        <f>(E43-E42)/E42</f>
        <v>1.6861295523469697E-2</v>
      </c>
      <c r="G43" s="620">
        <f t="shared" si="12"/>
        <v>134.00484380032208</v>
      </c>
      <c r="H43" s="759">
        <v>842669</v>
      </c>
      <c r="I43" s="762">
        <f>(H43-H42)/H42</f>
        <v>-0.11040485616257588</v>
      </c>
    </row>
    <row r="44" spans="1:9" ht="25.5" x14ac:dyDescent="0.2">
      <c r="A44" s="763" t="s">
        <v>308</v>
      </c>
      <c r="B44" s="620">
        <v>125</v>
      </c>
      <c r="C44" s="739">
        <f t="shared" si="13"/>
        <v>-4.375</v>
      </c>
      <c r="D44" s="760">
        <f t="shared" ref="D44" si="17">+C44/B43</f>
        <v>-3.3816425120772944E-2</v>
      </c>
      <c r="E44" s="739">
        <v>201178</v>
      </c>
      <c r="F44" s="760">
        <f t="shared" si="15"/>
        <v>-3.2995754906256752E-2</v>
      </c>
      <c r="G44" s="620">
        <f t="shared" si="12"/>
        <v>134.11866666666666</v>
      </c>
      <c r="H44" s="759">
        <f>E44*2.1025+266.42*B44*12</f>
        <v>822606.745</v>
      </c>
      <c r="I44" s="762">
        <f t="shared" si="16"/>
        <v>-2.3807989851293929E-2</v>
      </c>
    </row>
    <row r="45" spans="1:9" x14ac:dyDescent="0.2">
      <c r="A45" s="614">
        <v>2015</v>
      </c>
      <c r="B45" s="739">
        <f>+'13. Analysis_Weather adj LF'!C52</f>
        <v>128</v>
      </c>
      <c r="C45" s="739">
        <f>+B45-B43</f>
        <v>-1.375</v>
      </c>
      <c r="D45" s="760">
        <f>+C45/B43</f>
        <v>-1.0628019323671498E-2</v>
      </c>
      <c r="E45" s="739">
        <f>+'13. Analysis_Weather adj LF'!O52</f>
        <v>213948.53999999998</v>
      </c>
      <c r="F45" s="760">
        <f>(E45-E43)/E43</f>
        <v>2.8388523653722134E-2</v>
      </c>
      <c r="G45" s="620">
        <f t="shared" si="12"/>
        <v>139.28941406249999</v>
      </c>
      <c r="H45" s="759">
        <v>825927</v>
      </c>
      <c r="I45" s="762">
        <f>(H45-H43)/H43</f>
        <v>-1.9867824733080248E-2</v>
      </c>
    </row>
    <row r="46" spans="1:9" x14ac:dyDescent="0.2">
      <c r="A46" s="614">
        <v>2016</v>
      </c>
      <c r="B46" s="739">
        <f>+'13. Analysis_Weather adj LF'!C53</f>
        <v>121.5</v>
      </c>
      <c r="C46" s="739">
        <f t="shared" si="13"/>
        <v>-6.5</v>
      </c>
      <c r="D46" s="760">
        <f t="shared" ref="D46:D49" si="18">+C46/B45</f>
        <v>-5.078125E-2</v>
      </c>
      <c r="E46" s="739">
        <f>+'13. Analysis_Weather adj LF'!O53</f>
        <v>211155.36</v>
      </c>
      <c r="F46" s="760">
        <f t="shared" si="15"/>
        <v>-1.3055382383072085E-2</v>
      </c>
      <c r="G46" s="620">
        <f t="shared" si="12"/>
        <v>144.82534979423869</v>
      </c>
      <c r="H46" s="759">
        <v>788981</v>
      </c>
      <c r="I46" s="762">
        <f t="shared" si="16"/>
        <v>-4.4732766939451066E-2</v>
      </c>
    </row>
    <row r="47" spans="1:9" x14ac:dyDescent="0.2">
      <c r="A47" s="614">
        <v>2017</v>
      </c>
      <c r="B47" s="739">
        <f>+'13. Analysis_Weather adj LF'!C54</f>
        <v>128.95833333333334</v>
      </c>
      <c r="C47" s="739">
        <f t="shared" si="13"/>
        <v>7.4583333333333428</v>
      </c>
      <c r="D47" s="760">
        <f t="shared" si="18"/>
        <v>6.1385459533607759E-2</v>
      </c>
      <c r="E47" s="739">
        <f>+'13. Analysis_Weather adj LF'!O54</f>
        <v>211533.96999999997</v>
      </c>
      <c r="F47" s="760">
        <f t="shared" si="15"/>
        <v>1.7930399682962632E-3</v>
      </c>
      <c r="G47" s="620">
        <f t="shared" si="12"/>
        <v>136.69400323101775</v>
      </c>
      <c r="H47" s="759">
        <v>816196</v>
      </c>
      <c r="I47" s="762">
        <f t="shared" si="16"/>
        <v>3.4493859801440083E-2</v>
      </c>
    </row>
    <row r="48" spans="1:9" x14ac:dyDescent="0.2">
      <c r="A48" s="614" t="s">
        <v>310</v>
      </c>
      <c r="B48" s="739">
        <f>+'13. Analysis_Weather adj LF'!K55</f>
        <v>130.50755221180745</v>
      </c>
      <c r="C48" s="739">
        <f t="shared" si="13"/>
        <v>1.5492188784741074</v>
      </c>
      <c r="D48" s="760">
        <f t="shared" si="18"/>
        <v>1.2013328944548813E-2</v>
      </c>
      <c r="E48" s="739">
        <f>+'13. Analysis_Weather adj LF'!O55</f>
        <v>221276.70912632582</v>
      </c>
      <c r="F48" s="760">
        <f t="shared" si="15"/>
        <v>4.6057562888484761E-2</v>
      </c>
      <c r="G48" s="620">
        <f t="shared" si="12"/>
        <v>141.29240375760298</v>
      </c>
      <c r="H48" s="759">
        <f>E48*2.2226+281.65*B48*12</f>
        <v>932899.03866963857</v>
      </c>
      <c r="I48" s="762">
        <f t="shared" si="16"/>
        <v>0.14298408552558278</v>
      </c>
    </row>
    <row r="49" spans="1:9" x14ac:dyDescent="0.2">
      <c r="A49" s="631" t="s">
        <v>309</v>
      </c>
      <c r="B49" s="764">
        <f>+'13. Analysis_Weather adj LF'!K56</f>
        <v>131</v>
      </c>
      <c r="C49" s="764">
        <f t="shared" si="13"/>
        <v>0.49244778819254975</v>
      </c>
      <c r="D49" s="765">
        <f t="shared" si="18"/>
        <v>3.7733279020767379E-3</v>
      </c>
      <c r="E49" s="739">
        <f>+'13. Analysis_Weather adj LF'!O56</f>
        <v>217115.48764996644</v>
      </c>
      <c r="F49" s="765">
        <f t="shared" si="15"/>
        <v>-1.8805510497644642E-2</v>
      </c>
      <c r="G49" s="621">
        <f t="shared" si="12"/>
        <v>138.11417789438067</v>
      </c>
      <c r="H49" s="759">
        <f>E49*2.2226+281.65*B49*12</f>
        <v>925314.68285081536</v>
      </c>
      <c r="I49" s="767">
        <f t="shared" si="16"/>
        <v>-8.1298784803539824E-3</v>
      </c>
    </row>
    <row r="50" spans="1:9" x14ac:dyDescent="0.2">
      <c r="A50" s="642" t="s">
        <v>313</v>
      </c>
      <c r="B50" s="774"/>
      <c r="C50" s="774"/>
      <c r="D50" s="775">
        <f>AVERAGE(D45:D49,D41:D43)</f>
        <v>1.1912757078143875E-2</v>
      </c>
      <c r="E50" s="774"/>
      <c r="F50" s="775">
        <f>AVERAGE(F45:F49,F41:F43)</f>
        <v>1.0562087050168428E-2</v>
      </c>
      <c r="G50" s="774"/>
      <c r="H50" s="774"/>
      <c r="I50" s="776">
        <f>AVERAGE(I45:I49,I41:I43)</f>
        <v>-1.4923077649650132E-3</v>
      </c>
    </row>
    <row r="53" spans="1:9" x14ac:dyDescent="0.2">
      <c r="A53" s="937" t="s">
        <v>80</v>
      </c>
      <c r="B53" s="938"/>
      <c r="C53" s="938"/>
      <c r="D53" s="938"/>
      <c r="E53" s="938"/>
      <c r="F53" s="938"/>
      <c r="G53" s="938"/>
      <c r="H53" s="938"/>
      <c r="I53" s="939"/>
    </row>
    <row r="54" spans="1:9" ht="25.5" x14ac:dyDescent="0.2">
      <c r="A54" s="770" t="s">
        <v>32</v>
      </c>
      <c r="B54" s="771" t="s">
        <v>305</v>
      </c>
      <c r="C54" s="771" t="s">
        <v>306</v>
      </c>
      <c r="D54" s="771" t="s">
        <v>307</v>
      </c>
      <c r="E54" s="771" t="s">
        <v>35</v>
      </c>
      <c r="F54" s="771" t="s">
        <v>307</v>
      </c>
      <c r="G54" s="772" t="s">
        <v>311</v>
      </c>
      <c r="H54" s="772" t="s">
        <v>312</v>
      </c>
      <c r="I54" s="773" t="s">
        <v>307</v>
      </c>
    </row>
    <row r="55" spans="1:9" x14ac:dyDescent="0.2">
      <c r="A55" s="610"/>
      <c r="B55" s="636"/>
      <c r="C55" s="636"/>
      <c r="D55" s="636"/>
      <c r="E55" s="636"/>
      <c r="F55" s="636"/>
      <c r="G55" s="636"/>
      <c r="H55" s="768"/>
      <c r="I55" s="769"/>
    </row>
    <row r="56" spans="1:9" x14ac:dyDescent="0.2">
      <c r="A56" s="614">
        <v>2011</v>
      </c>
      <c r="B56" s="739">
        <f>+'13. Analysis_Weather adj LF'!C64</f>
        <v>22.083333333333332</v>
      </c>
      <c r="C56" s="43"/>
      <c r="D56" s="43"/>
      <c r="E56" s="739">
        <f>+'13. Analysis_Weather adj LF'!E64</f>
        <v>225362.2</v>
      </c>
      <c r="F56" s="43"/>
      <c r="G56" s="620">
        <f>+E56/B56/12</f>
        <v>850.42339622641521</v>
      </c>
      <c r="H56" s="759">
        <v>17559</v>
      </c>
      <c r="I56" s="761"/>
    </row>
    <row r="57" spans="1:9" x14ac:dyDescent="0.2">
      <c r="A57" s="614">
        <v>2012</v>
      </c>
      <c r="B57" s="739">
        <f>+'13. Analysis_Weather adj LF'!C65</f>
        <v>22</v>
      </c>
      <c r="C57" s="739">
        <f>+B57-B56</f>
        <v>-8.3333333333332149E-2</v>
      </c>
      <c r="D57" s="760">
        <f>+C57/B56</f>
        <v>-3.773584905660324E-3</v>
      </c>
      <c r="E57" s="739">
        <f>+'13. Analysis_Weather adj LF'!E65</f>
        <v>226393.8</v>
      </c>
      <c r="F57" s="760">
        <f>(E57-E56)/E56</f>
        <v>4.5775200987564759E-3</v>
      </c>
      <c r="G57" s="620">
        <f t="shared" ref="G57:G65" si="19">+E57/B57/12</f>
        <v>857.55227272727268</v>
      </c>
      <c r="H57" s="759">
        <v>15897</v>
      </c>
      <c r="I57" s="762">
        <f>(H57-H56)/H56</f>
        <v>-9.4652315052110025E-2</v>
      </c>
    </row>
    <row r="58" spans="1:9" x14ac:dyDescent="0.2">
      <c r="A58" s="614">
        <v>2013</v>
      </c>
      <c r="B58" s="739">
        <f>+'13. Analysis_Weather adj LF'!C66</f>
        <v>21.375</v>
      </c>
      <c r="C58" s="739">
        <f t="shared" ref="C58:C65" si="20">+B58-B57</f>
        <v>-0.625</v>
      </c>
      <c r="D58" s="760">
        <f t="shared" ref="D58" si="21">+C58/B57</f>
        <v>-2.8409090909090908E-2</v>
      </c>
      <c r="E58" s="739">
        <f>+'13. Analysis_Weather adj LF'!E66</f>
        <v>234467.23</v>
      </c>
      <c r="F58" s="760">
        <f t="shared" ref="F58:F65" si="22">(E58-E57)/E57</f>
        <v>3.5661003084006819E-2</v>
      </c>
      <c r="G58" s="620">
        <f t="shared" si="19"/>
        <v>914.10226120857703</v>
      </c>
      <c r="H58" s="759">
        <v>17526</v>
      </c>
      <c r="I58" s="762">
        <f t="shared" ref="I58:I65" si="23">(H58-H57)/H57</f>
        <v>0.10247216455935082</v>
      </c>
    </row>
    <row r="59" spans="1:9" x14ac:dyDescent="0.2">
      <c r="A59" s="614">
        <v>2014</v>
      </c>
      <c r="B59" s="739">
        <f>+'13. Analysis_Weather adj LF'!C67</f>
        <v>21.625</v>
      </c>
      <c r="C59" s="739">
        <f>+B59-B58</f>
        <v>0.25</v>
      </c>
      <c r="D59" s="760">
        <f>+C59/B58</f>
        <v>1.1695906432748537E-2</v>
      </c>
      <c r="E59" s="739">
        <f>+'13. Analysis_Weather adj LF'!E67</f>
        <v>230816.74</v>
      </c>
      <c r="F59" s="760">
        <f>(E59-E58)/E58</f>
        <v>-1.5569297253181263E-2</v>
      </c>
      <c r="G59" s="620">
        <f t="shared" si="19"/>
        <v>889.46720616570326</v>
      </c>
      <c r="H59" s="759">
        <v>18069</v>
      </c>
      <c r="I59" s="762">
        <f>(H59-H58)/H58</f>
        <v>3.0982540225950018E-2</v>
      </c>
    </row>
    <row r="60" spans="1:9" ht="25.5" x14ac:dyDescent="0.2">
      <c r="A60" s="763" t="s">
        <v>308</v>
      </c>
      <c r="B60" s="620">
        <v>22</v>
      </c>
      <c r="C60" s="739">
        <f t="shared" si="20"/>
        <v>0.375</v>
      </c>
      <c r="D60" s="760">
        <f t="shared" ref="D60" si="24">+C60/B59</f>
        <v>1.7341040462427744E-2</v>
      </c>
      <c r="E60" s="739">
        <v>240322</v>
      </c>
      <c r="F60" s="760">
        <f t="shared" si="22"/>
        <v>4.1180981933979351E-2</v>
      </c>
      <c r="G60" s="620">
        <f t="shared" si="19"/>
        <v>910.31060606060601</v>
      </c>
      <c r="H60" s="759">
        <v>12312</v>
      </c>
      <c r="I60" s="762">
        <f t="shared" si="23"/>
        <v>-0.31861198738170349</v>
      </c>
    </row>
    <row r="61" spans="1:9" x14ac:dyDescent="0.2">
      <c r="A61" s="614">
        <v>2015</v>
      </c>
      <c r="B61" s="739">
        <f>+'13. Analysis_Weather adj LF'!C68</f>
        <v>20.208333333333332</v>
      </c>
      <c r="C61" s="739">
        <f>+B61-B59</f>
        <v>-1.4166666666666679</v>
      </c>
      <c r="D61" s="760">
        <f>+C61/B59</f>
        <v>-6.5510597302504872E-2</v>
      </c>
      <c r="E61" s="739">
        <f>+'13. Analysis_Weather adj LF'!E68</f>
        <v>224901.2</v>
      </c>
      <c r="F61" s="760">
        <f>(E61-E59)/E59</f>
        <v>-2.5628730394511159E-2</v>
      </c>
      <c r="G61" s="620">
        <f t="shared" si="19"/>
        <v>927.4276288659795</v>
      </c>
      <c r="H61" s="759">
        <v>6682</v>
      </c>
      <c r="I61" s="762">
        <f>(H61-H59)/H59</f>
        <v>-0.6301953622225912</v>
      </c>
    </row>
    <row r="62" spans="1:9" x14ac:dyDescent="0.2">
      <c r="A62" s="614">
        <v>2016</v>
      </c>
      <c r="B62" s="739">
        <f>+'13. Analysis_Weather adj LF'!C69</f>
        <v>17.708333333333332</v>
      </c>
      <c r="C62" s="739">
        <f t="shared" si="20"/>
        <v>-2.5</v>
      </c>
      <c r="D62" s="760">
        <f t="shared" ref="D62:D65" si="25">+C62/B61</f>
        <v>-0.12371134020618557</v>
      </c>
      <c r="E62" s="739">
        <f>+'13. Analysis_Weather adj LF'!E69</f>
        <v>224075.16999999998</v>
      </c>
      <c r="F62" s="760">
        <f t="shared" si="22"/>
        <v>-3.6728572368668016E-3</v>
      </c>
      <c r="G62" s="620">
        <f t="shared" si="19"/>
        <v>1054.4713882352942</v>
      </c>
      <c r="H62" s="759">
        <v>2134</v>
      </c>
      <c r="I62" s="762">
        <f t="shared" si="23"/>
        <v>-0.68063454055671957</v>
      </c>
    </row>
    <row r="63" spans="1:9" x14ac:dyDescent="0.2">
      <c r="A63" s="614">
        <v>2017</v>
      </c>
      <c r="B63" s="739">
        <f>+'13. Analysis_Weather adj LF'!C70</f>
        <v>21.25</v>
      </c>
      <c r="C63" s="739">
        <f t="shared" si="20"/>
        <v>3.5416666666666679</v>
      </c>
      <c r="D63" s="760">
        <f t="shared" si="25"/>
        <v>0.20000000000000007</v>
      </c>
      <c r="E63" s="739">
        <f>+'13. Analysis_Weather adj LF'!E70</f>
        <v>250759.37</v>
      </c>
      <c r="F63" s="760">
        <f t="shared" si="22"/>
        <v>0.11908592995823684</v>
      </c>
      <c r="G63" s="620">
        <f t="shared" si="19"/>
        <v>983.37007843137246</v>
      </c>
      <c r="H63" s="759">
        <v>7674</v>
      </c>
      <c r="I63" s="762">
        <f t="shared" si="23"/>
        <v>2.5960637300843485</v>
      </c>
    </row>
    <row r="64" spans="1:9" x14ac:dyDescent="0.2">
      <c r="A64" s="614" t="s">
        <v>310</v>
      </c>
      <c r="B64" s="739">
        <f>+'13. Analysis_Weather adj LF'!K71</f>
        <v>26</v>
      </c>
      <c r="C64" s="739">
        <f t="shared" si="20"/>
        <v>4.75</v>
      </c>
      <c r="D64" s="760">
        <f t="shared" si="25"/>
        <v>0.22352941176470589</v>
      </c>
      <c r="E64" s="739">
        <f>+'13. Analysis_Weather adj LF'!M71</f>
        <v>251508.00000000023</v>
      </c>
      <c r="F64" s="760">
        <f t="shared" si="22"/>
        <v>2.9854517500193015E-3</v>
      </c>
      <c r="G64" s="620">
        <f t="shared" si="19"/>
        <v>806.11538461538532</v>
      </c>
      <c r="H64" s="759">
        <f>E64*0.0064+21.2*B64*12</f>
        <v>8224.0512000000017</v>
      </c>
      <c r="I64" s="762">
        <f t="shared" si="23"/>
        <v>7.1677247849882941E-2</v>
      </c>
    </row>
    <row r="65" spans="1:9" x14ac:dyDescent="0.2">
      <c r="A65" s="631" t="s">
        <v>309</v>
      </c>
      <c r="B65" s="764">
        <f>+'13. Analysis_Weather adj LF'!K72</f>
        <v>26</v>
      </c>
      <c r="C65" s="764">
        <f t="shared" si="20"/>
        <v>0</v>
      </c>
      <c r="D65" s="765">
        <f t="shared" si="25"/>
        <v>0</v>
      </c>
      <c r="E65" s="764">
        <f>+'13. Analysis_Weather adj LF'!M72</f>
        <v>251508.00000000023</v>
      </c>
      <c r="F65" s="765">
        <f t="shared" si="22"/>
        <v>0</v>
      </c>
      <c r="G65" s="621">
        <f t="shared" si="19"/>
        <v>806.11538461538532</v>
      </c>
      <c r="H65" s="759">
        <f>E65*0.0064+21.2*B65*12</f>
        <v>8224.0512000000017</v>
      </c>
      <c r="I65" s="767">
        <f t="shared" si="23"/>
        <v>0</v>
      </c>
    </row>
    <row r="66" spans="1:9" x14ac:dyDescent="0.2">
      <c r="A66" s="642" t="s">
        <v>313</v>
      </c>
      <c r="B66" s="774"/>
      <c r="C66" s="774"/>
      <c r="D66" s="775">
        <f>AVERAGE(D61:D65,D57:D59)</f>
        <v>2.6727588109251604E-2</v>
      </c>
      <c r="E66" s="774"/>
      <c r="F66" s="775">
        <f>AVERAGE(F61:F65,F57:F59)</f>
        <v>1.4679877500807528E-2</v>
      </c>
      <c r="G66" s="774"/>
      <c r="H66" s="774"/>
      <c r="I66" s="776">
        <f>AVERAGE(I61:I65,I57:I59)</f>
        <v>0.17446418311101392</v>
      </c>
    </row>
    <row r="69" spans="1:9" x14ac:dyDescent="0.2">
      <c r="A69" s="937" t="s">
        <v>290</v>
      </c>
      <c r="B69" s="938"/>
      <c r="C69" s="938"/>
      <c r="D69" s="938"/>
      <c r="E69" s="938"/>
      <c r="F69" s="938"/>
      <c r="G69" s="938"/>
      <c r="H69" s="938"/>
      <c r="I69" s="939"/>
    </row>
    <row r="70" spans="1:9" ht="25.5" x14ac:dyDescent="0.2">
      <c r="A70" s="770" t="s">
        <v>32</v>
      </c>
      <c r="B70" s="771" t="s">
        <v>305</v>
      </c>
      <c r="C70" s="771" t="s">
        <v>306</v>
      </c>
      <c r="D70" s="771" t="s">
        <v>307</v>
      </c>
      <c r="E70" s="771" t="s">
        <v>36</v>
      </c>
      <c r="F70" s="771" t="s">
        <v>307</v>
      </c>
      <c r="G70" s="772" t="s">
        <v>317</v>
      </c>
      <c r="H70" s="772" t="s">
        <v>312</v>
      </c>
      <c r="I70" s="773" t="s">
        <v>307</v>
      </c>
    </row>
    <row r="71" spans="1:9" x14ac:dyDescent="0.2">
      <c r="A71" s="610"/>
      <c r="B71" s="636"/>
      <c r="C71" s="636"/>
      <c r="D71" s="636"/>
      <c r="E71" s="636"/>
      <c r="F71" s="636"/>
      <c r="G71" s="636"/>
      <c r="H71" s="768"/>
      <c r="I71" s="769"/>
    </row>
    <row r="72" spans="1:9" x14ac:dyDescent="0.2">
      <c r="A72" s="614">
        <v>2011</v>
      </c>
      <c r="B72" s="739">
        <f>+'13. Analysis_Weather adj LF'!C80</f>
        <v>1946</v>
      </c>
      <c r="C72" s="43"/>
      <c r="D72" s="43"/>
      <c r="E72" s="739">
        <f>+'13. Analysis_Weather adj LF'!O80</f>
        <v>3221.89</v>
      </c>
      <c r="F72" s="43"/>
      <c r="G72" s="777">
        <f>+E72/B72/12</f>
        <v>0.13797062350119904</v>
      </c>
      <c r="H72" s="759">
        <v>145764</v>
      </c>
      <c r="I72" s="761"/>
    </row>
    <row r="73" spans="1:9" x14ac:dyDescent="0.2">
      <c r="A73" s="614">
        <v>2012</v>
      </c>
      <c r="B73" s="739">
        <f>+'13. Analysis_Weather adj LF'!C81</f>
        <v>1946.75</v>
      </c>
      <c r="C73" s="739">
        <f>+B73-B72</f>
        <v>0.75</v>
      </c>
      <c r="D73" s="760">
        <f>+C73/B72</f>
        <v>3.8540596094552927E-4</v>
      </c>
      <c r="E73" s="739">
        <f>+'13. Analysis_Weather adj LF'!O81</f>
        <v>3238.8</v>
      </c>
      <c r="F73" s="760">
        <f>(E73-E72)/E72</f>
        <v>5.2484721700617682E-3</v>
      </c>
      <c r="G73" s="777">
        <f t="shared" ref="G73:G81" si="26">+E73/B73/12</f>
        <v>0.13864132528573264</v>
      </c>
      <c r="H73" s="759">
        <v>191360</v>
      </c>
      <c r="I73" s="762">
        <f>(H73-H72)/H72</f>
        <v>0.31280700310090281</v>
      </c>
    </row>
    <row r="74" spans="1:9" x14ac:dyDescent="0.2">
      <c r="A74" s="614">
        <v>2013</v>
      </c>
      <c r="B74" s="739">
        <f>+'13. Analysis_Weather adj LF'!C82</f>
        <v>1948.75</v>
      </c>
      <c r="C74" s="739">
        <f t="shared" ref="C74:C81" si="27">+B74-B73</f>
        <v>2</v>
      </c>
      <c r="D74" s="760">
        <f t="shared" ref="D74" si="28">+C74/B73</f>
        <v>1.0273532811095416E-3</v>
      </c>
      <c r="E74" s="739">
        <f>+'13. Analysis_Weather adj LF'!O82</f>
        <v>3256.79</v>
      </c>
      <c r="F74" s="760">
        <f t="shared" ref="F74:F81" si="29">(E74-E73)/E73</f>
        <v>5.5545263677904723E-3</v>
      </c>
      <c r="G74" s="777">
        <f t="shared" si="26"/>
        <v>0.13926833440239469</v>
      </c>
      <c r="H74" s="759">
        <v>177934</v>
      </c>
      <c r="I74" s="762">
        <f t="shared" ref="I74:I81" si="30">(H74-H73)/H73</f>
        <v>-7.0160953177257526E-2</v>
      </c>
    </row>
    <row r="75" spans="1:9" x14ac:dyDescent="0.2">
      <c r="A75" s="614">
        <v>2014</v>
      </c>
      <c r="B75" s="739">
        <f>+'13. Analysis_Weather adj LF'!C83</f>
        <v>2051.3333333333335</v>
      </c>
      <c r="C75" s="739">
        <f>+B75-B74</f>
        <v>102.58333333333348</v>
      </c>
      <c r="D75" s="760">
        <f>+C75/B74</f>
        <v>5.2640581569382158E-2</v>
      </c>
      <c r="E75" s="739">
        <f>+'13. Analysis_Weather adj LF'!O83</f>
        <v>3238.8</v>
      </c>
      <c r="F75" s="760">
        <f>(E75-E74)/E74</f>
        <v>-5.5238440304716556E-3</v>
      </c>
      <c r="G75" s="777">
        <f t="shared" si="26"/>
        <v>0.13157296067598309</v>
      </c>
      <c r="H75" s="759">
        <v>245028</v>
      </c>
      <c r="I75" s="762">
        <f>(H75-H74)/H74</f>
        <v>0.37707239763058215</v>
      </c>
    </row>
    <row r="76" spans="1:9" ht="25.5" x14ac:dyDescent="0.2">
      <c r="A76" s="763" t="s">
        <v>308</v>
      </c>
      <c r="B76" s="620">
        <v>2031</v>
      </c>
      <c r="C76" s="739">
        <f t="shared" si="27"/>
        <v>-20.333333333333485</v>
      </c>
      <c r="D76" s="760">
        <f t="shared" ref="D76" si="31">+C76/B75</f>
        <v>-9.9122521936952316E-3</v>
      </c>
      <c r="E76" s="739">
        <v>3377</v>
      </c>
      <c r="F76" s="760">
        <f t="shared" si="29"/>
        <v>4.2670124737557061E-2</v>
      </c>
      <c r="G76" s="777">
        <f t="shared" si="26"/>
        <v>0.13856064336123422</v>
      </c>
      <c r="H76" s="759">
        <v>187134</v>
      </c>
      <c r="I76" s="762">
        <f t="shared" si="30"/>
        <v>-0.23627503795484597</v>
      </c>
    </row>
    <row r="77" spans="1:9" x14ac:dyDescent="0.2">
      <c r="A77" s="614">
        <v>2015</v>
      </c>
      <c r="B77" s="739">
        <f>+'13. Analysis_Weather adj LF'!C84</f>
        <v>2080.75</v>
      </c>
      <c r="C77" s="739">
        <f>+B77-B75</f>
        <v>29.416666666666515</v>
      </c>
      <c r="D77" s="760">
        <f>+C77/B75</f>
        <v>1.4340266493337592E-2</v>
      </c>
      <c r="E77" s="739">
        <f>+'13. Analysis_Weather adj LF'!O84</f>
        <v>2742.9900000000007</v>
      </c>
      <c r="F77" s="760">
        <f>(E77-E75)/E75</f>
        <v>-0.15308447573175232</v>
      </c>
      <c r="G77" s="777">
        <f t="shared" si="26"/>
        <v>0.10985582121831074</v>
      </c>
      <c r="H77" s="759">
        <v>267284</v>
      </c>
      <c r="I77" s="762">
        <f>(H77-H75)/H75</f>
        <v>9.0830435705307147E-2</v>
      </c>
    </row>
    <row r="78" spans="1:9" x14ac:dyDescent="0.2">
      <c r="A78" s="614">
        <v>2016</v>
      </c>
      <c r="B78" s="739">
        <f>+'13. Analysis_Weather adj LF'!C85</f>
        <v>2120.1666666666665</v>
      </c>
      <c r="C78" s="739">
        <f t="shared" si="27"/>
        <v>39.416666666666515</v>
      </c>
      <c r="D78" s="760">
        <f t="shared" ref="D78:D81" si="32">+C78/B77</f>
        <v>1.8943489927510038E-2</v>
      </c>
      <c r="E78" s="739">
        <f>+'13. Analysis_Weather adj LF'!O85</f>
        <v>2373.42</v>
      </c>
      <c r="F78" s="760">
        <f t="shared" si="29"/>
        <v>-0.13473253639276866</v>
      </c>
      <c r="G78" s="777">
        <f t="shared" si="26"/>
        <v>9.3287477399575505E-2</v>
      </c>
      <c r="H78" s="759">
        <v>269289</v>
      </c>
      <c r="I78" s="762">
        <f t="shared" si="30"/>
        <v>7.5013842953562506E-3</v>
      </c>
    </row>
    <row r="79" spans="1:9" x14ac:dyDescent="0.2">
      <c r="A79" s="614">
        <v>2017</v>
      </c>
      <c r="B79" s="739">
        <f>+'13. Analysis_Weather adj LF'!C86</f>
        <v>2123.9166666666665</v>
      </c>
      <c r="C79" s="739">
        <f t="shared" si="27"/>
        <v>3.75</v>
      </c>
      <c r="D79" s="760">
        <f t="shared" si="32"/>
        <v>1.7687288735162331E-3</v>
      </c>
      <c r="E79" s="739">
        <f>+'13. Analysis_Weather adj LF'!O86</f>
        <v>2399.7999999999997</v>
      </c>
      <c r="F79" s="760">
        <f t="shared" si="29"/>
        <v>1.1114762663161032E-2</v>
      </c>
      <c r="G79" s="777">
        <f t="shared" si="26"/>
        <v>9.4157805940283279E-2</v>
      </c>
      <c r="H79" s="759">
        <v>271284</v>
      </c>
      <c r="I79" s="762">
        <f t="shared" si="30"/>
        <v>7.4083976694183573E-3</v>
      </c>
    </row>
    <row r="80" spans="1:9" x14ac:dyDescent="0.2">
      <c r="A80" s="614" t="s">
        <v>310</v>
      </c>
      <c r="B80" s="739">
        <f>+'13. Analysis_Weather adj LF'!K87</f>
        <v>2155.1123337847007</v>
      </c>
      <c r="C80" s="739">
        <f t="shared" si="27"/>
        <v>31.19566711803418</v>
      </c>
      <c r="D80" s="760">
        <f t="shared" si="32"/>
        <v>1.46878018368741E-2</v>
      </c>
      <c r="E80" s="739">
        <f>+'13. Analysis_Weather adj LF'!O87</f>
        <v>2438.9195714511152</v>
      </c>
      <c r="F80" s="760">
        <f t="shared" si="29"/>
        <v>1.6301179869620579E-2</v>
      </c>
      <c r="G80" s="777">
        <f t="shared" si="26"/>
        <v>9.4307519118504837E-2</v>
      </c>
      <c r="H80" s="759">
        <f>E80*30.6934+7.85*B80*12</f>
        <v>277870.31581689644</v>
      </c>
      <c r="I80" s="762">
        <f t="shared" si="30"/>
        <v>2.4278305454418409E-2</v>
      </c>
    </row>
    <row r="81" spans="1:9" x14ac:dyDescent="0.2">
      <c r="A81" s="631" t="s">
        <v>309</v>
      </c>
      <c r="B81" s="764">
        <f>+'13. Analysis_Weather adj LF'!K88</f>
        <v>2186.7661966795336</v>
      </c>
      <c r="C81" s="764">
        <f t="shared" si="27"/>
        <v>31.653862894832855</v>
      </c>
      <c r="D81" s="765">
        <f t="shared" si="32"/>
        <v>1.4687801836874053E-2</v>
      </c>
      <c r="E81" s="739">
        <f>+'13. Analysis_Weather adj LF'!O88</f>
        <v>2474.7419388126632</v>
      </c>
      <c r="F81" s="765">
        <f t="shared" si="29"/>
        <v>1.468780183687415E-2</v>
      </c>
      <c r="G81" s="778">
        <f t="shared" si="26"/>
        <v>9.4307519118504865E-2</v>
      </c>
      <c r="H81" s="759">
        <f>E81*30.6934+7.85*B81*12</f>
        <v>281951.61995196465</v>
      </c>
      <c r="I81" s="767">
        <f t="shared" si="30"/>
        <v>1.4687801836874119E-2</v>
      </c>
    </row>
    <row r="82" spans="1:9" x14ac:dyDescent="0.2">
      <c r="A82" s="642" t="s">
        <v>313</v>
      </c>
      <c r="B82" s="774"/>
      <c r="C82" s="774"/>
      <c r="D82" s="775">
        <f>AVERAGE(D77:D81,D73:D75)</f>
        <v>1.4810178722443655E-2</v>
      </c>
      <c r="E82" s="774"/>
      <c r="F82" s="775">
        <f>AVERAGE(F77:F81,F73:F75)</f>
        <v>-3.0054264155935578E-2</v>
      </c>
      <c r="G82" s="774"/>
      <c r="H82" s="774"/>
      <c r="I82" s="776">
        <f>AVERAGE(I77:I81,I73:I75)</f>
        <v>9.5553096564450213E-2</v>
      </c>
    </row>
    <row r="85" spans="1:9" x14ac:dyDescent="0.2">
      <c r="A85" s="937" t="s">
        <v>241</v>
      </c>
      <c r="B85" s="938"/>
      <c r="C85" s="938"/>
      <c r="D85" s="938"/>
      <c r="E85" s="938"/>
      <c r="F85" s="938"/>
      <c r="G85" s="938"/>
      <c r="H85" s="938"/>
      <c r="I85" s="939"/>
    </row>
    <row r="86" spans="1:9" ht="25.5" x14ac:dyDescent="0.2">
      <c r="A86" s="770" t="s">
        <v>32</v>
      </c>
      <c r="B86" s="771" t="s">
        <v>305</v>
      </c>
      <c r="C86" s="771" t="s">
        <v>306</v>
      </c>
      <c r="D86" s="771" t="s">
        <v>307</v>
      </c>
      <c r="E86" s="771" t="s">
        <v>36</v>
      </c>
      <c r="F86" s="771" t="s">
        <v>307</v>
      </c>
      <c r="G86" s="772" t="s">
        <v>317</v>
      </c>
      <c r="H86" s="772" t="s">
        <v>312</v>
      </c>
      <c r="I86" s="773" t="s">
        <v>307</v>
      </c>
    </row>
    <row r="87" spans="1:9" x14ac:dyDescent="0.2">
      <c r="A87" s="610"/>
      <c r="B87" s="636"/>
      <c r="C87" s="636"/>
      <c r="D87" s="636"/>
      <c r="E87" s="636"/>
      <c r="F87" s="636"/>
      <c r="G87" s="636"/>
      <c r="H87" s="768"/>
      <c r="I87" s="769"/>
    </row>
    <row r="88" spans="1:9" x14ac:dyDescent="0.2">
      <c r="A88" s="631" t="s">
        <v>309</v>
      </c>
      <c r="B88" s="764">
        <f>+'13. Analysis_Weather adj LF'!K104</f>
        <v>1</v>
      </c>
      <c r="C88" s="764"/>
      <c r="D88" s="765"/>
      <c r="E88" s="739">
        <f>+'13. Analysis_Weather adj LF'!O104</f>
        <v>60000</v>
      </c>
      <c r="F88" s="765"/>
      <c r="G88" s="778">
        <f t="shared" ref="G88" si="33">+E88/B88/12</f>
        <v>5000</v>
      </c>
      <c r="H88" s="759">
        <f>E88*2.2226+281.65*B88*12</f>
        <v>136735.79999999999</v>
      </c>
      <c r="I88" s="767"/>
    </row>
    <row r="89" spans="1:9" x14ac:dyDescent="0.2">
      <c r="A89" s="642" t="s">
        <v>313</v>
      </c>
      <c r="B89" s="774"/>
      <c r="C89" s="774"/>
      <c r="D89" s="775"/>
      <c r="E89" s="774"/>
      <c r="F89" s="775"/>
      <c r="G89" s="774"/>
      <c r="H89" s="774"/>
      <c r="I89" s="776"/>
    </row>
  </sheetData>
  <mergeCells count="6">
    <mergeCell ref="A85:I85"/>
    <mergeCell ref="A5:I5"/>
    <mergeCell ref="A21:I21"/>
    <mergeCell ref="A37:I37"/>
    <mergeCell ref="A53:I53"/>
    <mergeCell ref="A69:I69"/>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2:R33"/>
  <sheetViews>
    <sheetView workbookViewId="0">
      <selection activeCell="I29" sqref="I29"/>
    </sheetView>
  </sheetViews>
  <sheetFormatPr defaultColWidth="12.83203125" defaultRowHeight="12.75" x14ac:dyDescent="0.2"/>
  <cols>
    <col min="1" max="1" width="25.6640625" style="296" customWidth="1"/>
    <col min="2" max="2" width="15.33203125" style="296" customWidth="1"/>
    <col min="3" max="3" width="12.83203125" style="296"/>
    <col min="4" max="4" width="16.33203125" style="296" bestFit="1" customWidth="1"/>
    <col min="5" max="5" width="14.5" style="296" bestFit="1" customWidth="1"/>
    <col min="6" max="7" width="12.83203125" style="296"/>
    <col min="8" max="8" width="25.1640625" style="296" customWidth="1"/>
    <col min="9" max="9" width="16.5" style="296" customWidth="1"/>
    <col min="10" max="10" width="12.83203125" style="296"/>
    <col min="11" max="11" width="15.5" style="296" customWidth="1"/>
    <col min="12" max="12" width="14.5" style="296" customWidth="1"/>
    <col min="13" max="13" width="12.83203125" style="296"/>
    <col min="14" max="14" width="19.1640625" style="296" customWidth="1"/>
    <col min="15" max="15" width="13.83203125" style="296" customWidth="1"/>
    <col min="16" max="16" width="12.83203125" style="296"/>
    <col min="17" max="17" width="16.5" style="296" customWidth="1"/>
    <col min="18" max="18" width="14" style="296" customWidth="1"/>
    <col min="19" max="16384" width="12.83203125" style="296"/>
  </cols>
  <sheetData>
    <row r="2" spans="1:18" x14ac:dyDescent="0.2">
      <c r="A2" s="296" t="s">
        <v>322</v>
      </c>
      <c r="H2" s="296" t="s">
        <v>321</v>
      </c>
      <c r="N2" s="296" t="s">
        <v>323</v>
      </c>
    </row>
    <row r="4" spans="1:18" s="601" customFormat="1" ht="38.25" x14ac:dyDescent="0.2">
      <c r="A4" s="608" t="s">
        <v>207</v>
      </c>
      <c r="B4" s="608" t="s">
        <v>277</v>
      </c>
      <c r="C4" s="609" t="s">
        <v>278</v>
      </c>
      <c r="D4" s="608" t="s">
        <v>279</v>
      </c>
      <c r="E4" s="608" t="s">
        <v>280</v>
      </c>
      <c r="H4" s="608" t="s">
        <v>207</v>
      </c>
      <c r="I4" s="608" t="s">
        <v>277</v>
      </c>
      <c r="J4" s="609" t="s">
        <v>278</v>
      </c>
      <c r="K4" s="608" t="s">
        <v>279</v>
      </c>
      <c r="L4" s="608" t="s">
        <v>280</v>
      </c>
      <c r="N4" s="608" t="s">
        <v>207</v>
      </c>
      <c r="O4" s="608" t="s">
        <v>277</v>
      </c>
      <c r="P4" s="609" t="s">
        <v>278</v>
      </c>
      <c r="Q4" s="608" t="s">
        <v>324</v>
      </c>
      <c r="R4" s="608" t="s">
        <v>280</v>
      </c>
    </row>
    <row r="5" spans="1:18" x14ac:dyDescent="0.2">
      <c r="A5" s="296" t="s">
        <v>6</v>
      </c>
      <c r="B5" s="602">
        <v>3.3E-3</v>
      </c>
      <c r="C5" s="38" t="s">
        <v>35</v>
      </c>
      <c r="D5" s="148">
        <f>+'11. Final Load Forecast'!L15</f>
        <v>73898698.101207584</v>
      </c>
      <c r="E5" s="604">
        <f>+D5*B5</f>
        <v>243865.70373398502</v>
      </c>
      <c r="H5" s="296" t="s">
        <v>6</v>
      </c>
      <c r="I5" s="602">
        <v>0</v>
      </c>
      <c r="J5" s="38" t="s">
        <v>35</v>
      </c>
      <c r="K5" s="148">
        <f>+D5</f>
        <v>73898698.101207584</v>
      </c>
      <c r="L5" s="604">
        <f>+K5*I5</f>
        <v>0</v>
      </c>
      <c r="N5" s="296" t="s">
        <v>6</v>
      </c>
      <c r="O5" s="602">
        <v>3.3E-3</v>
      </c>
      <c r="P5" s="38" t="s">
        <v>35</v>
      </c>
      <c r="Q5" s="148">
        <f>+'11. Final Load Forecast'!K15</f>
        <v>73760865.328503177</v>
      </c>
      <c r="R5" s="604">
        <f>+Q5*O5</f>
        <v>243410.85558406048</v>
      </c>
    </row>
    <row r="6" spans="1:18" x14ac:dyDescent="0.2">
      <c r="A6" s="296" t="s">
        <v>276</v>
      </c>
      <c r="B6" s="602">
        <v>1.18E-2</v>
      </c>
      <c r="C6" s="38" t="s">
        <v>35</v>
      </c>
      <c r="D6" s="148">
        <f>+'11. Final Load Forecast'!L19</f>
        <v>41801817.090252772</v>
      </c>
      <c r="E6" s="604">
        <f t="shared" ref="E6:E10" si="0">+D6*B6</f>
        <v>493261.4416649827</v>
      </c>
      <c r="H6" s="296" t="s">
        <v>276</v>
      </c>
      <c r="I6" s="602">
        <v>1.3299999999999999E-2</v>
      </c>
      <c r="J6" s="38" t="s">
        <v>35</v>
      </c>
      <c r="K6" s="148">
        <f t="shared" ref="K6:K10" si="1">+D6</f>
        <v>41801817.090252772</v>
      </c>
      <c r="L6" s="604">
        <f t="shared" ref="L6:L10" si="2">+K6*I6</f>
        <v>555964.16730036179</v>
      </c>
      <c r="N6" s="296" t="s">
        <v>276</v>
      </c>
      <c r="O6" s="602">
        <v>1.18E-2</v>
      </c>
      <c r="P6" s="38" t="s">
        <v>35</v>
      </c>
      <c r="Q6" s="148">
        <f>+'11. Final Load Forecast'!K19</f>
        <v>42369980.848468766</v>
      </c>
      <c r="R6" s="604">
        <f t="shared" ref="R6:R10" si="3">+Q6*O6</f>
        <v>499965.77401193144</v>
      </c>
    </row>
    <row r="7" spans="1:18" x14ac:dyDescent="0.2">
      <c r="A7" s="296" t="s">
        <v>275</v>
      </c>
      <c r="B7" s="602">
        <v>2.2225999999999999</v>
      </c>
      <c r="C7" s="38" t="s">
        <v>36</v>
      </c>
      <c r="D7" s="148">
        <f>+'11. Final Load Forecast'!L24</f>
        <v>212283.66798603014</v>
      </c>
      <c r="E7" s="604">
        <f t="shared" si="0"/>
        <v>471821.68046575057</v>
      </c>
      <c r="H7" s="296" t="s">
        <v>275</v>
      </c>
      <c r="I7" s="602">
        <v>2.6132</v>
      </c>
      <c r="J7" s="38" t="s">
        <v>36</v>
      </c>
      <c r="K7" s="148">
        <f t="shared" si="1"/>
        <v>212283.66798603014</v>
      </c>
      <c r="L7" s="604">
        <f t="shared" si="2"/>
        <v>554739.68118109391</v>
      </c>
      <c r="N7" s="296" t="s">
        <v>275</v>
      </c>
      <c r="O7" s="602">
        <v>2.2225999999999999</v>
      </c>
      <c r="P7" s="38" t="s">
        <v>36</v>
      </c>
      <c r="Q7" s="148">
        <f>+'11. Final Load Forecast'!K24</f>
        <v>221276.70912632582</v>
      </c>
      <c r="R7" s="604">
        <f t="shared" si="3"/>
        <v>491809.61370417173</v>
      </c>
    </row>
    <row r="8" spans="1:18" x14ac:dyDescent="0.2">
      <c r="A8" s="296" t="s">
        <v>241</v>
      </c>
      <c r="B8" s="602">
        <v>2.2225999999999999</v>
      </c>
      <c r="C8" s="38" t="s">
        <v>36</v>
      </c>
      <c r="D8" s="148">
        <f>+'11. Final Load Forecast'!L36</f>
        <v>60000</v>
      </c>
      <c r="E8" s="604">
        <f t="shared" si="0"/>
        <v>133356</v>
      </c>
      <c r="H8" s="296" t="s">
        <v>241</v>
      </c>
      <c r="I8" s="602">
        <v>2.6132</v>
      </c>
      <c r="J8" s="38" t="s">
        <v>36</v>
      </c>
      <c r="K8" s="148">
        <f t="shared" si="1"/>
        <v>60000</v>
      </c>
      <c r="L8" s="604">
        <f t="shared" si="2"/>
        <v>156792</v>
      </c>
      <c r="N8" s="296" t="s">
        <v>241</v>
      </c>
      <c r="O8" s="602">
        <v>2.2225999999999999</v>
      </c>
      <c r="P8" s="38" t="s">
        <v>36</v>
      </c>
      <c r="Q8" s="148">
        <f>+'11. Final Load Forecast'!Y36</f>
        <v>0</v>
      </c>
      <c r="R8" s="604">
        <f t="shared" si="3"/>
        <v>0</v>
      </c>
    </row>
    <row r="9" spans="1:18" x14ac:dyDescent="0.2">
      <c r="A9" s="296" t="s">
        <v>281</v>
      </c>
      <c r="B9" s="602">
        <v>6.4000000000000003E-3</v>
      </c>
      <c r="C9" s="38" t="s">
        <v>35</v>
      </c>
      <c r="D9" s="148">
        <f>+'11. Final Load Forecast'!L27</f>
        <v>251508.00000000023</v>
      </c>
      <c r="E9" s="604">
        <f t="shared" si="0"/>
        <v>1609.6512000000016</v>
      </c>
      <c r="H9" s="296" t="s">
        <v>281</v>
      </c>
      <c r="I9" s="602">
        <v>8.5000000000000006E-3</v>
      </c>
      <c r="J9" s="38" t="s">
        <v>35</v>
      </c>
      <c r="K9" s="148">
        <f t="shared" si="1"/>
        <v>251508.00000000023</v>
      </c>
      <c r="L9" s="604">
        <f t="shared" si="2"/>
        <v>2137.818000000002</v>
      </c>
      <c r="N9" s="296" t="s">
        <v>281</v>
      </c>
      <c r="O9" s="602">
        <v>6.4000000000000003E-3</v>
      </c>
      <c r="P9" s="38" t="s">
        <v>35</v>
      </c>
      <c r="Q9" s="148">
        <f>+'11. Final Load Forecast'!K27</f>
        <v>251508.00000000023</v>
      </c>
      <c r="R9" s="604">
        <f t="shared" si="3"/>
        <v>1609.6512000000016</v>
      </c>
    </row>
    <row r="10" spans="1:18" x14ac:dyDescent="0.2">
      <c r="A10" s="296" t="s">
        <v>79</v>
      </c>
      <c r="B10" s="296">
        <v>30.6934</v>
      </c>
      <c r="C10" s="38" t="s">
        <v>36</v>
      </c>
      <c r="D10" s="148">
        <f>+'11. Final Load Forecast'!L32</f>
        <v>2474.7419388126632</v>
      </c>
      <c r="E10" s="604">
        <f t="shared" si="0"/>
        <v>75958.244224752591</v>
      </c>
      <c r="H10" s="296" t="s">
        <v>79</v>
      </c>
      <c r="I10" s="296">
        <v>17.760899999999999</v>
      </c>
      <c r="J10" s="38" t="s">
        <v>36</v>
      </c>
      <c r="K10" s="148">
        <f t="shared" si="1"/>
        <v>2474.7419388126632</v>
      </c>
      <c r="L10" s="604">
        <f t="shared" si="2"/>
        <v>43953.644101057827</v>
      </c>
      <c r="N10" s="296" t="s">
        <v>79</v>
      </c>
      <c r="O10" s="296">
        <v>30.6934</v>
      </c>
      <c r="P10" s="38" t="s">
        <v>36</v>
      </c>
      <c r="Q10" s="148">
        <f>+'11. Final Load Forecast'!K32</f>
        <v>2438.9195714511152</v>
      </c>
      <c r="R10" s="604">
        <f t="shared" si="3"/>
        <v>74858.733974377654</v>
      </c>
    </row>
    <row r="11" spans="1:18" x14ac:dyDescent="0.2">
      <c r="E11" s="605">
        <f>SUM(E5:E10)</f>
        <v>1419872.7212894708</v>
      </c>
      <c r="L11" s="605">
        <f>SUM(L5:L10)</f>
        <v>1313587.3105825137</v>
      </c>
      <c r="R11" s="605">
        <f>SUM(R5:R10)</f>
        <v>1311654.6284745412</v>
      </c>
    </row>
    <row r="13" spans="1:18" ht="38.25" x14ac:dyDescent="0.2">
      <c r="A13" s="608" t="s">
        <v>207</v>
      </c>
      <c r="B13" s="608" t="s">
        <v>282</v>
      </c>
      <c r="C13" s="609"/>
      <c r="D13" s="608" t="s">
        <v>284</v>
      </c>
      <c r="E13" s="608" t="s">
        <v>342</v>
      </c>
      <c r="H13" s="608" t="s">
        <v>207</v>
      </c>
      <c r="I13" s="608" t="s">
        <v>282</v>
      </c>
      <c r="J13" s="609"/>
      <c r="K13" s="608" t="s">
        <v>284</v>
      </c>
      <c r="L13" s="608" t="s">
        <v>342</v>
      </c>
      <c r="N13" s="608" t="s">
        <v>207</v>
      </c>
      <c r="O13" s="608" t="s">
        <v>282</v>
      </c>
      <c r="P13" s="609"/>
      <c r="Q13" s="608" t="s">
        <v>324</v>
      </c>
      <c r="R13" s="608" t="s">
        <v>342</v>
      </c>
    </row>
    <row r="14" spans="1:18" x14ac:dyDescent="0.2">
      <c r="A14" s="296" t="s">
        <v>6</v>
      </c>
      <c r="B14" s="606">
        <v>26.86</v>
      </c>
      <c r="C14" s="38"/>
      <c r="D14" s="148">
        <f>+'11. Final Load Forecast'!L14</f>
        <v>8152.375</v>
      </c>
      <c r="E14" s="604">
        <f>+B14*D14*12</f>
        <v>2627673.5099999998</v>
      </c>
      <c r="H14" s="296" t="s">
        <v>6</v>
      </c>
      <c r="I14" s="606">
        <v>30.24</v>
      </c>
      <c r="J14" s="38"/>
      <c r="K14" s="148">
        <f t="shared" ref="K14:K19" si="4">+D14</f>
        <v>8152.375</v>
      </c>
      <c r="L14" s="604">
        <f>+I14*K14*12</f>
        <v>2958333.84</v>
      </c>
      <c r="N14" s="296" t="s">
        <v>6</v>
      </c>
      <c r="O14" s="606">
        <v>26.86</v>
      </c>
      <c r="P14" s="38"/>
      <c r="Q14" s="148">
        <f>+'11. Final Load Forecast'!K14</f>
        <v>7976.375</v>
      </c>
      <c r="R14" s="604">
        <f>+O14*Q14*12</f>
        <v>2570945.19</v>
      </c>
    </row>
    <row r="15" spans="1:18" x14ac:dyDescent="0.2">
      <c r="A15" s="296" t="s">
        <v>276</v>
      </c>
      <c r="B15" s="606">
        <v>39.409999999999997</v>
      </c>
      <c r="C15" s="38"/>
      <c r="D15" s="148">
        <f>+'11. Final Load Forecast'!L18</f>
        <v>1341.6666666666667</v>
      </c>
      <c r="E15" s="604">
        <f t="shared" ref="E15:E19" si="5">+B15*D15*12</f>
        <v>634501</v>
      </c>
      <c r="H15" s="296" t="s">
        <v>276</v>
      </c>
      <c r="I15" s="606">
        <v>39.409999999999997</v>
      </c>
      <c r="J15" s="38"/>
      <c r="K15" s="148">
        <f t="shared" si="4"/>
        <v>1341.6666666666667</v>
      </c>
      <c r="L15" s="604">
        <f t="shared" ref="L15:L19" si="6">+I15*K15*12</f>
        <v>634501</v>
      </c>
      <c r="N15" s="296" t="s">
        <v>276</v>
      </c>
      <c r="O15" s="606">
        <v>39.409999999999997</v>
      </c>
      <c r="P15" s="38"/>
      <c r="Q15" s="148">
        <f>+'11. Final Load Forecast'!K18</f>
        <v>1336.6666666666667</v>
      </c>
      <c r="R15" s="604">
        <f t="shared" ref="R15:R19" si="7">+O15*Q15*12</f>
        <v>632136.4</v>
      </c>
    </row>
    <row r="16" spans="1:18" x14ac:dyDescent="0.2">
      <c r="A16" s="296" t="s">
        <v>275</v>
      </c>
      <c r="B16" s="606">
        <v>281.64999999999998</v>
      </c>
      <c r="C16" s="38"/>
      <c r="D16" s="148">
        <f>+'11. Final Load Forecast'!L22</f>
        <v>131</v>
      </c>
      <c r="E16" s="604">
        <f t="shared" si="5"/>
        <v>442753.79999999993</v>
      </c>
      <c r="H16" s="296" t="s">
        <v>275</v>
      </c>
      <c r="I16" s="606">
        <v>281.64999999999998</v>
      </c>
      <c r="J16" s="38"/>
      <c r="K16" s="148">
        <f t="shared" si="4"/>
        <v>131</v>
      </c>
      <c r="L16" s="604">
        <f t="shared" si="6"/>
        <v>442753.79999999993</v>
      </c>
      <c r="N16" s="296" t="s">
        <v>275</v>
      </c>
      <c r="O16" s="606">
        <v>281.64999999999998</v>
      </c>
      <c r="P16" s="38"/>
      <c r="Q16" s="148">
        <f>+'11. Final Load Forecast'!K22</f>
        <v>130.50755221180745</v>
      </c>
      <c r="R16" s="604">
        <f t="shared" si="7"/>
        <v>441089.42496546678</v>
      </c>
    </row>
    <row r="17" spans="1:18" x14ac:dyDescent="0.2">
      <c r="A17" s="296" t="s">
        <v>241</v>
      </c>
      <c r="B17" s="606">
        <v>281.64999999999998</v>
      </c>
      <c r="C17" s="38"/>
      <c r="D17" s="148">
        <v>1</v>
      </c>
      <c r="E17" s="604">
        <f t="shared" si="5"/>
        <v>3379.7999999999997</v>
      </c>
      <c r="H17" s="296" t="s">
        <v>241</v>
      </c>
      <c r="I17" s="606">
        <v>4538.8100000000004</v>
      </c>
      <c r="J17" s="38"/>
      <c r="K17" s="148">
        <f t="shared" si="4"/>
        <v>1</v>
      </c>
      <c r="L17" s="604">
        <f t="shared" si="6"/>
        <v>54465.72</v>
      </c>
      <c r="N17" s="296" t="s">
        <v>241</v>
      </c>
      <c r="O17" s="606">
        <v>281.64999999999998</v>
      </c>
      <c r="P17" s="38"/>
      <c r="Q17" s="148">
        <v>0</v>
      </c>
      <c r="R17" s="604">
        <f t="shared" si="7"/>
        <v>0</v>
      </c>
    </row>
    <row r="18" spans="1:18" x14ac:dyDescent="0.2">
      <c r="A18" s="296" t="s">
        <v>281</v>
      </c>
      <c r="B18" s="606">
        <v>21.2</v>
      </c>
      <c r="C18" s="38"/>
      <c r="D18" s="148">
        <f>+'11. Final Load Forecast'!L26</f>
        <v>26</v>
      </c>
      <c r="E18" s="604">
        <f t="shared" si="5"/>
        <v>6614.4</v>
      </c>
      <c r="H18" s="296" t="s">
        <v>281</v>
      </c>
      <c r="I18" s="606">
        <v>20.149999999999999</v>
      </c>
      <c r="J18" s="38"/>
      <c r="K18" s="148">
        <f t="shared" si="4"/>
        <v>26</v>
      </c>
      <c r="L18" s="604">
        <f t="shared" si="6"/>
        <v>6286.7999999999993</v>
      </c>
      <c r="N18" s="296" t="s">
        <v>281</v>
      </c>
      <c r="O18" s="606">
        <v>21.2</v>
      </c>
      <c r="P18" s="38"/>
      <c r="Q18" s="148">
        <f>+'11. Final Load Forecast'!K26</f>
        <v>26</v>
      </c>
      <c r="R18" s="604">
        <f t="shared" si="7"/>
        <v>6614.4</v>
      </c>
    </row>
    <row r="19" spans="1:18" x14ac:dyDescent="0.2">
      <c r="A19" s="296" t="s">
        <v>79</v>
      </c>
      <c r="B19" s="603">
        <v>7.85</v>
      </c>
      <c r="C19" s="38"/>
      <c r="D19" s="148">
        <f>+'11. Final Load Forecast'!L30</f>
        <v>2186.7661966795336</v>
      </c>
      <c r="E19" s="604">
        <f t="shared" si="5"/>
        <v>205993.37572721206</v>
      </c>
      <c r="H19" s="296" t="s">
        <v>79</v>
      </c>
      <c r="I19" s="603">
        <v>6.87</v>
      </c>
      <c r="J19" s="38"/>
      <c r="K19" s="148">
        <f t="shared" si="4"/>
        <v>2186.7661966795336</v>
      </c>
      <c r="L19" s="604">
        <f t="shared" si="6"/>
        <v>180277.00525426076</v>
      </c>
      <c r="N19" s="296" t="s">
        <v>79</v>
      </c>
      <c r="O19" s="603">
        <v>7.85</v>
      </c>
      <c r="P19" s="38"/>
      <c r="Q19" s="148">
        <f>+'11. Final Load Forecast'!K30</f>
        <v>2155.1123337847007</v>
      </c>
      <c r="R19" s="604">
        <f t="shared" si="7"/>
        <v>203011.58184251879</v>
      </c>
    </row>
    <row r="20" spans="1:18" x14ac:dyDescent="0.2">
      <c r="E20" s="605">
        <f>SUM(E14:E19)</f>
        <v>3920915.8857272114</v>
      </c>
      <c r="L20" s="605">
        <f>SUM(L14:L19)</f>
        <v>4276618.1652542604</v>
      </c>
      <c r="R20" s="605">
        <f>SUM(R14:R19)</f>
        <v>3853796.9968079855</v>
      </c>
    </row>
    <row r="21" spans="1:18" x14ac:dyDescent="0.2">
      <c r="E21" s="780"/>
      <c r="L21" s="780"/>
      <c r="R21" s="780"/>
    </row>
    <row r="22" spans="1:18" x14ac:dyDescent="0.2">
      <c r="A22" s="296" t="s">
        <v>326</v>
      </c>
      <c r="E22" s="780">
        <v>-44686</v>
      </c>
      <c r="L22" s="780">
        <v>-44686</v>
      </c>
      <c r="R22" s="780">
        <v>-11086.12</v>
      </c>
    </row>
    <row r="24" spans="1:18" ht="25.5" x14ac:dyDescent="0.2">
      <c r="A24" s="608" t="s">
        <v>207</v>
      </c>
      <c r="B24" s="608" t="s">
        <v>283</v>
      </c>
      <c r="C24" s="609" t="s">
        <v>278</v>
      </c>
      <c r="D24" s="608" t="s">
        <v>279</v>
      </c>
      <c r="E24" s="608" t="s">
        <v>343</v>
      </c>
      <c r="H24" s="608" t="s">
        <v>207</v>
      </c>
      <c r="I24" s="608" t="s">
        <v>283</v>
      </c>
      <c r="J24" s="609" t="s">
        <v>278</v>
      </c>
      <c r="K24" s="608" t="s">
        <v>279</v>
      </c>
      <c r="L24" s="608" t="s">
        <v>343</v>
      </c>
      <c r="N24" s="608" t="s">
        <v>207</v>
      </c>
      <c r="O24" s="608" t="s">
        <v>283</v>
      </c>
      <c r="P24" s="609" t="s">
        <v>278</v>
      </c>
      <c r="Q24" s="608" t="s">
        <v>324</v>
      </c>
      <c r="R24" s="608" t="s">
        <v>343</v>
      </c>
    </row>
    <row r="25" spans="1:18" x14ac:dyDescent="0.2">
      <c r="A25" s="296" t="s">
        <v>6</v>
      </c>
      <c r="B25" s="602">
        <v>6.9999999999999999E-4</v>
      </c>
      <c r="C25" s="38" t="s">
        <v>35</v>
      </c>
      <c r="D25" s="148">
        <f>+D5</f>
        <v>73898698.101207584</v>
      </c>
      <c r="E25" s="604">
        <f>+D25*B25</f>
        <v>51729.088670845311</v>
      </c>
      <c r="H25" s="296" t="s">
        <v>6</v>
      </c>
      <c r="I25" s="602">
        <v>0</v>
      </c>
      <c r="J25" s="38" t="s">
        <v>35</v>
      </c>
      <c r="K25" s="148">
        <f t="shared" ref="K25:K29" si="8">+D25</f>
        <v>73898698.101207584</v>
      </c>
      <c r="L25" s="604">
        <f>+K25*I25</f>
        <v>0</v>
      </c>
      <c r="N25" s="296" t="s">
        <v>6</v>
      </c>
      <c r="O25" s="602">
        <v>6.9999999999999999E-4</v>
      </c>
      <c r="P25" s="38" t="s">
        <v>35</v>
      </c>
      <c r="Q25" s="148">
        <f>+Q5</f>
        <v>73760865.328503177</v>
      </c>
      <c r="R25" s="604">
        <f>+Q25*O25</f>
        <v>51632.605729952222</v>
      </c>
    </row>
    <row r="26" spans="1:18" x14ac:dyDescent="0.2">
      <c r="A26" s="296" t="s">
        <v>276</v>
      </c>
      <c r="B26" s="602">
        <v>1.1999999999999999E-3</v>
      </c>
      <c r="C26" s="38" t="s">
        <v>35</v>
      </c>
      <c r="D26" s="148">
        <f>+D6</f>
        <v>41801817.090252772</v>
      </c>
      <c r="E26" s="604">
        <f t="shared" ref="E26:E29" si="9">+D26*B26</f>
        <v>50162.180508303325</v>
      </c>
      <c r="H26" s="296" t="s">
        <v>276</v>
      </c>
      <c r="I26" s="602">
        <v>0</v>
      </c>
      <c r="J26" s="38" t="s">
        <v>35</v>
      </c>
      <c r="K26" s="148">
        <f t="shared" si="8"/>
        <v>41801817.090252772</v>
      </c>
      <c r="L26" s="604">
        <f t="shared" ref="L26:L29" si="10">+K26*I26</f>
        <v>0</v>
      </c>
      <c r="N26" s="296" t="s">
        <v>276</v>
      </c>
      <c r="O26" s="602">
        <v>1.1999999999999999E-3</v>
      </c>
      <c r="P26" s="38" t="s">
        <v>35</v>
      </c>
      <c r="Q26" s="148">
        <f>+Q6</f>
        <v>42369980.848468766</v>
      </c>
      <c r="R26" s="604">
        <f t="shared" ref="R26:R29" si="11">+Q26*O26</f>
        <v>50843.977018162514</v>
      </c>
    </row>
    <row r="27" spans="1:18" x14ac:dyDescent="0.2">
      <c r="A27" s="296" t="s">
        <v>275</v>
      </c>
      <c r="B27" s="602">
        <v>0.3483</v>
      </c>
      <c r="C27" s="38" t="s">
        <v>36</v>
      </c>
      <c r="D27" s="148">
        <f>+D7</f>
        <v>212283.66798603014</v>
      </c>
      <c r="E27" s="604">
        <f t="shared" si="9"/>
        <v>73938.401559534293</v>
      </c>
      <c r="H27" s="296" t="s">
        <v>275</v>
      </c>
      <c r="I27" s="602">
        <v>0</v>
      </c>
      <c r="J27" s="38" t="s">
        <v>36</v>
      </c>
      <c r="K27" s="148">
        <f t="shared" si="8"/>
        <v>212283.66798603014</v>
      </c>
      <c r="L27" s="604">
        <f t="shared" si="10"/>
        <v>0</v>
      </c>
      <c r="N27" s="296" t="s">
        <v>275</v>
      </c>
      <c r="O27" s="602">
        <v>0.3483</v>
      </c>
      <c r="P27" s="38" t="s">
        <v>36</v>
      </c>
      <c r="Q27" s="148">
        <f>+Q7</f>
        <v>221276.70912632582</v>
      </c>
      <c r="R27" s="604">
        <f t="shared" si="11"/>
        <v>77070.677788699279</v>
      </c>
    </row>
    <row r="28" spans="1:18" x14ac:dyDescent="0.2">
      <c r="A28" s="296" t="s">
        <v>241</v>
      </c>
      <c r="B28" s="602">
        <v>0.3483</v>
      </c>
      <c r="C28" s="38" t="s">
        <v>36</v>
      </c>
      <c r="D28" s="148">
        <f>+D8</f>
        <v>60000</v>
      </c>
      <c r="E28" s="604">
        <f t="shared" si="9"/>
        <v>20898</v>
      </c>
      <c r="H28" s="296" t="s">
        <v>241</v>
      </c>
      <c r="I28" s="602">
        <v>0</v>
      </c>
      <c r="J28" s="38" t="s">
        <v>36</v>
      </c>
      <c r="K28" s="148">
        <f t="shared" si="8"/>
        <v>60000</v>
      </c>
      <c r="L28" s="604">
        <f t="shared" si="10"/>
        <v>0</v>
      </c>
      <c r="N28" s="296" t="s">
        <v>241</v>
      </c>
      <c r="O28" s="602">
        <v>0.3483</v>
      </c>
      <c r="P28" s="38" t="s">
        <v>36</v>
      </c>
      <c r="Q28" s="148">
        <f>+Q8</f>
        <v>0</v>
      </c>
      <c r="R28" s="604">
        <f t="shared" si="11"/>
        <v>0</v>
      </c>
    </row>
    <row r="29" spans="1:18" x14ac:dyDescent="0.2">
      <c r="A29" s="296" t="s">
        <v>289</v>
      </c>
      <c r="B29" s="602">
        <v>5.0000000000000001E-4</v>
      </c>
      <c r="C29" s="38" t="s">
        <v>35</v>
      </c>
      <c r="D29" s="148">
        <f>+D9</f>
        <v>251508.00000000023</v>
      </c>
      <c r="E29" s="604">
        <f t="shared" si="9"/>
        <v>125.75400000000012</v>
      </c>
      <c r="H29" s="296" t="s">
        <v>289</v>
      </c>
      <c r="I29" s="602">
        <v>0</v>
      </c>
      <c r="J29" s="38" t="s">
        <v>35</v>
      </c>
      <c r="K29" s="148">
        <f t="shared" si="8"/>
        <v>251508.00000000023</v>
      </c>
      <c r="L29" s="604">
        <f t="shared" si="10"/>
        <v>0</v>
      </c>
      <c r="N29" s="296" t="s">
        <v>289</v>
      </c>
      <c r="O29" s="602">
        <v>5.0000000000000001E-4</v>
      </c>
      <c r="P29" s="38" t="s">
        <v>35</v>
      </c>
      <c r="Q29" s="148">
        <f>+Q9</f>
        <v>251508.00000000023</v>
      </c>
      <c r="R29" s="604">
        <f t="shared" si="11"/>
        <v>125.75400000000012</v>
      </c>
    </row>
    <row r="30" spans="1:18" x14ac:dyDescent="0.2">
      <c r="E30" s="605">
        <f>SUM(E25:E29)</f>
        <v>196853.42473868289</v>
      </c>
      <c r="L30" s="605">
        <f>SUM(L25:L29)</f>
        <v>0</v>
      </c>
      <c r="R30" s="605">
        <f>SUM(R25:R28)</f>
        <v>179547.26053681402</v>
      </c>
    </row>
    <row r="32" spans="1:18" ht="13.5" thickBot="1" x14ac:dyDescent="0.25">
      <c r="A32" s="118" t="s">
        <v>285</v>
      </c>
      <c r="E32" s="607">
        <f>+E30+E20+E11+E22</f>
        <v>5492956.0317553654</v>
      </c>
      <c r="H32" s="118" t="s">
        <v>318</v>
      </c>
      <c r="L32" s="607">
        <f>+L30+L20+L11+L22</f>
        <v>5545519.4758367743</v>
      </c>
      <c r="N32" s="118" t="s">
        <v>325</v>
      </c>
      <c r="R32" s="607">
        <f>+R30+R20+R11+R22</f>
        <v>5333912.7658193409</v>
      </c>
    </row>
    <row r="33" ht="13.5" thickTop="1" x14ac:dyDescent="0.2"/>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I37"/>
  <sheetViews>
    <sheetView workbookViewId="0">
      <selection activeCell="A10" sqref="A10"/>
    </sheetView>
  </sheetViews>
  <sheetFormatPr defaultRowHeight="12.75" x14ac:dyDescent="0.2"/>
  <cols>
    <col min="1" max="1" width="11.6640625" style="296" customWidth="1"/>
    <col min="2" max="2" width="12" style="296" customWidth="1"/>
    <col min="3" max="3" width="13.6640625" style="296" customWidth="1"/>
    <col min="4" max="4" width="2.1640625" style="296" customWidth="1"/>
    <col min="5" max="5" width="13.33203125" style="296" customWidth="1"/>
    <col min="6" max="6" width="16.83203125" style="296" customWidth="1"/>
    <col min="7" max="7" width="2.1640625" style="296" customWidth="1"/>
    <col min="8" max="8" width="12.83203125" style="296" customWidth="1"/>
    <col min="9" max="9" width="12.5" style="296" customWidth="1"/>
    <col min="10" max="16384" width="9.33203125" style="296"/>
  </cols>
  <sheetData>
    <row r="7" spans="1:9" x14ac:dyDescent="0.2">
      <c r="A7" s="625"/>
      <c r="B7" s="938" t="s">
        <v>6</v>
      </c>
      <c r="C7" s="938"/>
      <c r="D7" s="626"/>
      <c r="E7" s="938" t="s">
        <v>288</v>
      </c>
      <c r="F7" s="938"/>
      <c r="G7" s="626"/>
      <c r="H7" s="938" t="s">
        <v>287</v>
      </c>
      <c r="I7" s="939"/>
    </row>
    <row r="8" spans="1:9" s="601" customFormat="1" ht="25.5" x14ac:dyDescent="0.2">
      <c r="A8" s="627" t="s">
        <v>32</v>
      </c>
      <c r="B8" s="628" t="s">
        <v>286</v>
      </c>
      <c r="C8" s="629" t="s">
        <v>5</v>
      </c>
      <c r="D8" s="629"/>
      <c r="E8" s="628" t="s">
        <v>286</v>
      </c>
      <c r="F8" s="629" t="s">
        <v>5</v>
      </c>
      <c r="G8" s="629"/>
      <c r="H8" s="628" t="s">
        <v>286</v>
      </c>
      <c r="I8" s="630" t="s">
        <v>5</v>
      </c>
    </row>
    <row r="9" spans="1:9" s="38" customFormat="1" x14ac:dyDescent="0.2">
      <c r="A9" s="610">
        <v>2011</v>
      </c>
      <c r="B9" s="611">
        <f>+'4. Customer Growth'!C17</f>
        <v>6594.125</v>
      </c>
      <c r="C9" s="612"/>
      <c r="D9" s="612"/>
      <c r="E9" s="611">
        <f>+'4. Customer Growth'!E17</f>
        <v>1234.6666666666667</v>
      </c>
      <c r="F9" s="612"/>
      <c r="G9" s="612"/>
      <c r="H9" s="611">
        <f>+'4. Customer Growth'!I17</f>
        <v>120.04166666666667</v>
      </c>
      <c r="I9" s="613"/>
    </row>
    <row r="10" spans="1:9" s="38" customFormat="1" x14ac:dyDescent="0.2">
      <c r="A10" s="614">
        <v>2012</v>
      </c>
      <c r="B10" s="615">
        <f>+'4. Customer Growth'!C18</f>
        <v>6716.25</v>
      </c>
      <c r="C10" s="616">
        <f>+'4. Customer Growth'!D18</f>
        <v>1.0185202737285084</v>
      </c>
      <c r="D10" s="92"/>
      <c r="E10" s="615">
        <f>+'4. Customer Growth'!E18</f>
        <v>1268.9583333333333</v>
      </c>
      <c r="F10" s="616">
        <f>+'4. Customer Growth'!F18</f>
        <v>1.0277740280777536</v>
      </c>
      <c r="G10" s="92"/>
      <c r="H10" s="615">
        <f>+'4. Customer Growth'!I18</f>
        <v>117.70833333333333</v>
      </c>
      <c r="I10" s="617">
        <f>+'4. Customer Growth'!J18</f>
        <v>0.98056230475529327</v>
      </c>
    </row>
    <row r="11" spans="1:9" s="38" customFormat="1" x14ac:dyDescent="0.2">
      <c r="A11" s="614">
        <v>2013</v>
      </c>
      <c r="B11" s="615">
        <f>+'4. Customer Growth'!C19</f>
        <v>6912.458333333333</v>
      </c>
      <c r="C11" s="616">
        <f>+'4. Customer Growth'!D19</f>
        <v>1.0292139710900179</v>
      </c>
      <c r="D11" s="92"/>
      <c r="E11" s="615">
        <f>+'4. Customer Growth'!E19</f>
        <v>1221.0416666666667</v>
      </c>
      <c r="F11" s="616">
        <f>+'4. Customer Growth'!F19</f>
        <v>0.96223936956164846</v>
      </c>
      <c r="G11" s="92"/>
      <c r="H11" s="615">
        <f>+'4. Customer Growth'!I19</f>
        <v>117.875</v>
      </c>
      <c r="I11" s="617">
        <f>+'4. Customer Growth'!J19</f>
        <v>1.0014159292035398</v>
      </c>
    </row>
    <row r="12" spans="1:9" s="38" customFormat="1" x14ac:dyDescent="0.2">
      <c r="A12" s="614">
        <v>2014</v>
      </c>
      <c r="B12" s="615">
        <f>+'4. Customer Growth'!C20</f>
        <v>7110.208333333333</v>
      </c>
      <c r="C12" s="616">
        <f>+'4. Customer Growth'!D20</f>
        <v>1.0286077673765364</v>
      </c>
      <c r="D12" s="92"/>
      <c r="E12" s="615">
        <f>+'4. Customer Growth'!E20</f>
        <v>1311.8333333333333</v>
      </c>
      <c r="F12" s="616">
        <f>+'4. Customer Growth'!F20</f>
        <v>1.0743559119604162</v>
      </c>
      <c r="G12" s="92"/>
      <c r="H12" s="615">
        <f>+'4. Customer Growth'!I20</f>
        <v>129.375</v>
      </c>
      <c r="I12" s="617">
        <f>+'4. Customer Growth'!J20</f>
        <v>1.0975609756097562</v>
      </c>
    </row>
    <row r="13" spans="1:9" s="38" customFormat="1" x14ac:dyDescent="0.2">
      <c r="A13" s="614">
        <v>2015</v>
      </c>
      <c r="B13" s="615">
        <f>+'4. Customer Growth'!C21</f>
        <v>7389.208333333333</v>
      </c>
      <c r="C13" s="616">
        <f>+'4. Customer Growth'!D21</f>
        <v>1.0392393565589382</v>
      </c>
      <c r="D13" s="92"/>
      <c r="E13" s="615">
        <f>+'4. Customer Growth'!E21</f>
        <v>1321.5416666666667</v>
      </c>
      <c r="F13" s="616">
        <f>+'4. Customer Growth'!F21</f>
        <v>1.0074005844238345</v>
      </c>
      <c r="G13" s="92"/>
      <c r="H13" s="615">
        <f>+'4. Customer Growth'!I21</f>
        <v>128</v>
      </c>
      <c r="I13" s="617">
        <f>+'4. Customer Growth'!J21</f>
        <v>0.98937198067632848</v>
      </c>
    </row>
    <row r="14" spans="1:9" s="38" customFormat="1" x14ac:dyDescent="0.2">
      <c r="A14" s="614">
        <v>2016</v>
      </c>
      <c r="B14" s="615">
        <f>+'4. Customer Growth'!C22</f>
        <v>7660.791666666667</v>
      </c>
      <c r="C14" s="616">
        <f>+'4. Customer Growth'!D22</f>
        <v>1.0367540501068564</v>
      </c>
      <c r="D14" s="92"/>
      <c r="E14" s="615">
        <f>+'4. Customer Growth'!E22</f>
        <v>1332.7083333333333</v>
      </c>
      <c r="F14" s="616">
        <f>+'4. Customer Growth'!F22</f>
        <v>1.0084497272755935</v>
      </c>
      <c r="G14" s="92"/>
      <c r="H14" s="615">
        <f>+'4. Customer Growth'!I22</f>
        <v>121.5</v>
      </c>
      <c r="I14" s="617">
        <f>+'4. Customer Growth'!J22</f>
        <v>0.94921875</v>
      </c>
    </row>
    <row r="15" spans="1:9" s="38" customFormat="1" x14ac:dyDescent="0.2">
      <c r="A15" s="631">
        <v>2017</v>
      </c>
      <c r="B15" s="632">
        <f>+'4. Customer Growth'!C23</f>
        <v>7838.375</v>
      </c>
      <c r="C15" s="622">
        <f>+'4. Customer Growth'!D23</f>
        <v>1.0231808070314752</v>
      </c>
      <c r="D15" s="633"/>
      <c r="E15" s="632">
        <f>+'4. Customer Growth'!E23</f>
        <v>1331.6666666666667</v>
      </c>
      <c r="F15" s="622">
        <f>+'4. Customer Growth'!F23</f>
        <v>0.99921838361732074</v>
      </c>
      <c r="G15" s="633"/>
      <c r="H15" s="632">
        <f>+'4. Customer Growth'!I23</f>
        <v>128.95833333333334</v>
      </c>
      <c r="I15" s="624">
        <f>+'4. Customer Growth'!J23</f>
        <v>1.0613854595336079</v>
      </c>
    </row>
    <row r="16" spans="1:9" s="38" customFormat="1" x14ac:dyDescent="0.2">
      <c r="A16" s="614"/>
      <c r="B16" s="92"/>
      <c r="C16" s="92"/>
      <c r="D16" s="92"/>
      <c r="E16" s="92"/>
      <c r="F16" s="616"/>
      <c r="G16" s="92"/>
      <c r="H16" s="92"/>
      <c r="I16" s="617"/>
    </row>
    <row r="17" spans="1:9" s="38" customFormat="1" x14ac:dyDescent="0.2">
      <c r="A17" s="614" t="s">
        <v>4</v>
      </c>
      <c r="B17" s="92"/>
      <c r="C17" s="616">
        <f>+'4. Customer Growth'!D25</f>
        <v>1.0292277257899862</v>
      </c>
      <c r="D17" s="92"/>
      <c r="E17" s="92"/>
      <c r="F17" s="616">
        <f>+'4. Customer Growth'!F25</f>
        <v>1.0126848221539522</v>
      </c>
      <c r="G17" s="92"/>
      <c r="H17" s="92"/>
      <c r="I17" s="617">
        <f>+'4. Customer Growth'!J25</f>
        <v>1.0120133289445488</v>
      </c>
    </row>
    <row r="18" spans="1:9" s="38" customFormat="1" x14ac:dyDescent="0.2">
      <c r="A18" s="614"/>
      <c r="B18" s="92"/>
      <c r="C18" s="92"/>
      <c r="D18" s="92"/>
      <c r="E18" s="92"/>
      <c r="F18" s="92"/>
      <c r="G18" s="92"/>
      <c r="H18" s="92"/>
      <c r="I18" s="618"/>
    </row>
    <row r="19" spans="1:9" x14ac:dyDescent="0.2">
      <c r="A19" s="610">
        <v>2018</v>
      </c>
      <c r="B19" s="634">
        <f>+'4. Customer Growth'!C39</f>
        <v>7976.375</v>
      </c>
      <c r="C19" s="635">
        <f>+'4. Customer Growth'!D39</f>
        <v>1.0176056899548696</v>
      </c>
      <c r="D19" s="636"/>
      <c r="E19" s="634">
        <f>+'4. Customer Growth'!E39</f>
        <v>1336.6666666666667</v>
      </c>
      <c r="F19" s="635">
        <f>+'4. Customer Growth'!F39</f>
        <v>1.0037546933667083</v>
      </c>
      <c r="G19" s="636"/>
      <c r="H19" s="634">
        <f>+'4. Customer Growth'!I39</f>
        <v>130.50755221180745</v>
      </c>
      <c r="I19" s="637">
        <f>+'4. Customer Growth'!J39</f>
        <v>1.0120133289445488</v>
      </c>
    </row>
    <row r="20" spans="1:9" x14ac:dyDescent="0.2">
      <c r="A20" s="631">
        <v>2019</v>
      </c>
      <c r="B20" s="621">
        <f>+'4. Customer Growth'!C40</f>
        <v>8152.375</v>
      </c>
      <c r="C20" s="622">
        <f>+'4. Customer Growth'!D40</f>
        <v>1.022065161179107</v>
      </c>
      <c r="D20" s="623"/>
      <c r="E20" s="621">
        <f>+'4. Customer Growth'!E40</f>
        <v>1341.6666666666667</v>
      </c>
      <c r="F20" s="622">
        <f>+'4. Customer Growth'!F40</f>
        <v>1.0037406483790523</v>
      </c>
      <c r="G20" s="623"/>
      <c r="H20" s="621">
        <f>+'4. Customer Growth'!I40</f>
        <v>131</v>
      </c>
      <c r="I20" s="624">
        <f>+'4. Customer Growth'!J40</f>
        <v>1.0037733279020766</v>
      </c>
    </row>
    <row r="24" spans="1:9" x14ac:dyDescent="0.2">
      <c r="A24" s="625"/>
      <c r="B24" s="938" t="s">
        <v>241</v>
      </c>
      <c r="C24" s="938"/>
      <c r="D24" s="626"/>
      <c r="E24" s="938" t="s">
        <v>289</v>
      </c>
      <c r="F24" s="938"/>
      <c r="G24" s="626"/>
      <c r="H24" s="938" t="s">
        <v>290</v>
      </c>
      <c r="I24" s="939"/>
    </row>
    <row r="25" spans="1:9" ht="25.5" x14ac:dyDescent="0.2">
      <c r="A25" s="627" t="s">
        <v>32</v>
      </c>
      <c r="B25" s="628" t="s">
        <v>286</v>
      </c>
      <c r="C25" s="629" t="s">
        <v>5</v>
      </c>
      <c r="D25" s="629"/>
      <c r="E25" s="628" t="s">
        <v>286</v>
      </c>
      <c r="F25" s="629" t="s">
        <v>5</v>
      </c>
      <c r="G25" s="629"/>
      <c r="H25" s="628" t="s">
        <v>286</v>
      </c>
      <c r="I25" s="630" t="s">
        <v>5</v>
      </c>
    </row>
    <row r="26" spans="1:9" x14ac:dyDescent="0.2">
      <c r="A26" s="610">
        <v>2011</v>
      </c>
      <c r="B26" s="611">
        <v>0</v>
      </c>
      <c r="C26" s="612"/>
      <c r="D26" s="612"/>
      <c r="E26" s="611">
        <f>+'4. Customer Growth'!G17</f>
        <v>22.083333333333332</v>
      </c>
      <c r="F26" s="612"/>
      <c r="G26" s="612"/>
      <c r="H26" s="611">
        <f>+'4. Customer Growth'!K17</f>
        <v>1946</v>
      </c>
      <c r="I26" s="613"/>
    </row>
    <row r="27" spans="1:9" x14ac:dyDescent="0.2">
      <c r="A27" s="614">
        <v>2012</v>
      </c>
      <c r="B27" s="615">
        <v>0</v>
      </c>
      <c r="C27" s="616">
        <v>0</v>
      </c>
      <c r="D27" s="92"/>
      <c r="E27" s="615">
        <f>+'4. Customer Growth'!G18</f>
        <v>22</v>
      </c>
      <c r="F27" s="616">
        <f>+'4. Customer Growth'!H18</f>
        <v>0.99622641509433962</v>
      </c>
      <c r="G27" s="92"/>
      <c r="H27" s="615">
        <f>+'4. Customer Growth'!K18</f>
        <v>1946.75</v>
      </c>
      <c r="I27" s="617">
        <f>+'4. Customer Growth'!L18</f>
        <v>1.0003854059609456</v>
      </c>
    </row>
    <row r="28" spans="1:9" x14ac:dyDescent="0.2">
      <c r="A28" s="614">
        <v>2013</v>
      </c>
      <c r="B28" s="615">
        <v>0</v>
      </c>
      <c r="C28" s="616">
        <v>0</v>
      </c>
      <c r="D28" s="92"/>
      <c r="E28" s="615">
        <f>+'4. Customer Growth'!G19</f>
        <v>21.375</v>
      </c>
      <c r="F28" s="616">
        <f>+'4. Customer Growth'!H19</f>
        <v>0.97159090909090906</v>
      </c>
      <c r="G28" s="92"/>
      <c r="H28" s="615">
        <f>+'4. Customer Growth'!K19</f>
        <v>1948.75</v>
      </c>
      <c r="I28" s="617">
        <f>+'4. Customer Growth'!L19</f>
        <v>1.0010273532811096</v>
      </c>
    </row>
    <row r="29" spans="1:9" x14ac:dyDescent="0.2">
      <c r="A29" s="614">
        <v>2014</v>
      </c>
      <c r="B29" s="615">
        <v>0</v>
      </c>
      <c r="C29" s="616">
        <v>0</v>
      </c>
      <c r="D29" s="92"/>
      <c r="E29" s="615">
        <f>+'4. Customer Growth'!G20</f>
        <v>21.625</v>
      </c>
      <c r="F29" s="616">
        <f>+'4. Customer Growth'!H20</f>
        <v>1.0116959064327486</v>
      </c>
      <c r="G29" s="92"/>
      <c r="H29" s="615">
        <f>+'4. Customer Growth'!K20</f>
        <v>2051.3333333333335</v>
      </c>
      <c r="I29" s="617">
        <f>+'4. Customer Growth'!L20</f>
        <v>1.0526405815693822</v>
      </c>
    </row>
    <row r="30" spans="1:9" x14ac:dyDescent="0.2">
      <c r="A30" s="614">
        <v>2015</v>
      </c>
      <c r="B30" s="615">
        <v>0</v>
      </c>
      <c r="C30" s="616">
        <v>0</v>
      </c>
      <c r="D30" s="92"/>
      <c r="E30" s="615">
        <f>+'4. Customer Growth'!G21</f>
        <v>20.208333333333332</v>
      </c>
      <c r="F30" s="616">
        <f>+'4. Customer Growth'!H21</f>
        <v>0.93448940269749514</v>
      </c>
      <c r="G30" s="92"/>
      <c r="H30" s="615">
        <f>+'4. Customer Growth'!K21</f>
        <v>2080.75</v>
      </c>
      <c r="I30" s="617">
        <f>+'4. Customer Growth'!L21</f>
        <v>1.0143402664933376</v>
      </c>
    </row>
    <row r="31" spans="1:9" x14ac:dyDescent="0.2">
      <c r="A31" s="614">
        <v>2016</v>
      </c>
      <c r="B31" s="615">
        <v>0</v>
      </c>
      <c r="C31" s="616">
        <v>0</v>
      </c>
      <c r="D31" s="92"/>
      <c r="E31" s="615">
        <f>+'4. Customer Growth'!G22</f>
        <v>17.708333333333332</v>
      </c>
      <c r="F31" s="616">
        <f>+'4. Customer Growth'!H22</f>
        <v>0.87628865979381443</v>
      </c>
      <c r="G31" s="92"/>
      <c r="H31" s="615">
        <f>+'4. Customer Growth'!K22</f>
        <v>2120.1666666666665</v>
      </c>
      <c r="I31" s="617">
        <f>+'4. Customer Growth'!L22</f>
        <v>1.01894348992751</v>
      </c>
    </row>
    <row r="32" spans="1:9" x14ac:dyDescent="0.2">
      <c r="A32" s="631">
        <v>2017</v>
      </c>
      <c r="B32" s="632">
        <v>0</v>
      </c>
      <c r="C32" s="622">
        <v>0</v>
      </c>
      <c r="D32" s="633"/>
      <c r="E32" s="632">
        <f>+'4. Customer Growth'!G23</f>
        <v>21.25</v>
      </c>
      <c r="F32" s="622">
        <f>+'4. Customer Growth'!H23</f>
        <v>1.2000000000000002</v>
      </c>
      <c r="G32" s="633"/>
      <c r="H32" s="632">
        <f>+'4. Customer Growth'!K23</f>
        <v>2123.9166666666665</v>
      </c>
      <c r="I32" s="624">
        <f>+'4. Customer Growth'!L23</f>
        <v>1.0017687288735162</v>
      </c>
    </row>
    <row r="33" spans="1:9" x14ac:dyDescent="0.2">
      <c r="A33" s="614"/>
      <c r="B33" s="92"/>
      <c r="C33" s="92"/>
      <c r="D33" s="92"/>
      <c r="E33" s="92"/>
      <c r="F33" s="616"/>
      <c r="G33" s="92"/>
      <c r="H33" s="92"/>
      <c r="I33" s="617"/>
    </row>
    <row r="34" spans="1:9" x14ac:dyDescent="0.2">
      <c r="A34" s="614" t="s">
        <v>4</v>
      </c>
      <c r="B34" s="92"/>
      <c r="C34" s="616">
        <f>+'4. Customer Growth'!D42</f>
        <v>0</v>
      </c>
      <c r="D34" s="92"/>
      <c r="E34" s="92"/>
      <c r="F34" s="616">
        <f>+'4. Customer Growth'!H25</f>
        <v>0.9936094601089358</v>
      </c>
      <c r="G34" s="92"/>
      <c r="H34" s="92"/>
      <c r="I34" s="617">
        <f>+'4. Customer Growth'!L25</f>
        <v>1.0146878018368741</v>
      </c>
    </row>
    <row r="35" spans="1:9" x14ac:dyDescent="0.2">
      <c r="A35" s="614"/>
      <c r="B35" s="92"/>
      <c r="C35" s="92"/>
      <c r="D35" s="92"/>
      <c r="E35" s="92"/>
      <c r="F35" s="92"/>
      <c r="G35" s="92"/>
      <c r="H35" s="92"/>
      <c r="I35" s="618"/>
    </row>
    <row r="36" spans="1:9" x14ac:dyDescent="0.2">
      <c r="A36" s="610">
        <v>2018</v>
      </c>
      <c r="B36" s="634">
        <v>0</v>
      </c>
      <c r="C36" s="635">
        <v>0</v>
      </c>
      <c r="D36" s="636"/>
      <c r="E36" s="634">
        <f>+'4. Customer Growth'!G39</f>
        <v>26</v>
      </c>
      <c r="F36" s="635">
        <f>+'4. Customer Growth'!H39</f>
        <v>1.223529411764706</v>
      </c>
      <c r="G36" s="636"/>
      <c r="H36" s="634">
        <f>+'4. Customer Growth'!K39</f>
        <v>2155.1123337847007</v>
      </c>
      <c r="I36" s="637">
        <f>+'4. Customer Growth'!L39</f>
        <v>1.0146878018368741</v>
      </c>
    </row>
    <row r="37" spans="1:9" x14ac:dyDescent="0.2">
      <c r="A37" s="631">
        <v>2019</v>
      </c>
      <c r="B37" s="621">
        <v>1</v>
      </c>
      <c r="C37" s="622">
        <v>100</v>
      </c>
      <c r="D37" s="623"/>
      <c r="E37" s="621">
        <f>+'4. Customer Growth'!G40</f>
        <v>26</v>
      </c>
      <c r="F37" s="622">
        <f>+'4. Customer Growth'!H40</f>
        <v>1</v>
      </c>
      <c r="G37" s="623"/>
      <c r="H37" s="621">
        <f>+'4. Customer Growth'!K40</f>
        <v>2186.7661966795336</v>
      </c>
      <c r="I37" s="624">
        <f>+'4. Customer Growth'!L40</f>
        <v>1.0146878018368741</v>
      </c>
    </row>
  </sheetData>
  <mergeCells count="6">
    <mergeCell ref="B7:C7"/>
    <mergeCell ref="E7:F7"/>
    <mergeCell ref="H7:I7"/>
    <mergeCell ref="B24:C24"/>
    <mergeCell ref="E24:F24"/>
    <mergeCell ref="H24:I24"/>
  </mergeCell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tint="0.79998168889431442"/>
  </sheetPr>
  <dimension ref="A1:M36"/>
  <sheetViews>
    <sheetView showGridLines="0" zoomScaleNormal="100" workbookViewId="0">
      <selection activeCell="C33" sqref="C33"/>
    </sheetView>
  </sheetViews>
  <sheetFormatPr defaultRowHeight="12.75" x14ac:dyDescent="0.2"/>
  <cols>
    <col min="1" max="1" width="13.6640625" customWidth="1"/>
    <col min="2" max="2" width="68.6640625" customWidth="1"/>
    <col min="3" max="3" width="25.1640625" customWidth="1"/>
    <col min="4" max="4" width="29.5" style="82" customWidth="1"/>
    <col min="5" max="5" width="4.83203125" style="82" customWidth="1"/>
    <col min="6" max="6" width="12" style="82" customWidth="1"/>
    <col min="7" max="7" width="18" customWidth="1"/>
    <col min="9" max="9" width="14.83203125" bestFit="1" customWidth="1"/>
    <col min="10" max="10" width="2.1640625" bestFit="1" customWidth="1"/>
  </cols>
  <sheetData>
    <row r="1" spans="1:13" s="296" customFormat="1" x14ac:dyDescent="0.2">
      <c r="A1" s="366" t="s">
        <v>198</v>
      </c>
    </row>
    <row r="2" spans="1:13" s="296" customFormat="1" x14ac:dyDescent="0.2"/>
    <row r="3" spans="1:13" s="296" customFormat="1" x14ac:dyDescent="0.2"/>
    <row r="4" spans="1:13" s="296" customFormat="1" x14ac:dyDescent="0.2"/>
    <row r="5" spans="1:13" s="296" customFormat="1" x14ac:dyDescent="0.2"/>
    <row r="6" spans="1:13" s="296" customFormat="1" x14ac:dyDescent="0.2"/>
    <row r="7" spans="1:13" s="296" customFormat="1" x14ac:dyDescent="0.2"/>
    <row r="8" spans="1:13" s="296" customFormat="1" x14ac:dyDescent="0.2"/>
    <row r="9" spans="1:13" s="296" customFormat="1" x14ac:dyDescent="0.2"/>
    <row r="10" spans="1:13" ht="12.75" customHeight="1" x14ac:dyDescent="0.2">
      <c r="B10" s="839"/>
      <c r="C10" s="839"/>
      <c r="D10" s="839"/>
      <c r="E10" s="839"/>
      <c r="F10" s="839"/>
      <c r="G10" s="839"/>
      <c r="H10" s="839"/>
      <c r="I10" s="839"/>
      <c r="J10" s="284"/>
      <c r="K10" s="284"/>
      <c r="L10" s="284"/>
      <c r="M10" s="284"/>
    </row>
    <row r="11" spans="1:13" ht="23.25" x14ac:dyDescent="0.2">
      <c r="B11" s="840" t="s">
        <v>122</v>
      </c>
      <c r="C11" s="840"/>
      <c r="D11" s="109"/>
      <c r="E11"/>
      <c r="F11" s="83"/>
      <c r="G11" s="83"/>
      <c r="H11" s="83"/>
    </row>
    <row r="12" spans="1:13" ht="18.75" thickBot="1" x14ac:dyDescent="0.25">
      <c r="C12" s="83"/>
      <c r="D12" s="83"/>
      <c r="E12" s="83"/>
      <c r="F12" s="83"/>
      <c r="G12" s="83"/>
      <c r="H12" s="83"/>
      <c r="I12" s="83"/>
      <c r="J12" s="83"/>
    </row>
    <row r="13" spans="1:13" ht="72" customHeight="1" x14ac:dyDescent="0.2">
      <c r="B13" s="358" t="s">
        <v>72</v>
      </c>
      <c r="C13" s="359" t="s">
        <v>101</v>
      </c>
      <c r="D13" s="360" t="s">
        <v>102</v>
      </c>
      <c r="E13"/>
      <c r="F13"/>
    </row>
    <row r="14" spans="1:13" x14ac:dyDescent="0.2">
      <c r="B14" s="354" t="s">
        <v>6</v>
      </c>
      <c r="C14" s="370" t="s">
        <v>100</v>
      </c>
      <c r="D14" s="371" t="s">
        <v>103</v>
      </c>
      <c r="F14" s="841" t="s">
        <v>140</v>
      </c>
      <c r="G14" s="841"/>
      <c r="I14" s="285" t="s">
        <v>35</v>
      </c>
    </row>
    <row r="15" spans="1:13" x14ac:dyDescent="0.2">
      <c r="B15" s="354" t="s">
        <v>73</v>
      </c>
      <c r="C15" s="370" t="s">
        <v>100</v>
      </c>
      <c r="D15" s="371" t="s">
        <v>103</v>
      </c>
      <c r="E15" s="353"/>
      <c r="F15" s="841"/>
      <c r="G15" s="841"/>
      <c r="I15" s="285" t="s">
        <v>35</v>
      </c>
    </row>
    <row r="16" spans="1:13" x14ac:dyDescent="0.2">
      <c r="B16" s="354" t="s">
        <v>80</v>
      </c>
      <c r="C16" s="370" t="s">
        <v>41</v>
      </c>
      <c r="D16" s="371" t="s">
        <v>41</v>
      </c>
      <c r="E16" s="353"/>
      <c r="F16" s="841"/>
      <c r="G16" s="841"/>
      <c r="I16" s="285" t="s">
        <v>35</v>
      </c>
    </row>
    <row r="17" spans="2:9" ht="13.5" thickBot="1" x14ac:dyDescent="0.25">
      <c r="B17" s="355"/>
      <c r="C17" s="372" t="s">
        <v>103</v>
      </c>
      <c r="D17" s="373" t="s">
        <v>103</v>
      </c>
      <c r="E17" s="353"/>
      <c r="F17" s="841"/>
      <c r="G17" s="841"/>
    </row>
    <row r="18" spans="2:9" ht="13.5" customHeight="1" x14ac:dyDescent="0.2">
      <c r="B18" s="356" t="s">
        <v>197</v>
      </c>
      <c r="C18" s="374" t="s">
        <v>41</v>
      </c>
      <c r="D18" s="375" t="s">
        <v>41</v>
      </c>
      <c r="E18"/>
      <c r="F18" s="842" t="s">
        <v>141</v>
      </c>
      <c r="G18" s="842"/>
      <c r="I18" s="285" t="s">
        <v>36</v>
      </c>
    </row>
    <row r="19" spans="2:9" x14ac:dyDescent="0.2">
      <c r="B19" s="357" t="s">
        <v>79</v>
      </c>
      <c r="C19" s="370" t="s">
        <v>41</v>
      </c>
      <c r="D19" s="371" t="s">
        <v>41</v>
      </c>
      <c r="E19"/>
      <c r="F19" s="842"/>
      <c r="G19" s="842"/>
      <c r="I19" s="285" t="s">
        <v>36</v>
      </c>
    </row>
    <row r="20" spans="2:9" ht="13.5" thickBot="1" x14ac:dyDescent="0.25">
      <c r="B20" s="361" t="s">
        <v>241</v>
      </c>
      <c r="C20" s="376" t="s">
        <v>41</v>
      </c>
      <c r="D20" s="377" t="s">
        <v>41</v>
      </c>
      <c r="E20"/>
      <c r="F20" s="842"/>
      <c r="G20" s="842"/>
      <c r="I20" s="285" t="s">
        <v>36</v>
      </c>
    </row>
    <row r="21" spans="2:9" ht="13.5" thickBot="1" x14ac:dyDescent="0.25">
      <c r="B21" s="362"/>
      <c r="C21" s="378" t="s">
        <v>103</v>
      </c>
      <c r="D21" s="379" t="s">
        <v>103</v>
      </c>
      <c r="E21"/>
      <c r="F21" s="283"/>
      <c r="G21" s="283"/>
      <c r="I21" s="285" t="s">
        <v>36</v>
      </c>
    </row>
    <row r="22" spans="2:9" hidden="1" x14ac:dyDescent="0.2">
      <c r="B22" s="280" t="s">
        <v>81</v>
      </c>
      <c r="C22" s="281" t="s">
        <v>103</v>
      </c>
      <c r="D22" s="282" t="s">
        <v>103</v>
      </c>
      <c r="E22"/>
      <c r="F22"/>
    </row>
    <row r="23" spans="2:9" ht="13.5" hidden="1" thickBot="1" x14ac:dyDescent="0.25">
      <c r="B23" s="187" t="s">
        <v>81</v>
      </c>
      <c r="C23" s="185" t="s">
        <v>103</v>
      </c>
      <c r="D23" s="186" t="s">
        <v>103</v>
      </c>
      <c r="E23"/>
      <c r="F23"/>
    </row>
    <row r="24" spans="2:9" x14ac:dyDescent="0.2">
      <c r="D24"/>
      <c r="E24"/>
      <c r="F24"/>
    </row>
    <row r="25" spans="2:9" x14ac:dyDescent="0.2">
      <c r="D25"/>
      <c r="E25"/>
      <c r="F25"/>
    </row>
    <row r="26" spans="2:9" x14ac:dyDescent="0.2">
      <c r="D26"/>
      <c r="E26"/>
      <c r="F26"/>
    </row>
    <row r="27" spans="2:9" x14ac:dyDescent="0.2">
      <c r="D27"/>
      <c r="E27"/>
      <c r="F27"/>
    </row>
    <row r="28" spans="2:9" x14ac:dyDescent="0.2">
      <c r="D28"/>
      <c r="E28"/>
      <c r="F28"/>
    </row>
    <row r="29" spans="2:9" x14ac:dyDescent="0.2">
      <c r="D29"/>
      <c r="E29"/>
      <c r="F29"/>
    </row>
    <row r="30" spans="2:9" x14ac:dyDescent="0.2">
      <c r="D30"/>
      <c r="E30"/>
      <c r="F30"/>
    </row>
    <row r="31" spans="2:9" x14ac:dyDescent="0.2">
      <c r="D31"/>
      <c r="E31"/>
      <c r="F31"/>
    </row>
    <row r="32" spans="2:9" x14ac:dyDescent="0.2">
      <c r="D32"/>
      <c r="E32"/>
      <c r="F32"/>
    </row>
    <row r="33" spans="3:6" x14ac:dyDescent="0.2">
      <c r="D33"/>
      <c r="E33"/>
      <c r="F33"/>
    </row>
    <row r="34" spans="3:6" x14ac:dyDescent="0.2">
      <c r="D34"/>
      <c r="E34"/>
      <c r="F34"/>
    </row>
    <row r="35" spans="3:6" x14ac:dyDescent="0.2">
      <c r="D35"/>
      <c r="E35"/>
      <c r="F35"/>
    </row>
    <row r="36" spans="3:6" x14ac:dyDescent="0.2">
      <c r="C36" s="82"/>
      <c r="F36"/>
    </row>
  </sheetData>
  <mergeCells count="4">
    <mergeCell ref="B11:C11"/>
    <mergeCell ref="F14:G17"/>
    <mergeCell ref="F18:G20"/>
    <mergeCell ref="B10:I10"/>
  </mergeCells>
  <dataValidations count="1">
    <dataValidation type="list" allowBlank="1" showInputMessage="1" showErrorMessage="1" sqref="C14:D23">
      <formula1>"Weather-Sensitive,Non-Weather Sensitive,n/a"</formula1>
    </dataValidation>
  </dataValidations>
  <pageMargins left="0.7" right="0.7" top="0.75" bottom="0.75" header="0.3" footer="0.3"/>
  <pageSetup scale="71" orientation="landscape" horizontalDpi="4294967293" verticalDpi="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H36"/>
  <sheetViews>
    <sheetView workbookViewId="0">
      <selection activeCell="O26" sqref="O26"/>
    </sheetView>
  </sheetViews>
  <sheetFormatPr defaultRowHeight="12.75" x14ac:dyDescent="0.2"/>
  <cols>
    <col min="1" max="1" width="18.1640625" style="296" customWidth="1"/>
    <col min="2" max="2" width="17.6640625" style="296" bestFit="1" customWidth="1"/>
    <col min="3" max="4" width="16.5" style="296" customWidth="1"/>
    <col min="5" max="5" width="16.6640625" style="296" customWidth="1"/>
    <col min="6" max="7" width="16.83203125" style="296" customWidth="1"/>
    <col min="8" max="8" width="16.33203125" style="296" customWidth="1"/>
    <col min="9" max="16384" width="9.33203125" style="296"/>
  </cols>
  <sheetData>
    <row r="8" spans="1:8" s="38" customFormat="1" x14ac:dyDescent="0.2">
      <c r="A8" s="645"/>
      <c r="B8" s="643">
        <v>2011</v>
      </c>
      <c r="C8" s="643">
        <v>2012</v>
      </c>
      <c r="D8" s="643">
        <v>2013</v>
      </c>
      <c r="E8" s="643">
        <v>2014</v>
      </c>
      <c r="F8" s="643">
        <v>2015</v>
      </c>
      <c r="G8" s="643">
        <v>2016</v>
      </c>
      <c r="H8" s="644">
        <v>2017</v>
      </c>
    </row>
    <row r="9" spans="1:8" x14ac:dyDescent="0.2">
      <c r="A9" s="638" t="s">
        <v>291</v>
      </c>
      <c r="B9" s="634">
        <f>SUM('6. WS Regression Analysis'!C20:C31)</f>
        <v>172952898.18321502</v>
      </c>
      <c r="C9" s="634">
        <f>SUM('6. WS Regression Analysis'!C32:C43)</f>
        <v>175015278</v>
      </c>
      <c r="D9" s="634">
        <f>SUM('6. WS Regression Analysis'!C44:C55)</f>
        <v>174453179</v>
      </c>
      <c r="E9" s="634">
        <f>SUM('6. WS Regression Analysis'!C56:C67)</f>
        <v>182267235</v>
      </c>
      <c r="F9" s="634">
        <f>SUM('6. WS Regression Analysis'!C68:C79)</f>
        <v>186601102.16499999</v>
      </c>
      <c r="G9" s="634">
        <f>SUM('6. WS Regression Analysis'!C80:C91)</f>
        <v>194519543.067</v>
      </c>
      <c r="H9" s="639">
        <f>SUM('6. WS Regression Analysis'!C92:C103)</f>
        <v>190337392</v>
      </c>
    </row>
    <row r="10" spans="1:8" x14ac:dyDescent="0.2">
      <c r="A10" s="640" t="s">
        <v>250</v>
      </c>
      <c r="B10" s="620">
        <f>SUM('6. WS Regression Analysis'!F20:F31)</f>
        <v>15095889.169333335</v>
      </c>
      <c r="C10" s="620">
        <f>SUM('6. WS Regression Analysis'!F32:F43)</f>
        <v>12668908.4124</v>
      </c>
      <c r="D10" s="620">
        <f>SUM('6. WS Regression Analysis'!F44:F55)</f>
        <v>13566558.821999999</v>
      </c>
      <c r="E10" s="620">
        <f>SUM('6. WS Regression Analysis'!F56:F67)</f>
        <v>12179334.913999999</v>
      </c>
      <c r="F10" s="620">
        <f>SUM('6. WS Regression Analysis'!F68:F79)</f>
        <v>12739289.1</v>
      </c>
      <c r="G10" s="620">
        <f>SUM('6. WS Regression Analysis'!F80:F91)</f>
        <v>12038127.3652</v>
      </c>
      <c r="H10" s="641">
        <f>SUM('6. WS Regression Analysis'!F92:F103)</f>
        <v>10971592.099999998</v>
      </c>
    </row>
    <row r="11" spans="1:8" x14ac:dyDescent="0.2">
      <c r="A11" s="640" t="s">
        <v>249</v>
      </c>
      <c r="B11" s="620">
        <f>SUM('6. WS Regression Analysis'!E20:E31)</f>
        <v>3911.11</v>
      </c>
      <c r="C11" s="620">
        <f>SUM('6. WS Regression Analysis'!E32:E43)</f>
        <v>598435.04</v>
      </c>
      <c r="D11" s="620">
        <f>SUM('6. WS Regression Analysis'!E44:E55)</f>
        <v>650443.99665024632</v>
      </c>
      <c r="E11" s="620">
        <f>SUM('6. WS Regression Analysis'!E56:E67)</f>
        <v>851260.10819354851</v>
      </c>
      <c r="F11" s="620">
        <f>SUM('6. WS Regression Analysis'!E68:E79)</f>
        <v>866604.7</v>
      </c>
      <c r="G11" s="620">
        <f>SUM('6. WS Regression Analysis'!E80:E91)</f>
        <v>895000</v>
      </c>
      <c r="H11" s="641">
        <f>SUM('6. WS Regression Analysis'!E92:E103)</f>
        <v>867722.53986999998</v>
      </c>
    </row>
    <row r="12" spans="1:8" x14ac:dyDescent="0.2">
      <c r="A12" s="640" t="s">
        <v>292</v>
      </c>
      <c r="B12" s="620">
        <f>SUM('6. WS Regression Analysis'!D20:D31)</f>
        <v>245822.53745161291</v>
      </c>
      <c r="C12" s="620">
        <f>SUM('6. WS Regression Analysis'!D32:D43)</f>
        <v>886451.47999999986</v>
      </c>
      <c r="D12" s="620">
        <f>SUM('6. WS Regression Analysis'!D44:D55)</f>
        <v>1152871.3199999998</v>
      </c>
      <c r="E12" s="620">
        <f>SUM('6. WS Regression Analysis'!D56:D67)</f>
        <v>1453817.37</v>
      </c>
      <c r="F12" s="620">
        <f>SUM('6. WS Regression Analysis'!D68:D79)</f>
        <v>1566819.2922414285</v>
      </c>
      <c r="G12" s="620">
        <f>SUM('6. WS Regression Analysis'!D80:D91)</f>
        <v>1736631.2567499997</v>
      </c>
      <c r="H12" s="641">
        <f>SUM('6. WS Regression Analysis'!D92:D103)</f>
        <v>1608059.9093299999</v>
      </c>
    </row>
    <row r="13" spans="1:8" x14ac:dyDescent="0.2">
      <c r="A13" s="619"/>
      <c r="B13" s="620"/>
      <c r="C13" s="620"/>
      <c r="D13" s="620"/>
      <c r="E13" s="620"/>
      <c r="F13" s="620"/>
      <c r="G13" s="620"/>
      <c r="H13" s="641"/>
    </row>
    <row r="14" spans="1:8" x14ac:dyDescent="0.2">
      <c r="A14" s="646" t="s">
        <v>16</v>
      </c>
      <c r="B14" s="647">
        <f>SUM(B9:B12)</f>
        <v>188298521</v>
      </c>
      <c r="C14" s="647">
        <f t="shared" ref="C14:H14" si="0">SUM(C9:C12)</f>
        <v>189169072.93239999</v>
      </c>
      <c r="D14" s="647">
        <f t="shared" si="0"/>
        <v>189823053.13865024</v>
      </c>
      <c r="E14" s="647">
        <f t="shared" si="0"/>
        <v>196751647.39219356</v>
      </c>
      <c r="F14" s="647">
        <f t="shared" si="0"/>
        <v>201773815.2572414</v>
      </c>
      <c r="G14" s="647">
        <f t="shared" si="0"/>
        <v>209189301.68895</v>
      </c>
      <c r="H14" s="648">
        <f t="shared" si="0"/>
        <v>203784766.5492</v>
      </c>
    </row>
    <row r="23" spans="1:8" x14ac:dyDescent="0.2">
      <c r="A23" s="940" t="s">
        <v>346</v>
      </c>
      <c r="B23" s="940"/>
      <c r="C23" s="940"/>
      <c r="D23" s="940"/>
      <c r="E23" s="940"/>
      <c r="F23" s="940"/>
      <c r="G23" s="940"/>
      <c r="H23" s="940"/>
    </row>
    <row r="24" spans="1:8" x14ac:dyDescent="0.2">
      <c r="A24" s="829"/>
      <c r="B24" s="830">
        <v>2011</v>
      </c>
      <c r="C24" s="830">
        <v>2012</v>
      </c>
      <c r="D24" s="830">
        <v>2013</v>
      </c>
      <c r="E24" s="830">
        <v>2014</v>
      </c>
      <c r="F24" s="830">
        <v>2015</v>
      </c>
      <c r="G24" s="830">
        <v>2016</v>
      </c>
      <c r="H24" s="831">
        <v>2017</v>
      </c>
    </row>
    <row r="25" spans="1:8" s="148" customFormat="1" x14ac:dyDescent="0.2">
      <c r="A25" s="833" t="s">
        <v>344</v>
      </c>
      <c r="B25" s="148">
        <f>+'11. Final Load Forecast'!D15</f>
        <v>66976829.959999993</v>
      </c>
      <c r="C25" s="148">
        <f>+'11. Final Load Forecast'!E15</f>
        <v>67086975.060000002</v>
      </c>
      <c r="D25" s="148">
        <f>+'11. Final Load Forecast'!F15</f>
        <v>68126808.569999993</v>
      </c>
      <c r="E25" s="148">
        <f>+'11. Final Load Forecast'!G15</f>
        <v>68599527.920000017</v>
      </c>
      <c r="F25" s="148">
        <f>+'11. Final Load Forecast'!H15</f>
        <v>69624978.280000001</v>
      </c>
      <c r="G25" s="148">
        <f>+'11. Final Load Forecast'!I15</f>
        <v>74189661.459999993</v>
      </c>
      <c r="H25" s="148">
        <f>+'11. Final Load Forecast'!J15</f>
        <v>71017298.550000012</v>
      </c>
    </row>
    <row r="26" spans="1:8" s="148" customFormat="1" x14ac:dyDescent="0.2">
      <c r="A26" s="833" t="s">
        <v>244</v>
      </c>
      <c r="B26" s="148">
        <f>+'11. Final Load Forecast'!D14</f>
        <v>6594.125</v>
      </c>
      <c r="C26" s="148">
        <f>+'11. Final Load Forecast'!E14</f>
        <v>6716.25</v>
      </c>
      <c r="D26" s="148">
        <f>+'11. Final Load Forecast'!F14</f>
        <v>6912.458333333333</v>
      </c>
      <c r="E26" s="148">
        <f>+'11. Final Load Forecast'!G14</f>
        <v>7110.208333333333</v>
      </c>
      <c r="F26" s="148">
        <f>+'11. Final Load Forecast'!H14</f>
        <v>7389.208333333333</v>
      </c>
      <c r="G26" s="148">
        <f>+'11. Final Load Forecast'!I14</f>
        <v>7660.791666666667</v>
      </c>
      <c r="H26" s="148">
        <f>+'11. Final Load Forecast'!J14</f>
        <v>7838.375</v>
      </c>
    </row>
    <row r="27" spans="1:8" s="148" customFormat="1" ht="25.5" x14ac:dyDescent="0.2">
      <c r="A27" s="834" t="s">
        <v>345</v>
      </c>
      <c r="B27" s="832">
        <f>+B25/B26/12</f>
        <v>846.42048742883492</v>
      </c>
      <c r="C27" s="832">
        <f t="shared" ref="C27:H27" si="1">+C25/C26/12</f>
        <v>832.39624120603014</v>
      </c>
      <c r="D27" s="832">
        <f t="shared" si="1"/>
        <v>821.30463197487632</v>
      </c>
      <c r="E27" s="832">
        <f t="shared" si="1"/>
        <v>804.00278847900643</v>
      </c>
      <c r="F27" s="832">
        <f t="shared" si="1"/>
        <v>785.21016888367615</v>
      </c>
      <c r="G27" s="832">
        <f t="shared" si="1"/>
        <v>807.02779260193938</v>
      </c>
      <c r="H27" s="832">
        <f t="shared" si="1"/>
        <v>755.01723412059266</v>
      </c>
    </row>
    <row r="28" spans="1:8" s="148" customFormat="1" x14ac:dyDescent="0.2">
      <c r="A28" s="833"/>
    </row>
    <row r="29" spans="1:8" s="148" customFormat="1" x14ac:dyDescent="0.2">
      <c r="A29" s="833"/>
    </row>
    <row r="30" spans="1:8" x14ac:dyDescent="0.2">
      <c r="A30" s="940" t="s">
        <v>347</v>
      </c>
      <c r="B30" s="940"/>
      <c r="C30" s="940"/>
      <c r="D30" s="940"/>
      <c r="E30" s="940"/>
      <c r="F30" s="940"/>
      <c r="G30" s="940"/>
      <c r="H30" s="940"/>
    </row>
    <row r="31" spans="1:8" x14ac:dyDescent="0.2">
      <c r="A31" s="835"/>
      <c r="B31" s="830">
        <v>2011</v>
      </c>
      <c r="C31" s="830">
        <v>2012</v>
      </c>
      <c r="D31" s="830">
        <v>2013</v>
      </c>
      <c r="E31" s="830">
        <v>2014</v>
      </c>
      <c r="F31" s="830">
        <v>2015</v>
      </c>
      <c r="G31" s="830">
        <v>2016</v>
      </c>
      <c r="H31" s="831">
        <v>2017</v>
      </c>
    </row>
    <row r="32" spans="1:8" x14ac:dyDescent="0.2">
      <c r="A32" s="833" t="s">
        <v>344</v>
      </c>
      <c r="B32" s="148">
        <f>+'11. Final Load Forecast'!D19</f>
        <v>34321035.060000002</v>
      </c>
      <c r="C32" s="148">
        <f>+'11. Final Load Forecast'!E19</f>
        <v>35374878.009999998</v>
      </c>
      <c r="D32" s="148">
        <f>+'11. Final Load Forecast'!F19</f>
        <v>35291130.910000004</v>
      </c>
      <c r="E32" s="148">
        <f>+'11. Final Load Forecast'!G19</f>
        <v>39288460.370000005</v>
      </c>
      <c r="F32" s="148">
        <f>+'11. Final Load Forecast'!H19</f>
        <v>41172287.869999997</v>
      </c>
      <c r="G32" s="148">
        <f>+'11. Final Load Forecast'!I19</f>
        <v>43510840.949999996</v>
      </c>
      <c r="H32" s="148">
        <f>+'11. Final Load Forecast'!J19</f>
        <v>40733064.149999999</v>
      </c>
    </row>
    <row r="33" spans="1:8" x14ac:dyDescent="0.2">
      <c r="A33" s="833" t="s">
        <v>244</v>
      </c>
      <c r="B33" s="148">
        <f>+'11. Final Load Forecast'!D18</f>
        <v>1234.6666666666667</v>
      </c>
      <c r="C33" s="148">
        <f>+'11. Final Load Forecast'!E18</f>
        <v>1268.9583333333333</v>
      </c>
      <c r="D33" s="148">
        <f>+'11. Final Load Forecast'!F18</f>
        <v>1221.0416666666667</v>
      </c>
      <c r="E33" s="148">
        <f>+'11. Final Load Forecast'!G18</f>
        <v>1311.8333333333333</v>
      </c>
      <c r="F33" s="148">
        <f>+'11. Final Load Forecast'!H18</f>
        <v>1321.5416666666667</v>
      </c>
      <c r="G33" s="148">
        <f>+'11. Final Load Forecast'!I18</f>
        <v>1332.7083333333333</v>
      </c>
      <c r="H33" s="148">
        <f>+'11. Final Load Forecast'!J18</f>
        <v>1331.6666666666667</v>
      </c>
    </row>
    <row r="34" spans="1:8" ht="25.5" x14ac:dyDescent="0.2">
      <c r="A34" s="834" t="s">
        <v>345</v>
      </c>
      <c r="B34" s="832">
        <f>+B32/B33/12</f>
        <v>2316.4845477861772</v>
      </c>
      <c r="C34" s="832">
        <f t="shared" ref="C34" si="2">+C32/C33/12</f>
        <v>2323.091644065014</v>
      </c>
      <c r="D34" s="832">
        <f t="shared" ref="D34" si="3">+D32/D33/12</f>
        <v>2408.5399017232553</v>
      </c>
      <c r="E34" s="832">
        <f t="shared" ref="E34" si="4">+E32/E33/12</f>
        <v>2495.7731145978914</v>
      </c>
      <c r="F34" s="832">
        <f t="shared" ref="F34" si="5">+F32/F33/12</f>
        <v>2596.2283866696093</v>
      </c>
      <c r="G34" s="832">
        <f t="shared" ref="G34" si="6">+G32/G33/12</f>
        <v>2720.7028888541504</v>
      </c>
      <c r="H34" s="832">
        <f t="shared" ref="H34" si="7">+H32/H33/12</f>
        <v>2549.0027628285357</v>
      </c>
    </row>
    <row r="35" spans="1:8" x14ac:dyDescent="0.2">
      <c r="A35" s="40"/>
    </row>
    <row r="36" spans="1:8" x14ac:dyDescent="0.2">
      <c r="A36" s="40"/>
    </row>
  </sheetData>
  <mergeCells count="2">
    <mergeCell ref="A23:H23"/>
    <mergeCell ref="A30:H30"/>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FFC000"/>
  </sheetPr>
  <dimension ref="A1:V60"/>
  <sheetViews>
    <sheetView showGridLines="0" topLeftCell="A16" workbookViewId="0">
      <selection activeCell="F7" sqref="F7"/>
    </sheetView>
  </sheetViews>
  <sheetFormatPr defaultRowHeight="12.75" x14ac:dyDescent="0.2"/>
  <cols>
    <col min="1" max="1" width="2.6640625" customWidth="1"/>
    <col min="2" max="3" width="4.33203125" customWidth="1"/>
    <col min="4" max="4" width="42.33203125" customWidth="1"/>
    <col min="5" max="5" width="3" customWidth="1"/>
    <col min="6" max="6" width="18.6640625" customWidth="1"/>
    <col min="7" max="7" width="3.6640625" customWidth="1"/>
    <col min="8" max="8" width="17.1640625" customWidth="1"/>
    <col min="9" max="9" width="3.83203125" customWidth="1"/>
    <col min="10" max="10" width="14.6640625" customWidth="1"/>
    <col min="11" max="11" width="3.5" customWidth="1"/>
    <col min="12" max="12" width="18.6640625" customWidth="1"/>
    <col min="13" max="13" width="3.33203125" customWidth="1"/>
    <col min="14" max="14" width="15.5" customWidth="1"/>
    <col min="15" max="15" width="4" customWidth="1"/>
    <col min="16" max="16" width="12.6640625" customWidth="1"/>
    <col min="17" max="17" width="4.6640625" customWidth="1"/>
    <col min="18" max="18" width="18.1640625" customWidth="1"/>
    <col min="19" max="19" width="4.33203125" customWidth="1"/>
    <col min="20" max="20" width="15.1640625" customWidth="1"/>
    <col min="21" max="21" width="4" customWidth="1"/>
    <col min="22" max="22" width="13.5" customWidth="1"/>
  </cols>
  <sheetData>
    <row r="1" spans="1:22" s="296" customFormat="1" x14ac:dyDescent="0.2">
      <c r="A1" s="366" t="s">
        <v>198</v>
      </c>
    </row>
    <row r="2" spans="1:22" s="296" customFormat="1" x14ac:dyDescent="0.2"/>
    <row r="3" spans="1:22" s="296" customFormat="1" x14ac:dyDescent="0.2"/>
    <row r="4" spans="1:22" s="296" customFormat="1" x14ac:dyDescent="0.2"/>
    <row r="5" spans="1:22" s="296" customFormat="1" x14ac:dyDescent="0.2"/>
    <row r="6" spans="1:22" s="296" customFormat="1" x14ac:dyDescent="0.2"/>
    <row r="7" spans="1:22" s="296" customFormat="1" x14ac:dyDescent="0.2"/>
    <row r="8" spans="1:22" s="296" customFormat="1" x14ac:dyDescent="0.2"/>
    <row r="10" spans="1:22" ht="18" x14ac:dyDescent="0.25">
      <c r="B10" s="942" t="s">
        <v>202</v>
      </c>
      <c r="C10" s="942"/>
      <c r="D10" s="942"/>
      <c r="E10" s="942"/>
      <c r="F10" s="942"/>
      <c r="G10" s="942"/>
      <c r="H10" s="942"/>
      <c r="I10" s="942"/>
      <c r="J10" s="942"/>
      <c r="K10" s="942"/>
      <c r="L10" s="942"/>
      <c r="M10" s="942"/>
      <c r="N10" s="942"/>
      <c r="O10" s="942"/>
      <c r="P10" s="942"/>
      <c r="Q10" s="942"/>
      <c r="R10" s="942"/>
      <c r="S10" s="942"/>
      <c r="T10" s="942"/>
      <c r="U10" s="942"/>
      <c r="V10" s="942"/>
    </row>
    <row r="12" spans="1:22" ht="26.25" customHeight="1" x14ac:dyDescent="0.2">
      <c r="B12" s="943" t="s">
        <v>203</v>
      </c>
      <c r="C12" s="944"/>
      <c r="D12" s="944"/>
      <c r="E12" s="944"/>
      <c r="F12" s="944"/>
      <c r="G12" s="944"/>
      <c r="H12" s="944"/>
      <c r="I12" s="944"/>
      <c r="J12" s="944"/>
      <c r="K12" s="944"/>
      <c r="L12" s="944"/>
      <c r="M12" s="944"/>
      <c r="N12" s="944"/>
      <c r="O12" s="944"/>
      <c r="P12" s="944"/>
      <c r="Q12" s="944"/>
      <c r="R12" s="944"/>
      <c r="S12" s="944"/>
      <c r="T12" s="944"/>
      <c r="U12" s="944"/>
      <c r="V12" s="944"/>
    </row>
    <row r="13" spans="1:22" ht="15" customHeight="1" x14ac:dyDescent="0.2">
      <c r="B13" s="383"/>
      <c r="C13" s="383"/>
      <c r="D13" s="383"/>
      <c r="E13" s="383"/>
      <c r="F13" s="383"/>
      <c r="G13" s="383"/>
      <c r="H13" s="383"/>
      <c r="I13" s="383"/>
      <c r="J13" s="383"/>
      <c r="K13" s="383"/>
      <c r="L13" s="383"/>
      <c r="M13" s="383"/>
      <c r="N13" s="383"/>
      <c r="O13" s="383"/>
      <c r="P13" s="383"/>
      <c r="Q13" s="383"/>
      <c r="R13" s="383"/>
      <c r="S13" s="383"/>
      <c r="T13" s="383"/>
      <c r="U13" s="383"/>
      <c r="V13" s="383"/>
    </row>
    <row r="14" spans="1:22" ht="25.5" customHeight="1" x14ac:dyDescent="0.2">
      <c r="B14" s="943" t="s">
        <v>204</v>
      </c>
      <c r="C14" s="944"/>
      <c r="D14" s="944"/>
      <c r="E14" s="944"/>
      <c r="F14" s="944"/>
      <c r="G14" s="944"/>
      <c r="H14" s="944"/>
      <c r="I14" s="944"/>
      <c r="J14" s="944"/>
      <c r="K14" s="944"/>
      <c r="L14" s="944"/>
      <c r="M14" s="944"/>
      <c r="N14" s="944"/>
      <c r="O14" s="944"/>
      <c r="P14" s="944"/>
      <c r="Q14" s="944"/>
      <c r="R14" s="944"/>
      <c r="S14" s="944"/>
      <c r="T14" s="944"/>
      <c r="U14" s="944"/>
      <c r="V14" s="944"/>
    </row>
    <row r="15" spans="1:22" ht="12.75" customHeight="1" x14ac:dyDescent="0.2">
      <c r="B15" s="384"/>
      <c r="C15" s="383"/>
      <c r="D15" s="383"/>
      <c r="E15" s="383"/>
      <c r="F15" s="383"/>
      <c r="G15" s="383"/>
      <c r="H15" s="383"/>
      <c r="I15" s="383"/>
      <c r="J15" s="383"/>
      <c r="K15" s="383"/>
      <c r="L15" s="383"/>
      <c r="M15" s="383"/>
      <c r="N15" s="383"/>
      <c r="O15" s="383"/>
      <c r="P15" s="383"/>
      <c r="Q15" s="383"/>
      <c r="R15" s="383"/>
      <c r="S15" s="383"/>
      <c r="T15" s="383"/>
      <c r="U15" s="383"/>
      <c r="V15" s="383"/>
    </row>
    <row r="16" spans="1:22" ht="14.25" customHeight="1" x14ac:dyDescent="0.2">
      <c r="B16" s="945" t="s">
        <v>205</v>
      </c>
      <c r="C16" s="945"/>
      <c r="D16" s="945"/>
      <c r="E16" s="945"/>
      <c r="F16" s="945"/>
      <c r="G16" s="945"/>
      <c r="H16" s="945"/>
      <c r="I16" s="945"/>
      <c r="J16" s="945"/>
      <c r="K16" s="945"/>
      <c r="L16" s="945"/>
      <c r="M16" s="945"/>
      <c r="N16" s="945"/>
      <c r="O16" s="945"/>
      <c r="P16" s="945"/>
      <c r="Q16" s="945"/>
      <c r="R16" s="945"/>
      <c r="S16" s="945"/>
      <c r="T16" s="945"/>
      <c r="U16" s="945"/>
      <c r="V16" s="945"/>
    </row>
    <row r="18" spans="2:22" x14ac:dyDescent="0.2">
      <c r="D18" s="118" t="s">
        <v>206</v>
      </c>
      <c r="F18" s="946"/>
      <c r="G18" s="946"/>
      <c r="H18" s="946"/>
      <c r="I18" s="946"/>
      <c r="J18" s="946"/>
    </row>
    <row r="20" spans="2:22" x14ac:dyDescent="0.2">
      <c r="D20" s="385" t="s">
        <v>207</v>
      </c>
      <c r="F20" s="947" t="s">
        <v>272</v>
      </c>
      <c r="G20" s="948"/>
      <c r="H20" s="948"/>
      <c r="I20" s="948"/>
      <c r="J20" s="949"/>
      <c r="L20" s="947" t="s">
        <v>29</v>
      </c>
      <c r="M20" s="948"/>
      <c r="N20" s="948"/>
      <c r="O20" s="948"/>
      <c r="P20" s="949"/>
      <c r="R20" s="947" t="s">
        <v>273</v>
      </c>
      <c r="S20" s="948"/>
      <c r="T20" s="948"/>
      <c r="U20" s="948"/>
      <c r="V20" s="949"/>
    </row>
    <row r="21" spans="2:22" x14ac:dyDescent="0.2">
      <c r="D21" s="386"/>
      <c r="F21" s="387"/>
      <c r="G21" s="388"/>
      <c r="H21" s="388"/>
      <c r="I21" s="388"/>
      <c r="J21" s="191"/>
      <c r="L21" s="387"/>
      <c r="M21" s="388"/>
      <c r="N21" s="388"/>
      <c r="O21" s="388"/>
      <c r="P21" s="191"/>
      <c r="R21" s="387"/>
      <c r="S21" s="388"/>
      <c r="T21" s="388"/>
      <c r="U21" s="388"/>
      <c r="V21" s="191"/>
    </row>
    <row r="22" spans="2:22" ht="25.5" x14ac:dyDescent="0.2">
      <c r="D22" s="950" t="s">
        <v>208</v>
      </c>
      <c r="F22" s="389" t="s">
        <v>209</v>
      </c>
      <c r="G22" s="390"/>
      <c r="H22" s="390" t="s">
        <v>35</v>
      </c>
      <c r="I22" s="390"/>
      <c r="J22" s="391" t="s">
        <v>210</v>
      </c>
      <c r="K22" s="392"/>
      <c r="L22" s="389" t="str">
        <f>F22</f>
        <v>Customer / Connections</v>
      </c>
      <c r="M22" s="390"/>
      <c r="N22" s="390" t="str">
        <f>H22</f>
        <v>kWh</v>
      </c>
      <c r="O22" s="390"/>
      <c r="P22" s="391" t="s">
        <v>210</v>
      </c>
      <c r="Q22" s="392"/>
      <c r="R22" s="389" t="str">
        <f>F22</f>
        <v>Customer / Connections</v>
      </c>
      <c r="S22" s="390"/>
      <c r="T22" s="390" t="str">
        <f>H22</f>
        <v>kWh</v>
      </c>
      <c r="U22" s="390"/>
      <c r="V22" s="391" t="s">
        <v>210</v>
      </c>
    </row>
    <row r="23" spans="2:22" ht="26.25" customHeight="1" x14ac:dyDescent="0.2">
      <c r="D23" s="950"/>
      <c r="F23" s="393" t="s">
        <v>211</v>
      </c>
      <c r="G23" s="394"/>
      <c r="H23" s="394" t="s">
        <v>212</v>
      </c>
      <c r="I23" s="394"/>
      <c r="J23" s="395" t="s">
        <v>212</v>
      </c>
      <c r="K23" s="392"/>
      <c r="L23" s="393" t="str">
        <f>F23</f>
        <v>Test Year average or mid-year</v>
      </c>
      <c r="M23" s="394"/>
      <c r="N23" s="394" t="str">
        <f>H23</f>
        <v>Annual</v>
      </c>
      <c r="O23" s="394"/>
      <c r="P23" s="395" t="str">
        <f>J23</f>
        <v>Annual</v>
      </c>
      <c r="Q23" s="392"/>
      <c r="R23" s="393" t="str">
        <f>F23</f>
        <v>Test Year average or mid-year</v>
      </c>
      <c r="S23" s="394"/>
      <c r="T23" s="394" t="str">
        <f>H23</f>
        <v>Annual</v>
      </c>
      <c r="U23" s="394"/>
      <c r="V23" s="395" t="str">
        <f>J23</f>
        <v>Annual</v>
      </c>
    </row>
    <row r="24" spans="2:22" ht="10.5" customHeight="1" x14ac:dyDescent="0.2">
      <c r="D24" s="386"/>
      <c r="F24" s="387"/>
      <c r="G24" s="388"/>
      <c r="H24" s="388"/>
      <c r="I24" s="388"/>
      <c r="J24" s="191"/>
      <c r="L24" s="387"/>
      <c r="M24" s="388"/>
      <c r="N24" s="388"/>
      <c r="O24" s="388"/>
      <c r="P24" s="191"/>
      <c r="R24" s="387"/>
      <c r="S24" s="388"/>
      <c r="T24" s="388"/>
      <c r="U24" s="388"/>
      <c r="V24" s="191"/>
    </row>
    <row r="25" spans="2:22" x14ac:dyDescent="0.2">
      <c r="B25" s="118">
        <v>1</v>
      </c>
      <c r="D25" s="396" t="s">
        <v>6</v>
      </c>
      <c r="F25" s="397"/>
      <c r="G25" s="388"/>
      <c r="H25" s="398"/>
      <c r="I25" s="388"/>
      <c r="J25" s="399"/>
      <c r="L25" s="397"/>
      <c r="M25" s="388"/>
      <c r="N25" s="398"/>
      <c r="O25" s="388"/>
      <c r="P25" s="399"/>
      <c r="R25" s="397"/>
      <c r="S25" s="388"/>
      <c r="T25" s="398"/>
      <c r="U25" s="388"/>
      <c r="V25" s="399"/>
    </row>
    <row r="26" spans="2:22" x14ac:dyDescent="0.2">
      <c r="B26" s="118">
        <v>2</v>
      </c>
      <c r="D26" s="400"/>
      <c r="F26" s="397"/>
      <c r="G26" s="388"/>
      <c r="H26" s="398"/>
      <c r="I26" s="388"/>
      <c r="J26" s="399"/>
      <c r="L26" s="397"/>
      <c r="M26" s="388"/>
      <c r="N26" s="398"/>
      <c r="O26" s="388"/>
      <c r="P26" s="399"/>
      <c r="R26" s="397"/>
      <c r="S26" s="388"/>
      <c r="T26" s="398"/>
      <c r="U26" s="388"/>
      <c r="V26" s="399"/>
    </row>
    <row r="27" spans="2:22" x14ac:dyDescent="0.2">
      <c r="B27" s="118">
        <v>3</v>
      </c>
      <c r="D27" s="400"/>
      <c r="F27" s="397"/>
      <c r="G27" s="388"/>
      <c r="H27" s="398"/>
      <c r="I27" s="388"/>
      <c r="J27" s="399"/>
      <c r="L27" s="397"/>
      <c r="M27" s="388"/>
      <c r="N27" s="398"/>
      <c r="O27" s="388"/>
      <c r="P27" s="399"/>
      <c r="R27" s="397"/>
      <c r="S27" s="388"/>
      <c r="T27" s="398"/>
      <c r="U27" s="388"/>
      <c r="V27" s="399"/>
    </row>
    <row r="28" spans="2:22" x14ac:dyDescent="0.2">
      <c r="B28" s="118">
        <v>4</v>
      </c>
      <c r="D28" s="400"/>
      <c r="F28" s="397"/>
      <c r="G28" s="388"/>
      <c r="H28" s="398"/>
      <c r="I28" s="388"/>
      <c r="J28" s="399"/>
      <c r="L28" s="397"/>
      <c r="M28" s="388"/>
      <c r="N28" s="398"/>
      <c r="O28" s="388"/>
      <c r="P28" s="399"/>
      <c r="R28" s="397"/>
      <c r="S28" s="388"/>
      <c r="T28" s="398"/>
      <c r="U28" s="388"/>
      <c r="V28" s="399"/>
    </row>
    <row r="29" spans="2:22" x14ac:dyDescent="0.2">
      <c r="B29" s="118">
        <v>5</v>
      </c>
      <c r="D29" s="400"/>
      <c r="F29" s="397"/>
      <c r="G29" s="388"/>
      <c r="H29" s="398"/>
      <c r="I29" s="388"/>
      <c r="J29" s="399"/>
      <c r="L29" s="397"/>
      <c r="M29" s="388"/>
      <c r="N29" s="398"/>
      <c r="O29" s="388"/>
      <c r="P29" s="399"/>
      <c r="R29" s="397"/>
      <c r="S29" s="388"/>
      <c r="T29" s="398"/>
      <c r="U29" s="388"/>
      <c r="V29" s="399"/>
    </row>
    <row r="30" spans="2:22" x14ac:dyDescent="0.2">
      <c r="B30" s="118">
        <v>6</v>
      </c>
      <c r="D30" s="400"/>
      <c r="F30" s="397"/>
      <c r="G30" s="388"/>
      <c r="H30" s="398"/>
      <c r="I30" s="388"/>
      <c r="J30" s="399"/>
      <c r="L30" s="397"/>
      <c r="M30" s="388"/>
      <c r="N30" s="398"/>
      <c r="O30" s="388"/>
      <c r="P30" s="399"/>
      <c r="R30" s="397"/>
      <c r="S30" s="388"/>
      <c r="T30" s="398"/>
      <c r="U30" s="388"/>
      <c r="V30" s="399"/>
    </row>
    <row r="31" spans="2:22" x14ac:dyDescent="0.2">
      <c r="B31" s="118">
        <v>7</v>
      </c>
      <c r="D31" s="400"/>
      <c r="F31" s="397"/>
      <c r="G31" s="388"/>
      <c r="H31" s="398"/>
      <c r="I31" s="388"/>
      <c r="J31" s="399"/>
      <c r="L31" s="397"/>
      <c r="M31" s="388"/>
      <c r="N31" s="398"/>
      <c r="O31" s="388"/>
      <c r="P31" s="399"/>
      <c r="R31" s="397"/>
      <c r="S31" s="388"/>
      <c r="T31" s="398"/>
      <c r="U31" s="388"/>
      <c r="V31" s="399"/>
    </row>
    <row r="32" spans="2:22" x14ac:dyDescent="0.2">
      <c r="B32" s="118">
        <v>8</v>
      </c>
      <c r="D32" s="401"/>
      <c r="F32" s="397"/>
      <c r="G32" s="388"/>
      <c r="H32" s="398"/>
      <c r="I32" s="388"/>
      <c r="J32" s="399"/>
      <c r="L32" s="397"/>
      <c r="M32" s="388"/>
      <c r="N32" s="398"/>
      <c r="O32" s="388"/>
      <c r="P32" s="399"/>
      <c r="R32" s="397"/>
      <c r="S32" s="388"/>
      <c r="T32" s="398"/>
      <c r="U32" s="388"/>
      <c r="V32" s="399"/>
    </row>
    <row r="33" spans="2:22" x14ac:dyDescent="0.2">
      <c r="B33" s="118">
        <v>9</v>
      </c>
      <c r="D33" s="401"/>
      <c r="F33" s="397"/>
      <c r="G33" s="388"/>
      <c r="H33" s="398"/>
      <c r="I33" s="388"/>
      <c r="J33" s="399"/>
      <c r="L33" s="397"/>
      <c r="M33" s="388"/>
      <c r="N33" s="398"/>
      <c r="O33" s="388"/>
      <c r="P33" s="399"/>
      <c r="R33" s="397"/>
      <c r="S33" s="388"/>
      <c r="T33" s="398"/>
      <c r="U33" s="388"/>
      <c r="V33" s="399"/>
    </row>
    <row r="34" spans="2:22" x14ac:dyDescent="0.2">
      <c r="B34" s="118">
        <v>10</v>
      </c>
      <c r="D34" s="401"/>
      <c r="F34" s="397"/>
      <c r="G34" s="388"/>
      <c r="H34" s="398"/>
      <c r="I34" s="388"/>
      <c r="J34" s="399"/>
      <c r="L34" s="397"/>
      <c r="M34" s="388"/>
      <c r="N34" s="398"/>
      <c r="O34" s="388"/>
      <c r="P34" s="399"/>
      <c r="R34" s="397"/>
      <c r="S34" s="388"/>
      <c r="T34" s="398"/>
      <c r="U34" s="388"/>
      <c r="V34" s="399"/>
    </row>
    <row r="35" spans="2:22" x14ac:dyDescent="0.2">
      <c r="B35" s="118">
        <v>11</v>
      </c>
      <c r="D35" s="401"/>
      <c r="F35" s="397"/>
      <c r="G35" s="388"/>
      <c r="H35" s="398"/>
      <c r="I35" s="388"/>
      <c r="J35" s="399"/>
      <c r="L35" s="397"/>
      <c r="M35" s="388"/>
      <c r="N35" s="398"/>
      <c r="O35" s="388"/>
      <c r="P35" s="399"/>
      <c r="R35" s="397"/>
      <c r="S35" s="388"/>
      <c r="T35" s="398"/>
      <c r="U35" s="388"/>
      <c r="V35" s="399"/>
    </row>
    <row r="36" spans="2:22" x14ac:dyDescent="0.2">
      <c r="B36" s="118">
        <v>12</v>
      </c>
      <c r="D36" s="401"/>
      <c r="F36" s="397"/>
      <c r="G36" s="388"/>
      <c r="H36" s="398"/>
      <c r="I36" s="388"/>
      <c r="J36" s="399"/>
      <c r="L36" s="397"/>
      <c r="M36" s="388"/>
      <c r="N36" s="398"/>
      <c r="O36" s="388"/>
      <c r="P36" s="399"/>
      <c r="R36" s="397"/>
      <c r="S36" s="388"/>
      <c r="T36" s="398"/>
      <c r="U36" s="388"/>
      <c r="V36" s="399"/>
    </row>
    <row r="37" spans="2:22" x14ac:dyDescent="0.2">
      <c r="B37" s="118">
        <v>13</v>
      </c>
      <c r="D37" s="401"/>
      <c r="F37" s="397"/>
      <c r="G37" s="388"/>
      <c r="H37" s="398"/>
      <c r="I37" s="388"/>
      <c r="J37" s="399"/>
      <c r="L37" s="397"/>
      <c r="M37" s="388"/>
      <c r="N37" s="398"/>
      <c r="O37" s="388"/>
      <c r="P37" s="399"/>
      <c r="R37" s="397"/>
      <c r="S37" s="388"/>
      <c r="T37" s="398"/>
      <c r="U37" s="388"/>
      <c r="V37" s="399"/>
    </row>
    <row r="38" spans="2:22" x14ac:dyDescent="0.2">
      <c r="B38" s="118">
        <v>14</v>
      </c>
      <c r="D38" s="401"/>
      <c r="F38" s="397"/>
      <c r="G38" s="388"/>
      <c r="H38" s="398"/>
      <c r="I38" s="388"/>
      <c r="J38" s="399"/>
      <c r="L38" s="397"/>
      <c r="M38" s="388"/>
      <c r="N38" s="398"/>
      <c r="O38" s="388"/>
      <c r="P38" s="399"/>
      <c r="R38" s="397"/>
      <c r="S38" s="388"/>
      <c r="T38" s="398"/>
      <c r="U38" s="388"/>
      <c r="V38" s="399"/>
    </row>
    <row r="39" spans="2:22" x14ac:dyDescent="0.2">
      <c r="B39" s="118">
        <v>15</v>
      </c>
      <c r="D39" s="401"/>
      <c r="F39" s="397"/>
      <c r="G39" s="388"/>
      <c r="H39" s="398"/>
      <c r="I39" s="388"/>
      <c r="J39" s="399"/>
      <c r="L39" s="397"/>
      <c r="M39" s="388"/>
      <c r="N39" s="398"/>
      <c r="O39" s="388"/>
      <c r="P39" s="399"/>
      <c r="R39" s="397"/>
      <c r="S39" s="388"/>
      <c r="T39" s="398"/>
      <c r="U39" s="388"/>
      <c r="V39" s="399"/>
    </row>
    <row r="40" spans="2:22" x14ac:dyDescent="0.2">
      <c r="B40" s="118">
        <v>16</v>
      </c>
      <c r="D40" s="401"/>
      <c r="F40" s="397"/>
      <c r="G40" s="388"/>
      <c r="H40" s="398"/>
      <c r="I40" s="388"/>
      <c r="J40" s="399"/>
      <c r="L40" s="397"/>
      <c r="M40" s="388"/>
      <c r="N40" s="398"/>
      <c r="O40" s="388"/>
      <c r="P40" s="399"/>
      <c r="R40" s="397"/>
      <c r="S40" s="388"/>
      <c r="T40" s="398"/>
      <c r="U40" s="388"/>
      <c r="V40" s="399"/>
    </row>
    <row r="41" spans="2:22" x14ac:dyDescent="0.2">
      <c r="B41" s="118">
        <v>17</v>
      </c>
      <c r="D41" s="401"/>
      <c r="F41" s="397"/>
      <c r="G41" s="388"/>
      <c r="H41" s="398"/>
      <c r="I41" s="388"/>
      <c r="J41" s="399"/>
      <c r="L41" s="397"/>
      <c r="M41" s="388"/>
      <c r="N41" s="398"/>
      <c r="O41" s="388"/>
      <c r="P41" s="399"/>
      <c r="R41" s="397"/>
      <c r="S41" s="388"/>
      <c r="T41" s="398"/>
      <c r="U41" s="388"/>
      <c r="V41" s="399"/>
    </row>
    <row r="42" spans="2:22" x14ac:dyDescent="0.2">
      <c r="B42" s="118">
        <v>18</v>
      </c>
      <c r="D42" s="401"/>
      <c r="F42" s="397"/>
      <c r="G42" s="388"/>
      <c r="H42" s="398"/>
      <c r="I42" s="388"/>
      <c r="J42" s="399"/>
      <c r="L42" s="397"/>
      <c r="M42" s="388"/>
      <c r="N42" s="398"/>
      <c r="O42" s="388"/>
      <c r="P42" s="399"/>
      <c r="R42" s="397"/>
      <c r="S42" s="388"/>
      <c r="T42" s="398"/>
      <c r="U42" s="388"/>
      <c r="V42" s="399"/>
    </row>
    <row r="43" spans="2:22" x14ac:dyDescent="0.2">
      <c r="B43" s="118">
        <v>19</v>
      </c>
      <c r="D43" s="401"/>
      <c r="F43" s="397"/>
      <c r="G43" s="388"/>
      <c r="H43" s="398"/>
      <c r="I43" s="388"/>
      <c r="J43" s="399"/>
      <c r="L43" s="397"/>
      <c r="M43" s="388"/>
      <c r="N43" s="398"/>
      <c r="O43" s="388"/>
      <c r="P43" s="399"/>
      <c r="R43" s="397"/>
      <c r="S43" s="388"/>
      <c r="T43" s="398"/>
      <c r="U43" s="388"/>
      <c r="V43" s="399"/>
    </row>
    <row r="44" spans="2:22" x14ac:dyDescent="0.2">
      <c r="B44" s="118">
        <v>20</v>
      </c>
      <c r="D44" s="402"/>
      <c r="F44" s="403"/>
      <c r="G44" s="404"/>
      <c r="H44" s="405"/>
      <c r="I44" s="404"/>
      <c r="J44" s="406"/>
      <c r="L44" s="403"/>
      <c r="M44" s="404"/>
      <c r="N44" s="405"/>
      <c r="O44" s="404"/>
      <c r="P44" s="406"/>
      <c r="R44" s="403"/>
      <c r="S44" s="404"/>
      <c r="T44" s="405"/>
      <c r="U44" s="404"/>
      <c r="V44" s="406"/>
    </row>
    <row r="46" spans="2:22" x14ac:dyDescent="0.2">
      <c r="D46" s="118" t="s">
        <v>16</v>
      </c>
      <c r="E46" s="118"/>
      <c r="F46" s="118"/>
      <c r="G46" s="118"/>
      <c r="H46" s="407">
        <f>SUM(H25:H44)</f>
        <v>0</v>
      </c>
    </row>
    <row r="48" spans="2:22" x14ac:dyDescent="0.2">
      <c r="B48" s="118" t="s">
        <v>213</v>
      </c>
    </row>
    <row r="50" spans="2:22" ht="14.25" x14ac:dyDescent="0.2">
      <c r="B50" s="408" t="s">
        <v>214</v>
      </c>
      <c r="C50" s="296" t="s">
        <v>215</v>
      </c>
    </row>
    <row r="51" spans="2:22" x14ac:dyDescent="0.2">
      <c r="C51" s="941"/>
      <c r="D51" s="941"/>
      <c r="E51" s="941"/>
      <c r="F51" s="941"/>
      <c r="G51" s="941"/>
      <c r="H51" s="941"/>
      <c r="I51" s="941"/>
      <c r="J51" s="941"/>
      <c r="K51" s="941"/>
      <c r="L51" s="941"/>
      <c r="M51" s="941"/>
      <c r="N51" s="941"/>
      <c r="O51" s="941"/>
      <c r="P51" s="941"/>
      <c r="Q51" s="941"/>
      <c r="R51" s="941"/>
      <c r="S51" s="941"/>
      <c r="T51" s="941"/>
      <c r="U51" s="941"/>
      <c r="V51" s="941"/>
    </row>
    <row r="52" spans="2:22" x14ac:dyDescent="0.2">
      <c r="C52" s="941"/>
      <c r="D52" s="941"/>
      <c r="E52" s="941"/>
      <c r="F52" s="941"/>
      <c r="G52" s="941"/>
      <c r="H52" s="941"/>
      <c r="I52" s="941"/>
      <c r="J52" s="941"/>
      <c r="K52" s="941"/>
      <c r="L52" s="941"/>
      <c r="M52" s="941"/>
      <c r="N52" s="941"/>
      <c r="O52" s="941"/>
      <c r="P52" s="941"/>
      <c r="Q52" s="941"/>
      <c r="R52" s="941"/>
      <c r="S52" s="941"/>
      <c r="T52" s="941"/>
      <c r="U52" s="941"/>
      <c r="V52" s="941"/>
    </row>
    <row r="53" spans="2:22" x14ac:dyDescent="0.2">
      <c r="C53" s="941"/>
      <c r="D53" s="941"/>
      <c r="E53" s="941"/>
      <c r="F53" s="941"/>
      <c r="G53" s="941"/>
      <c r="H53" s="941"/>
      <c r="I53" s="941"/>
      <c r="J53" s="941"/>
      <c r="K53" s="941"/>
      <c r="L53" s="941"/>
      <c r="M53" s="941"/>
      <c r="N53" s="941"/>
      <c r="O53" s="941"/>
      <c r="P53" s="941"/>
      <c r="Q53" s="941"/>
      <c r="R53" s="941"/>
      <c r="S53" s="941"/>
      <c r="T53" s="941"/>
      <c r="U53" s="941"/>
      <c r="V53" s="941"/>
    </row>
    <row r="54" spans="2:22" x14ac:dyDescent="0.2">
      <c r="C54" s="941"/>
      <c r="D54" s="941"/>
      <c r="E54" s="941"/>
      <c r="F54" s="941"/>
      <c r="G54" s="941"/>
      <c r="H54" s="941"/>
      <c r="I54" s="941"/>
      <c r="J54" s="941"/>
      <c r="K54" s="941"/>
      <c r="L54" s="941"/>
      <c r="M54" s="941"/>
      <c r="N54" s="941"/>
      <c r="O54" s="941"/>
      <c r="P54" s="941"/>
      <c r="Q54" s="941"/>
      <c r="R54" s="941"/>
      <c r="S54" s="941"/>
      <c r="T54" s="941"/>
      <c r="U54" s="941"/>
      <c r="V54" s="941"/>
    </row>
    <row r="55" spans="2:22" x14ac:dyDescent="0.2">
      <c r="C55" s="941"/>
      <c r="D55" s="941"/>
      <c r="E55" s="941"/>
      <c r="F55" s="941"/>
      <c r="G55" s="941"/>
      <c r="H55" s="941"/>
      <c r="I55" s="941"/>
      <c r="J55" s="941"/>
      <c r="K55" s="941"/>
      <c r="L55" s="941"/>
      <c r="M55" s="941"/>
      <c r="N55" s="941"/>
      <c r="O55" s="941"/>
      <c r="P55" s="941"/>
      <c r="Q55" s="941"/>
      <c r="R55" s="941"/>
      <c r="S55" s="941"/>
      <c r="T55" s="941"/>
      <c r="U55" s="941"/>
      <c r="V55" s="941"/>
    </row>
    <row r="56" spans="2:22" x14ac:dyDescent="0.2">
      <c r="C56" s="941"/>
      <c r="D56" s="941"/>
      <c r="E56" s="941"/>
      <c r="F56" s="941"/>
      <c r="G56" s="941"/>
      <c r="H56" s="941"/>
      <c r="I56" s="941"/>
      <c r="J56" s="941"/>
      <c r="K56" s="941"/>
      <c r="L56" s="941"/>
      <c r="M56" s="941"/>
      <c r="N56" s="941"/>
      <c r="O56" s="941"/>
      <c r="P56" s="941"/>
      <c r="Q56" s="941"/>
      <c r="R56" s="941"/>
      <c r="S56" s="941"/>
      <c r="T56" s="941"/>
      <c r="U56" s="941"/>
      <c r="V56" s="941"/>
    </row>
    <row r="57" spans="2:22" x14ac:dyDescent="0.2">
      <c r="C57" s="941"/>
      <c r="D57" s="941"/>
      <c r="E57" s="941"/>
      <c r="F57" s="941"/>
      <c r="G57" s="941"/>
      <c r="H57" s="941"/>
      <c r="I57" s="941"/>
      <c r="J57" s="941"/>
      <c r="K57" s="941"/>
      <c r="L57" s="941"/>
      <c r="M57" s="941"/>
      <c r="N57" s="941"/>
      <c r="O57" s="941"/>
      <c r="P57" s="941"/>
      <c r="Q57" s="941"/>
      <c r="R57" s="941"/>
      <c r="S57" s="941"/>
      <c r="T57" s="941"/>
      <c r="U57" s="941"/>
      <c r="V57" s="941"/>
    </row>
    <row r="58" spans="2:22" x14ac:dyDescent="0.2">
      <c r="C58" s="941"/>
      <c r="D58" s="941"/>
      <c r="E58" s="941"/>
      <c r="F58" s="941"/>
      <c r="G58" s="941"/>
      <c r="H58" s="941"/>
      <c r="I58" s="941"/>
      <c r="J58" s="941"/>
      <c r="K58" s="941"/>
      <c r="L58" s="941"/>
      <c r="M58" s="941"/>
      <c r="N58" s="941"/>
      <c r="O58" s="941"/>
      <c r="P58" s="941"/>
      <c r="Q58" s="941"/>
      <c r="R58" s="941"/>
      <c r="S58" s="941"/>
      <c r="T58" s="941"/>
      <c r="U58" s="941"/>
      <c r="V58" s="941"/>
    </row>
    <row r="59" spans="2:22" x14ac:dyDescent="0.2">
      <c r="C59" s="941"/>
      <c r="D59" s="941"/>
      <c r="E59" s="941"/>
      <c r="F59" s="941"/>
      <c r="G59" s="941"/>
      <c r="H59" s="941"/>
      <c r="I59" s="941"/>
      <c r="J59" s="941"/>
      <c r="K59" s="941"/>
      <c r="L59" s="941"/>
      <c r="M59" s="941"/>
      <c r="N59" s="941"/>
      <c r="O59" s="941"/>
      <c r="P59" s="941"/>
      <c r="Q59" s="941"/>
      <c r="R59" s="941"/>
      <c r="S59" s="941"/>
      <c r="T59" s="941"/>
      <c r="U59" s="941"/>
      <c r="V59" s="941"/>
    </row>
    <row r="60" spans="2:22" x14ac:dyDescent="0.2">
      <c r="C60" s="941"/>
      <c r="D60" s="941"/>
      <c r="E60" s="941"/>
      <c r="F60" s="941"/>
      <c r="G60" s="941"/>
      <c r="H60" s="941"/>
      <c r="I60" s="941"/>
      <c r="J60" s="941"/>
      <c r="K60" s="941"/>
      <c r="L60" s="941"/>
      <c r="M60" s="941"/>
      <c r="N60" s="941"/>
      <c r="O60" s="941"/>
      <c r="P60" s="941"/>
      <c r="Q60" s="941"/>
      <c r="R60" s="941"/>
      <c r="S60" s="941"/>
      <c r="T60" s="941"/>
      <c r="U60" s="941"/>
      <c r="V60" s="941"/>
    </row>
  </sheetData>
  <mergeCells count="19">
    <mergeCell ref="C56:V56"/>
    <mergeCell ref="C57:V57"/>
    <mergeCell ref="C58:V58"/>
    <mergeCell ref="C59:V59"/>
    <mergeCell ref="C60:V60"/>
    <mergeCell ref="C55:V55"/>
    <mergeCell ref="B10:V10"/>
    <mergeCell ref="B12:V12"/>
    <mergeCell ref="B14:V14"/>
    <mergeCell ref="B16:V16"/>
    <mergeCell ref="F18:J18"/>
    <mergeCell ref="F20:J20"/>
    <mergeCell ref="L20:P20"/>
    <mergeCell ref="R20:V20"/>
    <mergeCell ref="D22:D23"/>
    <mergeCell ref="C51:V51"/>
    <mergeCell ref="C52:V52"/>
    <mergeCell ref="C53:V53"/>
    <mergeCell ref="C54:V54"/>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'[1]13. Rate Design'!#REF!</xm:f>
          </x14:formula1>
          <xm:sqref>F18:J18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6" tint="0.79998168889431442"/>
  </sheetPr>
  <dimension ref="A1:U142"/>
  <sheetViews>
    <sheetView showGridLines="0" zoomScaleNormal="100" workbookViewId="0">
      <pane xSplit="3" ySplit="24" topLeftCell="D25" activePane="bottomRight" state="frozen"/>
      <selection pane="topRight" activeCell="D1" sqref="D1"/>
      <selection pane="bottomLeft" activeCell="A25" sqref="A25"/>
      <selection pane="bottomRight" activeCell="D25" sqref="D25"/>
    </sheetView>
  </sheetViews>
  <sheetFormatPr defaultRowHeight="12.75" x14ac:dyDescent="0.2"/>
  <cols>
    <col min="1" max="1" width="13.6640625" style="17" customWidth="1"/>
    <col min="2" max="2" width="18" style="17" customWidth="1"/>
    <col min="3" max="3" width="16.83203125" style="19" customWidth="1"/>
    <col min="4" max="4" width="14.1640625" style="19" customWidth="1"/>
    <col min="5" max="5" width="14.1640625" style="18" customWidth="1"/>
    <col min="6" max="6" width="14.1640625" style="19" customWidth="1"/>
    <col min="7" max="7" width="14.1640625" style="18" customWidth="1"/>
    <col min="8" max="8" width="14.1640625" style="19" customWidth="1"/>
    <col min="9" max="9" width="15.1640625" style="18" customWidth="1"/>
    <col min="10" max="11" width="14.1640625" style="19" customWidth="1"/>
    <col min="12" max="12" width="14.1640625" style="18" customWidth="1"/>
    <col min="13" max="14" width="14.1640625" style="19" customWidth="1"/>
    <col min="15" max="15" width="14.1640625" style="18" customWidth="1"/>
    <col min="16" max="17" width="14.1640625" style="19" customWidth="1"/>
    <col min="18" max="18" width="14.1640625" style="18" customWidth="1"/>
    <col min="19" max="19" width="18.1640625" style="17" hidden="1" customWidth="1"/>
    <col min="20" max="21" width="0" style="17" hidden="1" customWidth="1"/>
    <col min="22" max="16384" width="9.33203125" style="17"/>
  </cols>
  <sheetData>
    <row r="1" spans="1:18" s="296" customFormat="1" x14ac:dyDescent="0.2">
      <c r="A1" s="366" t="s">
        <v>198</v>
      </c>
    </row>
    <row r="2" spans="1:18" s="296" customFormat="1" x14ac:dyDescent="0.2"/>
    <row r="3" spans="1:18" s="296" customFormat="1" x14ac:dyDescent="0.2"/>
    <row r="4" spans="1:18" s="296" customFormat="1" x14ac:dyDescent="0.2"/>
    <row r="5" spans="1:18" s="296" customFormat="1" x14ac:dyDescent="0.2"/>
    <row r="6" spans="1:18" s="296" customFormat="1" x14ac:dyDescent="0.2"/>
    <row r="7" spans="1:18" s="296" customFormat="1" x14ac:dyDescent="0.2"/>
    <row r="8" spans="1:18" s="296" customFormat="1" x14ac:dyDescent="0.2"/>
    <row r="9" spans="1:18" s="296" customFormat="1" x14ac:dyDescent="0.2"/>
    <row r="10" spans="1:18" customFormat="1" ht="12.75" customHeight="1" x14ac:dyDescent="0.2">
      <c r="B10" s="839"/>
      <c r="C10" s="839"/>
      <c r="D10" s="839"/>
      <c r="E10" s="839"/>
      <c r="F10" s="839"/>
      <c r="G10" s="839"/>
      <c r="H10" s="839"/>
      <c r="I10" s="839"/>
      <c r="J10" s="284"/>
      <c r="K10" s="284"/>
    </row>
    <row r="11" spans="1:18" s="1" customFormat="1" ht="23.25" x14ac:dyDescent="0.2">
      <c r="A11"/>
      <c r="B11" s="79" t="s">
        <v>76</v>
      </c>
      <c r="D11" s="38"/>
      <c r="E11" s="38"/>
      <c r="F11" s="38"/>
      <c r="G11" s="38"/>
      <c r="J11" s="38"/>
      <c r="L11" s="38"/>
      <c r="M11" s="38"/>
      <c r="O11" s="38"/>
    </row>
    <row r="12" spans="1:18" ht="15" x14ac:dyDescent="0.2">
      <c r="B12" s="42" t="s">
        <v>55</v>
      </c>
      <c r="C12" s="17"/>
      <c r="D12" s="70"/>
      <c r="E12" s="70"/>
      <c r="F12" s="70"/>
      <c r="G12" s="70"/>
      <c r="H12"/>
      <c r="J12" s="70"/>
      <c r="K12" s="70"/>
      <c r="L12" s="70"/>
      <c r="M12" s="70"/>
      <c r="N12" s="70"/>
      <c r="O12" s="70"/>
      <c r="P12" s="70"/>
      <c r="R12" s="297"/>
    </row>
    <row r="13" spans="1:18" ht="14.25" x14ac:dyDescent="0.2">
      <c r="B13" s="71" t="s">
        <v>59</v>
      </c>
      <c r="C13" s="17"/>
      <c r="D13" s="71"/>
      <c r="E13" s="71"/>
      <c r="F13" s="71"/>
      <c r="G13" s="70"/>
      <c r="J13" s="70"/>
      <c r="K13" s="70"/>
      <c r="L13" s="70"/>
      <c r="M13" s="70"/>
      <c r="N13" s="70"/>
      <c r="O13" s="70"/>
      <c r="P13" s="70"/>
      <c r="R13" s="297"/>
    </row>
    <row r="14" spans="1:18" ht="14.25" x14ac:dyDescent="0.2">
      <c r="B14" s="71" t="s">
        <v>58</v>
      </c>
      <c r="C14" s="17"/>
      <c r="D14" s="71"/>
      <c r="E14" s="71"/>
      <c r="F14" s="71"/>
      <c r="G14" s="70"/>
      <c r="J14" s="70"/>
      <c r="K14" s="70"/>
      <c r="L14" s="70"/>
      <c r="M14" s="70"/>
      <c r="N14" s="70"/>
      <c r="O14" s="70"/>
      <c r="P14" s="70"/>
      <c r="Q14" s="70"/>
      <c r="R14" s="70"/>
    </row>
    <row r="15" spans="1:18" ht="14.25" x14ac:dyDescent="0.2">
      <c r="B15" s="71" t="s">
        <v>60</v>
      </c>
      <c r="C15" s="17"/>
      <c r="D15" s="71"/>
      <c r="E15" s="71"/>
      <c r="F15" s="71"/>
      <c r="G15" s="70"/>
      <c r="J15" s="70"/>
      <c r="K15" s="70"/>
      <c r="L15" s="70"/>
      <c r="M15" s="70"/>
      <c r="N15" s="70"/>
      <c r="O15" s="70"/>
      <c r="P15" s="70"/>
      <c r="Q15" s="70"/>
      <c r="R15" s="70"/>
    </row>
    <row r="16" spans="1:18" ht="14.25" x14ac:dyDescent="0.2">
      <c r="B16" s="71" t="s">
        <v>57</v>
      </c>
      <c r="C16" s="17"/>
      <c r="D16" s="71"/>
      <c r="E16" s="71"/>
      <c r="F16" s="71"/>
      <c r="G16" s="70"/>
      <c r="J16" s="70"/>
      <c r="K16" s="70"/>
      <c r="L16" s="70"/>
      <c r="M16" s="70"/>
      <c r="N16" s="70"/>
      <c r="O16" s="70"/>
      <c r="P16" s="70"/>
      <c r="Q16" s="70"/>
      <c r="R16" s="70"/>
    </row>
    <row r="17" spans="2:21" ht="14.25" x14ac:dyDescent="0.2">
      <c r="C17" s="71"/>
      <c r="D17" s="71"/>
      <c r="E17" s="71"/>
      <c r="F17" s="71"/>
      <c r="G17" s="70"/>
      <c r="J17" s="70"/>
      <c r="K17" s="70"/>
      <c r="L17" s="70"/>
      <c r="M17" s="70"/>
      <c r="N17" s="70"/>
      <c r="O17" s="70"/>
      <c r="P17" s="70"/>
      <c r="Q17" s="70"/>
      <c r="R17" s="70"/>
    </row>
    <row r="18" spans="2:21" ht="15" x14ac:dyDescent="0.25">
      <c r="B18" s="72" t="s">
        <v>56</v>
      </c>
      <c r="C18" s="17"/>
      <c r="D18" s="72"/>
      <c r="E18" s="71"/>
      <c r="F18" s="71"/>
      <c r="G18" s="70"/>
      <c r="J18" s="70"/>
      <c r="K18" s="70"/>
      <c r="L18" s="70"/>
      <c r="M18" s="70"/>
      <c r="N18" s="70"/>
      <c r="O18" s="70"/>
      <c r="P18" s="70"/>
      <c r="Q18" s="70"/>
      <c r="R18" s="70"/>
    </row>
    <row r="19" spans="2:21" ht="13.5" thickBot="1" x14ac:dyDescent="0.25"/>
    <row r="20" spans="2:21" ht="12.75" customHeight="1" x14ac:dyDescent="0.2">
      <c r="B20" s="20"/>
      <c r="C20" s="20"/>
      <c r="D20" s="849" t="str">
        <f>'2. Customer Classes'!B14</f>
        <v>Residential</v>
      </c>
      <c r="E20" s="850"/>
      <c r="F20" s="849" t="str">
        <f>'2. Customer Classes'!B15</f>
        <v>General Service &lt; 50 kW</v>
      </c>
      <c r="G20" s="850"/>
      <c r="H20" s="852" t="str">
        <f>+'2. Customer Classes'!B16</f>
        <v>Unmetered Scattered Load</v>
      </c>
      <c r="I20" s="853"/>
      <c r="J20" s="849" t="str">
        <f>'2. Customer Classes'!B18</f>
        <v>General Service &gt; 50 kW - 4999 kW</v>
      </c>
      <c r="K20" s="851"/>
      <c r="L20" s="850"/>
      <c r="M20" s="845" t="str">
        <f>'2. Customer Classes'!B19</f>
        <v>Streetlighting</v>
      </c>
      <c r="N20" s="846"/>
      <c r="O20" s="847"/>
      <c r="P20" s="845" t="str">
        <f>'2. Customer Classes'!B20</f>
        <v>Large User</v>
      </c>
      <c r="Q20" s="846"/>
      <c r="R20" s="847"/>
      <c r="S20" s="17" t="s">
        <v>14</v>
      </c>
    </row>
    <row r="21" spans="2:21" ht="12.75" customHeight="1" x14ac:dyDescent="0.2">
      <c r="B21" s="110"/>
      <c r="C21" s="110"/>
      <c r="D21" s="843" t="s">
        <v>95</v>
      </c>
      <c r="E21" s="844"/>
      <c r="F21" s="843" t="s">
        <v>95</v>
      </c>
      <c r="G21" s="844"/>
      <c r="H21" s="843" t="s">
        <v>95</v>
      </c>
      <c r="I21" s="844"/>
      <c r="J21" s="843" t="s">
        <v>95</v>
      </c>
      <c r="K21" s="848"/>
      <c r="L21" s="844"/>
      <c r="M21" s="843" t="s">
        <v>95</v>
      </c>
      <c r="N21" s="848"/>
      <c r="O21" s="844"/>
      <c r="P21" s="843" t="s">
        <v>95</v>
      </c>
      <c r="Q21" s="848"/>
      <c r="R21" s="844"/>
      <c r="S21" s="17" t="s">
        <v>245</v>
      </c>
    </row>
    <row r="22" spans="2:21" x14ac:dyDescent="0.2">
      <c r="B22" s="21"/>
      <c r="C22" s="21"/>
      <c r="D22" s="22"/>
      <c r="E22" s="468" t="s">
        <v>34</v>
      </c>
      <c r="F22" s="22"/>
      <c r="G22" s="468" t="s">
        <v>34</v>
      </c>
      <c r="H22" s="22"/>
      <c r="I22" s="468" t="s">
        <v>34</v>
      </c>
      <c r="J22" s="22"/>
      <c r="K22" s="8"/>
      <c r="L22" s="468" t="s">
        <v>34</v>
      </c>
      <c r="M22" s="22"/>
      <c r="N22" s="8"/>
      <c r="O22" s="468" t="s">
        <v>34</v>
      </c>
      <c r="P22" s="22"/>
      <c r="Q22" s="8"/>
      <c r="R22" s="468" t="s">
        <v>34</v>
      </c>
    </row>
    <row r="23" spans="2:21" ht="13.5" thickBot="1" x14ac:dyDescent="0.25">
      <c r="B23" s="23"/>
      <c r="C23" s="23"/>
      <c r="D23" s="24" t="s">
        <v>35</v>
      </c>
      <c r="E23" s="469" t="s">
        <v>0</v>
      </c>
      <c r="F23" s="24" t="s">
        <v>35</v>
      </c>
      <c r="G23" s="469" t="s">
        <v>0</v>
      </c>
      <c r="H23" s="25" t="s">
        <v>35</v>
      </c>
      <c r="I23" s="472" t="s">
        <v>0</v>
      </c>
      <c r="J23" s="24" t="s">
        <v>35</v>
      </c>
      <c r="K23" s="11" t="s">
        <v>36</v>
      </c>
      <c r="L23" s="469" t="s">
        <v>0</v>
      </c>
      <c r="M23" s="24" t="s">
        <v>35</v>
      </c>
      <c r="N23" s="11" t="s">
        <v>36</v>
      </c>
      <c r="O23" s="469" t="s">
        <v>0</v>
      </c>
      <c r="P23" s="24" t="s">
        <v>35</v>
      </c>
      <c r="Q23" s="11" t="s">
        <v>36</v>
      </c>
      <c r="R23" s="469" t="s">
        <v>0</v>
      </c>
    </row>
    <row r="24" spans="2:21" ht="15.75" customHeight="1" thickBot="1" x14ac:dyDescent="0.25">
      <c r="B24" s="20" t="s">
        <v>32</v>
      </c>
      <c r="C24" s="20" t="s">
        <v>240</v>
      </c>
      <c r="D24" s="181"/>
      <c r="E24" s="470"/>
      <c r="F24" s="181"/>
      <c r="G24" s="470"/>
      <c r="H24" s="183"/>
      <c r="I24" s="470"/>
      <c r="J24" s="181"/>
      <c r="K24" s="184"/>
      <c r="L24" s="470"/>
      <c r="M24" s="181"/>
      <c r="N24" s="184"/>
      <c r="O24" s="470"/>
      <c r="P24" s="181"/>
      <c r="Q24" s="184"/>
      <c r="R24" s="182"/>
    </row>
    <row r="25" spans="2:21" x14ac:dyDescent="0.2">
      <c r="B25" s="111">
        <f>'1. LDC Info'!$F$27-8</f>
        <v>2011</v>
      </c>
      <c r="C25" s="26" t="s">
        <v>86</v>
      </c>
      <c r="D25" s="287">
        <v>5993233</v>
      </c>
      <c r="E25" s="471">
        <v>6543</v>
      </c>
      <c r="F25" s="301">
        <v>3009477</v>
      </c>
      <c r="G25" s="471">
        <v>1227</v>
      </c>
      <c r="H25" s="302">
        <v>20229</v>
      </c>
      <c r="I25" s="471">
        <v>20</v>
      </c>
      <c r="J25" s="287">
        <v>6629573.9800000004</v>
      </c>
      <c r="K25" s="300">
        <v>15375.96</v>
      </c>
      <c r="L25" s="471">
        <v>121</v>
      </c>
      <c r="M25" s="287">
        <v>120418.24000000001</v>
      </c>
      <c r="N25" s="300">
        <v>257.62000000000006</v>
      </c>
      <c r="O25" s="471">
        <v>1946</v>
      </c>
      <c r="P25" s="301"/>
      <c r="Q25" s="300"/>
      <c r="R25" s="299"/>
      <c r="S25" s="484">
        <f>+E25+G25+L25</f>
        <v>7891</v>
      </c>
      <c r="T25" s="17">
        <v>7891</v>
      </c>
      <c r="U25" s="484">
        <f>+S25-T25</f>
        <v>0</v>
      </c>
    </row>
    <row r="26" spans="2:21" x14ac:dyDescent="0.2">
      <c r="B26" s="111">
        <f>'1. LDC Info'!$F$27-8</f>
        <v>2011</v>
      </c>
      <c r="C26" s="26" t="s">
        <v>87</v>
      </c>
      <c r="D26" s="287">
        <v>6217237</v>
      </c>
      <c r="E26" s="471">
        <v>6550.5</v>
      </c>
      <c r="F26" s="301">
        <v>3244052</v>
      </c>
      <c r="G26" s="471">
        <v>1227</v>
      </c>
      <c r="H26" s="302">
        <v>22701</v>
      </c>
      <c r="I26" s="471">
        <v>20.5</v>
      </c>
      <c r="J26" s="287">
        <v>6497276.9399999995</v>
      </c>
      <c r="K26" s="300">
        <v>13865.080000000002</v>
      </c>
      <c r="L26" s="471">
        <v>121</v>
      </c>
      <c r="M26" s="287">
        <v>100412.53</v>
      </c>
      <c r="N26" s="300">
        <v>240.70999999999998</v>
      </c>
      <c r="O26" s="471">
        <v>1946</v>
      </c>
      <c r="P26" s="301"/>
      <c r="Q26" s="300"/>
      <c r="R26" s="299"/>
      <c r="S26" s="484">
        <f t="shared" ref="S26:S89" si="0">+E26+G26+L26</f>
        <v>7898.5</v>
      </c>
      <c r="T26" s="17">
        <v>7898.5</v>
      </c>
      <c r="U26" s="484">
        <f t="shared" ref="U26:U89" si="1">+S26-T26</f>
        <v>0</v>
      </c>
    </row>
    <row r="27" spans="2:21" x14ac:dyDescent="0.2">
      <c r="B27" s="111">
        <f>'1. LDC Info'!$F$27-8</f>
        <v>2011</v>
      </c>
      <c r="C27" s="26" t="s">
        <v>88</v>
      </c>
      <c r="D27" s="287">
        <v>4225360</v>
      </c>
      <c r="E27" s="471">
        <v>6555</v>
      </c>
      <c r="F27" s="301">
        <v>2209669</v>
      </c>
      <c r="G27" s="471">
        <v>1226</v>
      </c>
      <c r="H27" s="302">
        <v>14472</v>
      </c>
      <c r="I27" s="471">
        <v>21.5</v>
      </c>
      <c r="J27" s="287">
        <v>5655606.4500000002</v>
      </c>
      <c r="K27" s="300">
        <v>17940.669999999998</v>
      </c>
      <c r="L27" s="471">
        <v>121</v>
      </c>
      <c r="M27" s="287">
        <v>99433.22</v>
      </c>
      <c r="N27" s="300">
        <v>320.84000000000003</v>
      </c>
      <c r="O27" s="471">
        <v>1946</v>
      </c>
      <c r="P27" s="301"/>
      <c r="Q27" s="300"/>
      <c r="R27" s="299"/>
      <c r="S27" s="484">
        <f t="shared" si="0"/>
        <v>7902</v>
      </c>
      <c r="T27" s="17">
        <v>7902</v>
      </c>
      <c r="U27" s="484">
        <f t="shared" si="1"/>
        <v>0</v>
      </c>
    </row>
    <row r="28" spans="2:21" x14ac:dyDescent="0.2">
      <c r="B28" s="111">
        <f>'1. LDC Info'!$F$27-8</f>
        <v>2011</v>
      </c>
      <c r="C28" s="26" t="s">
        <v>89</v>
      </c>
      <c r="D28" s="287">
        <v>4662714</v>
      </c>
      <c r="E28" s="471">
        <v>6563</v>
      </c>
      <c r="F28" s="301">
        <v>2537363</v>
      </c>
      <c r="G28" s="471">
        <v>1226.5</v>
      </c>
      <c r="H28" s="302">
        <v>17309</v>
      </c>
      <c r="I28" s="471">
        <v>22</v>
      </c>
      <c r="J28" s="287">
        <v>5766518.6099999994</v>
      </c>
      <c r="K28" s="300">
        <v>12500.82</v>
      </c>
      <c r="L28" s="471">
        <v>121</v>
      </c>
      <c r="M28" s="287">
        <v>84357.68</v>
      </c>
      <c r="N28" s="300">
        <v>229.36</v>
      </c>
      <c r="O28" s="471">
        <v>1946</v>
      </c>
      <c r="P28" s="301"/>
      <c r="Q28" s="300"/>
      <c r="R28" s="299"/>
      <c r="S28" s="484">
        <f t="shared" si="0"/>
        <v>7910.5</v>
      </c>
      <c r="T28" s="17">
        <v>7910.5</v>
      </c>
      <c r="U28" s="484">
        <f t="shared" si="1"/>
        <v>0</v>
      </c>
    </row>
    <row r="29" spans="2:21" x14ac:dyDescent="0.2">
      <c r="B29" s="111">
        <f>'1. LDC Info'!$F$27-8</f>
        <v>2011</v>
      </c>
      <c r="C29" s="26" t="s">
        <v>90</v>
      </c>
      <c r="D29" s="287">
        <v>12020064.65</v>
      </c>
      <c r="E29" s="471">
        <v>6569.5</v>
      </c>
      <c r="F29" s="301">
        <v>4649503.16</v>
      </c>
      <c r="G29" s="471">
        <v>1229</v>
      </c>
      <c r="H29" s="302">
        <v>18026</v>
      </c>
      <c r="I29" s="471">
        <v>22</v>
      </c>
      <c r="J29" s="287">
        <v>6258448.9900000002</v>
      </c>
      <c r="K29" s="300">
        <v>18025.819999999996</v>
      </c>
      <c r="L29" s="471">
        <v>120.5</v>
      </c>
      <c r="M29" s="287">
        <v>76807.679999999993</v>
      </c>
      <c r="N29" s="300">
        <v>283.96999999999991</v>
      </c>
      <c r="O29" s="471">
        <v>1946</v>
      </c>
      <c r="P29" s="301"/>
      <c r="Q29" s="300"/>
      <c r="R29" s="299"/>
      <c r="S29" s="484">
        <f t="shared" si="0"/>
        <v>7919</v>
      </c>
      <c r="T29" s="17">
        <v>7919</v>
      </c>
      <c r="U29" s="484">
        <f t="shared" si="1"/>
        <v>0</v>
      </c>
    </row>
    <row r="30" spans="2:21" x14ac:dyDescent="0.2">
      <c r="B30" s="111">
        <f>'1. LDC Info'!$F$27-8</f>
        <v>2011</v>
      </c>
      <c r="C30" s="26" t="s">
        <v>91</v>
      </c>
      <c r="D30" s="287">
        <v>5733962</v>
      </c>
      <c r="E30" s="471">
        <v>6576.5</v>
      </c>
      <c r="F30" s="301">
        <v>2819289</v>
      </c>
      <c r="G30" s="471">
        <v>1231</v>
      </c>
      <c r="H30" s="302">
        <v>16871</v>
      </c>
      <c r="I30" s="471">
        <v>22</v>
      </c>
      <c r="J30" s="287">
        <v>6700502.0999999996</v>
      </c>
      <c r="K30" s="300">
        <v>16512.25</v>
      </c>
      <c r="L30" s="471">
        <v>120.5</v>
      </c>
      <c r="M30" s="287">
        <v>70038.77</v>
      </c>
      <c r="N30" s="300">
        <v>249.03000000000003</v>
      </c>
      <c r="O30" s="471">
        <v>1946</v>
      </c>
      <c r="P30" s="301"/>
      <c r="Q30" s="300"/>
      <c r="R30" s="299"/>
      <c r="S30" s="484">
        <f t="shared" si="0"/>
        <v>7928</v>
      </c>
      <c r="T30" s="17">
        <v>7928</v>
      </c>
      <c r="U30" s="484">
        <f t="shared" si="1"/>
        <v>0</v>
      </c>
    </row>
    <row r="31" spans="2:21" x14ac:dyDescent="0.2">
      <c r="B31" s="111">
        <f>'1. LDC Info'!$F$27-8</f>
        <v>2011</v>
      </c>
      <c r="C31" s="26" t="s">
        <v>92</v>
      </c>
      <c r="D31" s="287">
        <v>7882978</v>
      </c>
      <c r="E31" s="471">
        <v>6591.5</v>
      </c>
      <c r="F31" s="301">
        <v>3567043</v>
      </c>
      <c r="G31" s="471">
        <v>1230</v>
      </c>
      <c r="H31" s="302">
        <v>17719</v>
      </c>
      <c r="I31" s="471">
        <v>22</v>
      </c>
      <c r="J31" s="287">
        <v>7934256.2299999995</v>
      </c>
      <c r="K31" s="300">
        <v>19209.330000000002</v>
      </c>
      <c r="L31" s="471">
        <v>121</v>
      </c>
      <c r="M31" s="287">
        <v>75240.789999999994</v>
      </c>
      <c r="N31" s="300">
        <v>290.86</v>
      </c>
      <c r="O31" s="471">
        <v>1946</v>
      </c>
      <c r="P31" s="301"/>
      <c r="Q31" s="300"/>
      <c r="R31" s="299"/>
      <c r="S31" s="484">
        <f t="shared" si="0"/>
        <v>7942.5</v>
      </c>
      <c r="T31" s="17">
        <v>7942.5</v>
      </c>
      <c r="U31" s="484">
        <f t="shared" si="1"/>
        <v>0</v>
      </c>
    </row>
    <row r="32" spans="2:21" x14ac:dyDescent="0.2">
      <c r="B32" s="111">
        <f>'1. LDC Info'!$F$27-8</f>
        <v>2011</v>
      </c>
      <c r="C32" s="26" t="s">
        <v>93</v>
      </c>
      <c r="D32" s="287">
        <v>7046796</v>
      </c>
      <c r="E32" s="471">
        <v>6612</v>
      </c>
      <c r="F32" s="301">
        <v>3634742</v>
      </c>
      <c r="G32" s="471">
        <v>1233.5</v>
      </c>
      <c r="H32" s="302">
        <v>22533</v>
      </c>
      <c r="I32" s="471">
        <v>22.5</v>
      </c>
      <c r="J32" s="287">
        <v>7783032.6099999994</v>
      </c>
      <c r="K32" s="300">
        <v>20736.819999999992</v>
      </c>
      <c r="L32" s="471">
        <v>121</v>
      </c>
      <c r="M32" s="287">
        <v>84504.34</v>
      </c>
      <c r="N32" s="300">
        <v>260.91000000000003</v>
      </c>
      <c r="O32" s="471">
        <v>1946</v>
      </c>
      <c r="P32" s="301"/>
      <c r="Q32" s="300"/>
      <c r="R32" s="299"/>
      <c r="S32" s="484">
        <f t="shared" si="0"/>
        <v>7966.5</v>
      </c>
      <c r="T32" s="17">
        <v>7966.5</v>
      </c>
      <c r="U32" s="484">
        <f t="shared" si="1"/>
        <v>0</v>
      </c>
    </row>
    <row r="33" spans="2:21" x14ac:dyDescent="0.2">
      <c r="B33" s="111">
        <f>'1. LDC Info'!$F$27-8</f>
        <v>2011</v>
      </c>
      <c r="C33" s="26" t="s">
        <v>83</v>
      </c>
      <c r="D33" s="287">
        <v>2453051</v>
      </c>
      <c r="E33" s="471">
        <v>6626</v>
      </c>
      <c r="F33" s="301">
        <v>2065244</v>
      </c>
      <c r="G33" s="471">
        <v>1241.5</v>
      </c>
      <c r="H33" s="302">
        <v>18621</v>
      </c>
      <c r="I33" s="471">
        <v>23.5</v>
      </c>
      <c r="J33" s="287">
        <v>6922898.5</v>
      </c>
      <c r="K33" s="300">
        <v>17260.450000000004</v>
      </c>
      <c r="L33" s="471">
        <v>119.5</v>
      </c>
      <c r="M33" s="287">
        <v>93230.86</v>
      </c>
      <c r="N33" s="300">
        <v>261.2</v>
      </c>
      <c r="O33" s="471">
        <v>1946</v>
      </c>
      <c r="P33" s="301"/>
      <c r="Q33" s="300"/>
      <c r="R33" s="299"/>
      <c r="S33" s="484">
        <f t="shared" si="0"/>
        <v>7987</v>
      </c>
      <c r="T33" s="17">
        <v>7987</v>
      </c>
      <c r="U33" s="484">
        <f t="shared" si="1"/>
        <v>0</v>
      </c>
    </row>
    <row r="34" spans="2:21" x14ac:dyDescent="0.2">
      <c r="B34" s="111">
        <f>'1. LDC Info'!$F$27-8</f>
        <v>2011</v>
      </c>
      <c r="C34" s="26" t="s">
        <v>84</v>
      </c>
      <c r="D34" s="287">
        <v>720988.29</v>
      </c>
      <c r="E34" s="471">
        <v>6635</v>
      </c>
      <c r="F34" s="301">
        <v>1382331.46</v>
      </c>
      <c r="G34" s="471">
        <v>1246</v>
      </c>
      <c r="H34" s="302">
        <v>18642</v>
      </c>
      <c r="I34" s="471">
        <v>23.5</v>
      </c>
      <c r="J34" s="287">
        <v>6432132.5899999999</v>
      </c>
      <c r="K34" s="300">
        <v>18241.57</v>
      </c>
      <c r="L34" s="471">
        <v>118</v>
      </c>
      <c r="M34" s="287">
        <v>108656.06</v>
      </c>
      <c r="N34" s="300">
        <v>287.59000000000003</v>
      </c>
      <c r="O34" s="471">
        <v>1946</v>
      </c>
      <c r="P34" s="301"/>
      <c r="Q34" s="300"/>
      <c r="R34" s="299"/>
      <c r="S34" s="484">
        <f t="shared" si="0"/>
        <v>7999</v>
      </c>
      <c r="T34" s="17">
        <v>7999</v>
      </c>
      <c r="U34" s="484">
        <f t="shared" si="1"/>
        <v>0</v>
      </c>
    </row>
    <row r="35" spans="2:21" x14ac:dyDescent="0.2">
      <c r="B35" s="111">
        <f>'1. LDC Info'!$F$27-8</f>
        <v>2011</v>
      </c>
      <c r="C35" s="26" t="s">
        <v>85</v>
      </c>
      <c r="D35" s="287">
        <v>4389737.0199999996</v>
      </c>
      <c r="E35" s="471">
        <v>6647.5</v>
      </c>
      <c r="F35" s="301">
        <v>2455279.09</v>
      </c>
      <c r="G35" s="471">
        <v>1247.5</v>
      </c>
      <c r="H35" s="302">
        <v>18651</v>
      </c>
      <c r="I35" s="471">
        <v>23</v>
      </c>
      <c r="J35" s="287">
        <v>5975170.2000000002</v>
      </c>
      <c r="K35" s="300">
        <v>15099.95</v>
      </c>
      <c r="L35" s="471">
        <v>118</v>
      </c>
      <c r="M35" s="287">
        <v>115693.92</v>
      </c>
      <c r="N35" s="300">
        <v>252.20999999999998</v>
      </c>
      <c r="O35" s="471">
        <v>1946</v>
      </c>
      <c r="P35" s="301"/>
      <c r="Q35" s="300"/>
      <c r="R35" s="299"/>
      <c r="S35" s="484">
        <f t="shared" si="0"/>
        <v>8013</v>
      </c>
      <c r="T35" s="17">
        <v>8013</v>
      </c>
      <c r="U35" s="484">
        <f t="shared" si="1"/>
        <v>0</v>
      </c>
    </row>
    <row r="36" spans="2:21" x14ac:dyDescent="0.2">
      <c r="B36" s="111">
        <f>'1. LDC Info'!$F$27-8</f>
        <v>2011</v>
      </c>
      <c r="C36" s="26" t="s">
        <v>82</v>
      </c>
      <c r="D36" s="287">
        <v>5630709</v>
      </c>
      <c r="E36" s="471">
        <v>6660</v>
      </c>
      <c r="F36" s="301">
        <v>2747042.35</v>
      </c>
      <c r="G36" s="471">
        <v>1251</v>
      </c>
      <c r="H36" s="302">
        <v>19588.2</v>
      </c>
      <c r="I36" s="471">
        <v>22.5</v>
      </c>
      <c r="J36" s="287">
        <v>6077039.4199999999</v>
      </c>
      <c r="K36" s="300">
        <v>15148.780000000002</v>
      </c>
      <c r="L36" s="471">
        <v>118</v>
      </c>
      <c r="M36" s="287">
        <v>125093.48</v>
      </c>
      <c r="N36" s="300">
        <v>287.59000000000003</v>
      </c>
      <c r="O36" s="471">
        <v>1946</v>
      </c>
      <c r="P36" s="301"/>
      <c r="Q36" s="300"/>
      <c r="R36" s="299"/>
      <c r="S36" s="484">
        <f t="shared" si="0"/>
        <v>8029</v>
      </c>
      <c r="T36" s="17">
        <v>8029</v>
      </c>
      <c r="U36" s="484">
        <f t="shared" si="1"/>
        <v>0</v>
      </c>
    </row>
    <row r="37" spans="2:21" x14ac:dyDescent="0.2">
      <c r="B37" s="111">
        <f>'1. LDC Info'!$F$27-7</f>
        <v>2012</v>
      </c>
      <c r="C37" s="26" t="s">
        <v>86</v>
      </c>
      <c r="D37" s="287">
        <v>5715082.75</v>
      </c>
      <c r="E37" s="471">
        <v>6669.5</v>
      </c>
      <c r="F37" s="301">
        <v>2855718.69</v>
      </c>
      <c r="G37" s="471">
        <v>1251</v>
      </c>
      <c r="H37" s="302">
        <v>19634</v>
      </c>
      <c r="I37" s="471">
        <v>22</v>
      </c>
      <c r="J37" s="287">
        <v>6297951.3799999999</v>
      </c>
      <c r="K37" s="300">
        <v>15180.73</v>
      </c>
      <c r="L37" s="471">
        <v>118</v>
      </c>
      <c r="M37" s="287">
        <v>121945.88</v>
      </c>
      <c r="N37" s="300">
        <v>260.91000000000003</v>
      </c>
      <c r="O37" s="471">
        <v>1946</v>
      </c>
      <c r="P37" s="301"/>
      <c r="Q37" s="300"/>
      <c r="R37" s="299"/>
      <c r="S37" s="484">
        <f t="shared" si="0"/>
        <v>8038.5</v>
      </c>
      <c r="T37" s="17">
        <v>8038.5</v>
      </c>
      <c r="U37" s="484">
        <f t="shared" si="1"/>
        <v>0</v>
      </c>
    </row>
    <row r="38" spans="2:21" x14ac:dyDescent="0.2">
      <c r="B38" s="111">
        <f>'1. LDC Info'!$F$27-7</f>
        <v>2012</v>
      </c>
      <c r="C38" s="26" t="s">
        <v>87</v>
      </c>
      <c r="D38" s="287">
        <v>5023845.28</v>
      </c>
      <c r="E38" s="471">
        <v>6678.5</v>
      </c>
      <c r="F38" s="301">
        <v>2631051.66</v>
      </c>
      <c r="G38" s="471">
        <v>1252</v>
      </c>
      <c r="H38" s="302">
        <v>19454</v>
      </c>
      <c r="I38" s="471">
        <v>22</v>
      </c>
      <c r="J38" s="287">
        <v>5916005.0099999998</v>
      </c>
      <c r="K38" s="300">
        <v>17758.75</v>
      </c>
      <c r="L38" s="471">
        <v>118</v>
      </c>
      <c r="M38" s="287">
        <v>105126.32</v>
      </c>
      <c r="N38" s="300">
        <v>252.50000000000006</v>
      </c>
      <c r="O38" s="471">
        <v>1946</v>
      </c>
      <c r="P38" s="301"/>
      <c r="Q38" s="300"/>
      <c r="R38" s="299"/>
      <c r="S38" s="484">
        <f t="shared" si="0"/>
        <v>8048.5</v>
      </c>
      <c r="T38" s="17">
        <v>8048.5</v>
      </c>
      <c r="U38" s="484">
        <f t="shared" si="1"/>
        <v>0</v>
      </c>
    </row>
    <row r="39" spans="2:21" x14ac:dyDescent="0.2">
      <c r="B39" s="111">
        <f>'1. LDC Info'!$F$27-7</f>
        <v>2012</v>
      </c>
      <c r="C39" s="26" t="s">
        <v>88</v>
      </c>
      <c r="D39" s="287">
        <v>4700287.42</v>
      </c>
      <c r="E39" s="471">
        <v>6684</v>
      </c>
      <c r="F39" s="301">
        <v>2655346.23</v>
      </c>
      <c r="G39" s="471">
        <v>1259.5</v>
      </c>
      <c r="H39" s="302">
        <v>18231</v>
      </c>
      <c r="I39" s="471">
        <v>22</v>
      </c>
      <c r="J39" s="287">
        <v>6102583.79</v>
      </c>
      <c r="K39" s="300">
        <v>14378.610000000002</v>
      </c>
      <c r="L39" s="471">
        <v>118</v>
      </c>
      <c r="M39" s="287">
        <v>100694.98</v>
      </c>
      <c r="N39" s="300">
        <v>305.91000000000003</v>
      </c>
      <c r="O39" s="471">
        <v>1946</v>
      </c>
      <c r="P39" s="301"/>
      <c r="Q39" s="300"/>
      <c r="R39" s="299"/>
      <c r="S39" s="484">
        <f t="shared" si="0"/>
        <v>8061.5</v>
      </c>
      <c r="T39" s="17">
        <v>8061.5</v>
      </c>
      <c r="U39" s="484">
        <f t="shared" si="1"/>
        <v>0</v>
      </c>
    </row>
    <row r="40" spans="2:21" x14ac:dyDescent="0.2">
      <c r="B40" s="111">
        <f>'1. LDC Info'!$F$27-7</f>
        <v>2012</v>
      </c>
      <c r="C40" s="26" t="s">
        <v>89</v>
      </c>
      <c r="D40" s="287">
        <v>4414336.8099999996</v>
      </c>
      <c r="E40" s="471">
        <v>6687.5</v>
      </c>
      <c r="F40" s="301">
        <v>2534293.46</v>
      </c>
      <c r="G40" s="471">
        <v>1266.5</v>
      </c>
      <c r="H40" s="302">
        <v>18224.8</v>
      </c>
      <c r="I40" s="471">
        <v>22</v>
      </c>
      <c r="J40" s="287">
        <v>5695533.2800000003</v>
      </c>
      <c r="K40" s="300">
        <v>15084.28</v>
      </c>
      <c r="L40" s="471">
        <v>118</v>
      </c>
      <c r="M40" s="287">
        <v>85427.38</v>
      </c>
      <c r="N40" s="300">
        <v>242.58999999999997</v>
      </c>
      <c r="O40" s="471">
        <v>1946</v>
      </c>
      <c r="P40" s="301"/>
      <c r="Q40" s="300"/>
      <c r="R40" s="299"/>
      <c r="S40" s="484">
        <f t="shared" si="0"/>
        <v>8072</v>
      </c>
      <c r="T40" s="17">
        <v>8072</v>
      </c>
      <c r="U40" s="484">
        <f t="shared" si="1"/>
        <v>0</v>
      </c>
    </row>
    <row r="41" spans="2:21" x14ac:dyDescent="0.2">
      <c r="B41" s="111">
        <f>'1. LDC Info'!$F$27-7</f>
        <v>2012</v>
      </c>
      <c r="C41" s="26" t="s">
        <v>90</v>
      </c>
      <c r="D41" s="287">
        <v>4890985.37</v>
      </c>
      <c r="E41" s="471">
        <v>6691</v>
      </c>
      <c r="F41" s="301">
        <v>2800386.68</v>
      </c>
      <c r="G41" s="471">
        <v>1273.5</v>
      </c>
      <c r="H41" s="302">
        <v>18232</v>
      </c>
      <c r="I41" s="471">
        <v>22</v>
      </c>
      <c r="J41" s="287">
        <v>6430106.8799999999</v>
      </c>
      <c r="K41" s="300">
        <v>18279.060000000001</v>
      </c>
      <c r="L41" s="471">
        <v>117.5</v>
      </c>
      <c r="M41" s="287">
        <v>77781.740000000005</v>
      </c>
      <c r="N41" s="300">
        <v>287.59000000000003</v>
      </c>
      <c r="O41" s="471">
        <v>1946</v>
      </c>
      <c r="P41" s="301"/>
      <c r="Q41" s="300"/>
      <c r="R41" s="299"/>
      <c r="S41" s="484">
        <f t="shared" si="0"/>
        <v>8082</v>
      </c>
      <c r="T41" s="17">
        <v>8082</v>
      </c>
      <c r="U41" s="484">
        <f t="shared" si="1"/>
        <v>0</v>
      </c>
    </row>
    <row r="42" spans="2:21" x14ac:dyDescent="0.2">
      <c r="B42" s="111">
        <f>'1. LDC Info'!$F$27-7</f>
        <v>2012</v>
      </c>
      <c r="C42" s="26" t="s">
        <v>91</v>
      </c>
      <c r="D42" s="287">
        <v>6454309.4699999997</v>
      </c>
      <c r="E42" s="471">
        <v>6699</v>
      </c>
      <c r="F42" s="301">
        <v>3270941.03</v>
      </c>
      <c r="G42" s="471">
        <v>1277.5</v>
      </c>
      <c r="H42" s="302">
        <v>18227</v>
      </c>
      <c r="I42" s="471">
        <v>22</v>
      </c>
      <c r="J42" s="287">
        <v>6974377.5900000008</v>
      </c>
      <c r="K42" s="300">
        <v>17787.2</v>
      </c>
      <c r="L42" s="471">
        <v>117</v>
      </c>
      <c r="M42" s="287">
        <v>70069.06</v>
      </c>
      <c r="N42" s="300">
        <v>252.20999999999998</v>
      </c>
      <c r="O42" s="471">
        <v>1946</v>
      </c>
      <c r="P42" s="301"/>
      <c r="Q42" s="300"/>
      <c r="R42" s="299"/>
      <c r="S42" s="484">
        <f t="shared" si="0"/>
        <v>8093.5</v>
      </c>
      <c r="T42" s="17">
        <v>8093.5</v>
      </c>
      <c r="U42" s="484">
        <f t="shared" si="1"/>
        <v>0</v>
      </c>
    </row>
    <row r="43" spans="2:21" x14ac:dyDescent="0.2">
      <c r="B43" s="111">
        <f>'1. LDC Info'!$F$27-7</f>
        <v>2012</v>
      </c>
      <c r="C43" s="26" t="s">
        <v>92</v>
      </c>
      <c r="D43" s="287">
        <v>8054449.0999999996</v>
      </c>
      <c r="E43" s="471">
        <v>6709.5</v>
      </c>
      <c r="F43" s="301">
        <v>4037845.33</v>
      </c>
      <c r="G43" s="471">
        <v>1278</v>
      </c>
      <c r="H43" s="302">
        <v>18232</v>
      </c>
      <c r="I43" s="471">
        <v>22</v>
      </c>
      <c r="J43" s="287">
        <v>8027663.1299999999</v>
      </c>
      <c r="K43" s="300">
        <v>20563.059999999998</v>
      </c>
      <c r="L43" s="471">
        <v>117.5</v>
      </c>
      <c r="M43" s="287">
        <v>75240.36</v>
      </c>
      <c r="N43" s="300">
        <v>287.59000000000003</v>
      </c>
      <c r="O43" s="471">
        <v>1946</v>
      </c>
      <c r="P43" s="301"/>
      <c r="Q43" s="300"/>
      <c r="R43" s="299"/>
      <c r="S43" s="484">
        <f t="shared" si="0"/>
        <v>8105</v>
      </c>
      <c r="T43" s="17">
        <v>8105</v>
      </c>
      <c r="U43" s="484">
        <f t="shared" si="1"/>
        <v>0</v>
      </c>
    </row>
    <row r="44" spans="2:21" x14ac:dyDescent="0.2">
      <c r="B44" s="111">
        <f>'1. LDC Info'!$F$27-7</f>
        <v>2012</v>
      </c>
      <c r="C44" s="26" t="s">
        <v>93</v>
      </c>
      <c r="D44" s="287">
        <v>7023140.3499999996</v>
      </c>
      <c r="E44" s="471">
        <v>6724</v>
      </c>
      <c r="F44" s="301">
        <v>3709391.96</v>
      </c>
      <c r="G44" s="471">
        <v>1279.5</v>
      </c>
      <c r="H44" s="302">
        <v>18232</v>
      </c>
      <c r="I44" s="471">
        <v>22</v>
      </c>
      <c r="J44" s="287">
        <v>7772104.29</v>
      </c>
      <c r="K44" s="300">
        <v>19610.009999999998</v>
      </c>
      <c r="L44" s="471">
        <v>118</v>
      </c>
      <c r="M44" s="287">
        <v>84504.34</v>
      </c>
      <c r="N44" s="300">
        <v>260.91000000000003</v>
      </c>
      <c r="O44" s="471">
        <v>1946</v>
      </c>
      <c r="P44" s="301"/>
      <c r="Q44" s="300"/>
      <c r="R44" s="299"/>
      <c r="S44" s="484">
        <f t="shared" si="0"/>
        <v>8121.5</v>
      </c>
      <c r="T44" s="17">
        <v>8121.5</v>
      </c>
      <c r="U44" s="484">
        <f t="shared" si="1"/>
        <v>0</v>
      </c>
    </row>
    <row r="45" spans="2:21" x14ac:dyDescent="0.2">
      <c r="B45" s="111">
        <f>'1. LDC Info'!$F$27-7</f>
        <v>2012</v>
      </c>
      <c r="C45" s="26" t="s">
        <v>83</v>
      </c>
      <c r="D45" s="287">
        <v>5382154.04</v>
      </c>
      <c r="E45" s="471">
        <v>6738</v>
      </c>
      <c r="F45" s="301">
        <v>2859233.42</v>
      </c>
      <c r="G45" s="471">
        <v>1277</v>
      </c>
      <c r="H45" s="302">
        <v>18227</v>
      </c>
      <c r="I45" s="471">
        <v>22</v>
      </c>
      <c r="J45" s="287">
        <v>6594814.6299999999</v>
      </c>
      <c r="K45" s="300">
        <v>18759.97</v>
      </c>
      <c r="L45" s="471">
        <v>118</v>
      </c>
      <c r="M45" s="287">
        <v>93230.86</v>
      </c>
      <c r="N45" s="300">
        <v>261.2</v>
      </c>
      <c r="O45" s="471">
        <v>1947.5</v>
      </c>
      <c r="P45" s="301"/>
      <c r="Q45" s="300"/>
      <c r="R45" s="299"/>
      <c r="S45" s="484">
        <f t="shared" si="0"/>
        <v>8133</v>
      </c>
      <c r="T45" s="17">
        <v>8133</v>
      </c>
      <c r="U45" s="484">
        <f t="shared" si="1"/>
        <v>0</v>
      </c>
    </row>
    <row r="46" spans="2:21" x14ac:dyDescent="0.2">
      <c r="B46" s="111">
        <f>'1. LDC Info'!$F$27-7</f>
        <v>2012</v>
      </c>
      <c r="C46" s="26" t="s">
        <v>84</v>
      </c>
      <c r="D46" s="287">
        <v>4699064.01</v>
      </c>
      <c r="E46" s="471">
        <v>6751</v>
      </c>
      <c r="F46" s="301">
        <v>2564023.9500000002</v>
      </c>
      <c r="G46" s="471">
        <v>1274.5</v>
      </c>
      <c r="H46" s="302">
        <v>19409</v>
      </c>
      <c r="I46" s="471">
        <v>22</v>
      </c>
      <c r="J46" s="287">
        <v>6215486.3799999999</v>
      </c>
      <c r="K46" s="300">
        <v>17912.849999999999</v>
      </c>
      <c r="L46" s="471">
        <v>118</v>
      </c>
      <c r="M46" s="287">
        <v>108656.06</v>
      </c>
      <c r="N46" s="300">
        <v>287.59000000000003</v>
      </c>
      <c r="O46" s="471">
        <v>1949</v>
      </c>
      <c r="P46" s="301"/>
      <c r="Q46" s="300"/>
      <c r="R46" s="299"/>
      <c r="S46" s="484">
        <f t="shared" si="0"/>
        <v>8143.5</v>
      </c>
      <c r="T46" s="17">
        <v>8143.5</v>
      </c>
      <c r="U46" s="484">
        <f t="shared" si="1"/>
        <v>0</v>
      </c>
    </row>
    <row r="47" spans="2:21" x14ac:dyDescent="0.2">
      <c r="B47" s="111">
        <f>'1. LDC Info'!$F$27-7</f>
        <v>2012</v>
      </c>
      <c r="C47" s="26" t="s">
        <v>85</v>
      </c>
      <c r="D47" s="287">
        <v>4983441.99</v>
      </c>
      <c r="E47" s="471">
        <v>6767.5</v>
      </c>
      <c r="F47" s="301">
        <v>2619967.92</v>
      </c>
      <c r="G47" s="471">
        <v>1275</v>
      </c>
      <c r="H47" s="302">
        <v>19411</v>
      </c>
      <c r="I47" s="471">
        <v>22</v>
      </c>
      <c r="J47" s="287">
        <v>5936527.9399999995</v>
      </c>
      <c r="K47" s="300">
        <v>14242.69</v>
      </c>
      <c r="L47" s="471">
        <v>117.5</v>
      </c>
      <c r="M47" s="287">
        <v>115693.92</v>
      </c>
      <c r="N47" s="300">
        <v>252.20999999999998</v>
      </c>
      <c r="O47" s="471">
        <v>1949</v>
      </c>
      <c r="P47" s="301"/>
      <c r="Q47" s="300"/>
      <c r="R47" s="299"/>
      <c r="S47" s="484">
        <f t="shared" si="0"/>
        <v>8160</v>
      </c>
      <c r="T47" s="17">
        <v>8160</v>
      </c>
      <c r="U47" s="484">
        <f t="shared" si="1"/>
        <v>0</v>
      </c>
    </row>
    <row r="48" spans="2:21" x14ac:dyDescent="0.2">
      <c r="B48" s="111">
        <f>'1. LDC Info'!$F$27-7</f>
        <v>2012</v>
      </c>
      <c r="C48" s="26" t="s">
        <v>82</v>
      </c>
      <c r="D48" s="287">
        <v>5745878.4699999997</v>
      </c>
      <c r="E48" s="471">
        <v>6795.5</v>
      </c>
      <c r="F48" s="301">
        <v>2836677.68</v>
      </c>
      <c r="G48" s="471">
        <v>1263.5</v>
      </c>
      <c r="H48" s="302">
        <v>20880</v>
      </c>
      <c r="I48" s="471">
        <v>22</v>
      </c>
      <c r="J48" s="287">
        <v>6030493.3800000008</v>
      </c>
      <c r="K48" s="300">
        <v>13180.599999999997</v>
      </c>
      <c r="L48" s="471">
        <v>117</v>
      </c>
      <c r="M48" s="287">
        <v>125093.48</v>
      </c>
      <c r="N48" s="300">
        <v>287.59000000000003</v>
      </c>
      <c r="O48" s="471">
        <v>1947.5</v>
      </c>
      <c r="P48" s="301"/>
      <c r="Q48" s="300"/>
      <c r="R48" s="299"/>
      <c r="S48" s="484">
        <f t="shared" si="0"/>
        <v>8176</v>
      </c>
      <c r="T48" s="17">
        <v>8176</v>
      </c>
      <c r="U48" s="484">
        <f t="shared" si="1"/>
        <v>0</v>
      </c>
    </row>
    <row r="49" spans="2:21" x14ac:dyDescent="0.2">
      <c r="B49" s="111">
        <f>'1. LDC Info'!$F$27-6</f>
        <v>2013</v>
      </c>
      <c r="C49" s="26" t="s">
        <v>86</v>
      </c>
      <c r="D49" s="287">
        <v>5981421.4299999997</v>
      </c>
      <c r="E49" s="471">
        <v>6822.5</v>
      </c>
      <c r="F49" s="301">
        <v>2985395.65</v>
      </c>
      <c r="G49" s="471">
        <v>1250.5</v>
      </c>
      <c r="H49" s="302">
        <v>20819.2</v>
      </c>
      <c r="I49" s="471">
        <v>22</v>
      </c>
      <c r="J49" s="287">
        <v>6367883.0300000003</v>
      </c>
      <c r="K49" s="300">
        <v>15679.79</v>
      </c>
      <c r="L49" s="471">
        <v>117</v>
      </c>
      <c r="M49" s="287">
        <v>121945.88</v>
      </c>
      <c r="N49" s="300">
        <v>260.91000000000003</v>
      </c>
      <c r="O49" s="471">
        <v>1946</v>
      </c>
      <c r="P49" s="301"/>
      <c r="Q49" s="300"/>
      <c r="R49" s="299"/>
      <c r="S49" s="484">
        <f t="shared" si="0"/>
        <v>8190</v>
      </c>
      <c r="T49" s="17">
        <v>8190</v>
      </c>
      <c r="U49" s="484">
        <f t="shared" si="1"/>
        <v>0</v>
      </c>
    </row>
    <row r="50" spans="2:21" x14ac:dyDescent="0.2">
      <c r="B50" s="111">
        <f>'1. LDC Info'!$F$27-6</f>
        <v>2013</v>
      </c>
      <c r="C50" s="26" t="s">
        <v>87</v>
      </c>
      <c r="D50" s="287">
        <v>5329196.3600000003</v>
      </c>
      <c r="E50" s="471">
        <v>6845</v>
      </c>
      <c r="F50" s="301">
        <v>2780277.34</v>
      </c>
      <c r="G50" s="471">
        <v>1233.5</v>
      </c>
      <c r="H50" s="302">
        <v>20574</v>
      </c>
      <c r="I50" s="471">
        <v>22</v>
      </c>
      <c r="J50" s="287">
        <v>5815641.0099999998</v>
      </c>
      <c r="K50" s="300">
        <v>15130.829999999998</v>
      </c>
      <c r="L50" s="471">
        <v>117</v>
      </c>
      <c r="M50" s="287">
        <v>101685.39</v>
      </c>
      <c r="N50" s="300">
        <v>243.78000000000003</v>
      </c>
      <c r="O50" s="471">
        <v>1946</v>
      </c>
      <c r="P50" s="301"/>
      <c r="Q50" s="300"/>
      <c r="R50" s="299"/>
      <c r="S50" s="484">
        <f t="shared" si="0"/>
        <v>8195.5</v>
      </c>
      <c r="T50" s="17">
        <v>8195.5</v>
      </c>
      <c r="U50" s="484">
        <f t="shared" si="1"/>
        <v>0</v>
      </c>
    </row>
    <row r="51" spans="2:21" x14ac:dyDescent="0.2">
      <c r="B51" s="111">
        <f>'1. LDC Info'!$F$27-6</f>
        <v>2013</v>
      </c>
      <c r="C51" s="26" t="s">
        <v>88</v>
      </c>
      <c r="D51" s="287">
        <v>5409441.7000000002</v>
      </c>
      <c r="E51" s="471">
        <v>6866</v>
      </c>
      <c r="F51" s="301">
        <v>2889530.71</v>
      </c>
      <c r="G51" s="471">
        <v>1219</v>
      </c>
      <c r="H51" s="302">
        <v>19408</v>
      </c>
      <c r="I51" s="471">
        <v>22</v>
      </c>
      <c r="J51" s="287">
        <v>6145069.4000000004</v>
      </c>
      <c r="K51" s="300">
        <v>17119.010000000002</v>
      </c>
      <c r="L51" s="471">
        <v>117</v>
      </c>
      <c r="M51" s="287">
        <v>100695.44</v>
      </c>
      <c r="N51" s="300">
        <v>324.94000000000005</v>
      </c>
      <c r="O51" s="471">
        <v>1946</v>
      </c>
      <c r="P51" s="301"/>
      <c r="Q51" s="300"/>
      <c r="R51" s="299"/>
      <c r="S51" s="484">
        <f t="shared" si="0"/>
        <v>8202</v>
      </c>
      <c r="T51" s="17">
        <v>8202</v>
      </c>
      <c r="U51" s="484">
        <f t="shared" si="1"/>
        <v>0</v>
      </c>
    </row>
    <row r="52" spans="2:21" x14ac:dyDescent="0.2">
      <c r="B52" s="111">
        <f>'1. LDC Info'!$F$27-6</f>
        <v>2013</v>
      </c>
      <c r="C52" s="26" t="s">
        <v>89</v>
      </c>
      <c r="D52" s="287">
        <v>4691365.6399999997</v>
      </c>
      <c r="E52" s="471">
        <v>6873.5</v>
      </c>
      <c r="F52" s="301">
        <v>2592932.2200000002</v>
      </c>
      <c r="G52" s="471">
        <v>1219.5</v>
      </c>
      <c r="H52" s="302">
        <v>19402</v>
      </c>
      <c r="I52" s="471">
        <v>22</v>
      </c>
      <c r="J52" s="287">
        <v>5791301.4900000002</v>
      </c>
      <c r="K52" s="300">
        <v>12204.099999999999</v>
      </c>
      <c r="L52" s="471">
        <v>117</v>
      </c>
      <c r="M52" s="287">
        <v>85427.38</v>
      </c>
      <c r="N52" s="300">
        <v>232.27999999999997</v>
      </c>
      <c r="O52" s="471">
        <v>1946</v>
      </c>
      <c r="P52" s="301"/>
      <c r="Q52" s="300"/>
      <c r="R52" s="299"/>
      <c r="S52" s="484">
        <f t="shared" si="0"/>
        <v>8210</v>
      </c>
      <c r="T52" s="17">
        <v>8210</v>
      </c>
      <c r="U52" s="484">
        <f t="shared" si="1"/>
        <v>0</v>
      </c>
    </row>
    <row r="53" spans="2:21" x14ac:dyDescent="0.2">
      <c r="B53" s="111">
        <f>'1. LDC Info'!$F$27-6</f>
        <v>2013</v>
      </c>
      <c r="C53" s="26" t="s">
        <v>90</v>
      </c>
      <c r="D53" s="287">
        <v>4778001.26</v>
      </c>
      <c r="E53" s="471">
        <v>6887.5</v>
      </c>
      <c r="F53" s="301">
        <v>2713316.71</v>
      </c>
      <c r="G53" s="471">
        <v>1218</v>
      </c>
      <c r="H53" s="302">
        <v>19409</v>
      </c>
      <c r="I53" s="471">
        <v>21.5</v>
      </c>
      <c r="J53" s="287">
        <v>6284584.5</v>
      </c>
      <c r="K53" s="300">
        <v>18681.499999999996</v>
      </c>
      <c r="L53" s="471">
        <v>117</v>
      </c>
      <c r="M53" s="287">
        <v>77781.740000000005</v>
      </c>
      <c r="N53" s="300">
        <v>287.59000000000003</v>
      </c>
      <c r="O53" s="471">
        <v>1946</v>
      </c>
      <c r="P53" s="301"/>
      <c r="Q53" s="300"/>
      <c r="R53" s="299"/>
      <c r="S53" s="484">
        <f t="shared" si="0"/>
        <v>8222.5</v>
      </c>
      <c r="T53" s="17">
        <v>8222.5</v>
      </c>
      <c r="U53" s="484">
        <f t="shared" si="1"/>
        <v>0</v>
      </c>
    </row>
    <row r="54" spans="2:21" x14ac:dyDescent="0.2">
      <c r="B54" s="111">
        <f>'1. LDC Info'!$F$27-6</f>
        <v>2013</v>
      </c>
      <c r="C54" s="26" t="s">
        <v>91</v>
      </c>
      <c r="D54" s="287">
        <v>5905178.7699999996</v>
      </c>
      <c r="E54" s="471">
        <v>6903.5</v>
      </c>
      <c r="F54" s="301">
        <v>2947996.96</v>
      </c>
      <c r="G54" s="471">
        <v>1218.5</v>
      </c>
      <c r="H54" s="302">
        <v>19027</v>
      </c>
      <c r="I54" s="471">
        <v>21</v>
      </c>
      <c r="J54" s="287">
        <v>6733967.1999999993</v>
      </c>
      <c r="K54" s="300">
        <v>16808.740000000005</v>
      </c>
      <c r="L54" s="471">
        <v>117</v>
      </c>
      <c r="M54" s="287">
        <v>70069.06</v>
      </c>
      <c r="N54" s="300">
        <v>252.20999999999998</v>
      </c>
      <c r="O54" s="471">
        <v>1946</v>
      </c>
      <c r="P54" s="301"/>
      <c r="Q54" s="300"/>
      <c r="R54" s="299"/>
      <c r="S54" s="484">
        <f t="shared" si="0"/>
        <v>8239</v>
      </c>
      <c r="T54" s="17">
        <v>8239</v>
      </c>
      <c r="U54" s="484">
        <f t="shared" si="1"/>
        <v>0</v>
      </c>
    </row>
    <row r="55" spans="2:21" x14ac:dyDescent="0.2">
      <c r="B55" s="111">
        <f>'1. LDC Info'!$F$27-6</f>
        <v>2013</v>
      </c>
      <c r="C55" s="26" t="s">
        <v>92</v>
      </c>
      <c r="D55" s="287">
        <v>7385958.1200000001</v>
      </c>
      <c r="E55" s="471">
        <v>6914.5</v>
      </c>
      <c r="F55" s="301">
        <v>3544817.85</v>
      </c>
      <c r="G55" s="471">
        <v>1218.5</v>
      </c>
      <c r="H55" s="302">
        <v>19032</v>
      </c>
      <c r="I55" s="471">
        <v>21</v>
      </c>
      <c r="J55" s="287">
        <v>7456364.5300000003</v>
      </c>
      <c r="K55" s="300">
        <v>21104.940000000002</v>
      </c>
      <c r="L55" s="471">
        <v>117.5</v>
      </c>
      <c r="M55" s="287">
        <v>75240.36</v>
      </c>
      <c r="N55" s="300">
        <v>287.59000000000003</v>
      </c>
      <c r="O55" s="471">
        <v>1946</v>
      </c>
      <c r="P55" s="301"/>
      <c r="Q55" s="300"/>
      <c r="R55" s="299"/>
      <c r="S55" s="484">
        <f t="shared" si="0"/>
        <v>8250.5</v>
      </c>
      <c r="T55" s="17">
        <v>8250.5</v>
      </c>
      <c r="U55" s="484">
        <f t="shared" si="1"/>
        <v>0</v>
      </c>
    </row>
    <row r="56" spans="2:21" x14ac:dyDescent="0.2">
      <c r="B56" s="111">
        <f>'1. LDC Info'!$F$27-6</f>
        <v>2013</v>
      </c>
      <c r="C56" s="26" t="s">
        <v>93</v>
      </c>
      <c r="D56" s="287">
        <v>6483157.8600000003</v>
      </c>
      <c r="E56" s="471">
        <v>6933</v>
      </c>
      <c r="F56" s="301">
        <v>3494421.66</v>
      </c>
      <c r="G56" s="471">
        <v>1216.5</v>
      </c>
      <c r="H56" s="302">
        <v>19032</v>
      </c>
      <c r="I56" s="471">
        <v>21</v>
      </c>
      <c r="J56" s="287">
        <v>7447660.7699999996</v>
      </c>
      <c r="K56" s="300">
        <v>20859.770000000004</v>
      </c>
      <c r="L56" s="471">
        <v>118</v>
      </c>
      <c r="M56" s="287">
        <v>84504.34</v>
      </c>
      <c r="N56" s="300">
        <v>260.91000000000003</v>
      </c>
      <c r="O56" s="471">
        <v>1946</v>
      </c>
      <c r="P56" s="301"/>
      <c r="Q56" s="300"/>
      <c r="R56" s="299"/>
      <c r="S56" s="484">
        <f t="shared" si="0"/>
        <v>8267.5</v>
      </c>
      <c r="T56" s="17">
        <v>8267.5</v>
      </c>
      <c r="U56" s="484">
        <f t="shared" si="1"/>
        <v>0</v>
      </c>
    </row>
    <row r="57" spans="2:21" x14ac:dyDescent="0.2">
      <c r="B57" s="111">
        <f>'1. LDC Info'!$F$27-6</f>
        <v>2013</v>
      </c>
      <c r="C57" s="26" t="s">
        <v>83</v>
      </c>
      <c r="D57" s="287">
        <v>5501921.9400000004</v>
      </c>
      <c r="E57" s="471">
        <v>6951.5</v>
      </c>
      <c r="F57" s="301">
        <v>2925463.28</v>
      </c>
      <c r="G57" s="471">
        <v>1212</v>
      </c>
      <c r="H57" s="302">
        <v>19027</v>
      </c>
      <c r="I57" s="471">
        <v>21</v>
      </c>
      <c r="J57" s="287">
        <v>6755713.0600000005</v>
      </c>
      <c r="K57" s="300">
        <v>16243.869999999999</v>
      </c>
      <c r="L57" s="471">
        <v>118</v>
      </c>
      <c r="M57" s="287">
        <v>93230.86</v>
      </c>
      <c r="N57" s="300">
        <v>261.2</v>
      </c>
      <c r="O57" s="471">
        <v>1946</v>
      </c>
      <c r="P57" s="301"/>
      <c r="Q57" s="300"/>
      <c r="R57" s="299"/>
      <c r="S57" s="484">
        <f t="shared" si="0"/>
        <v>8281.5</v>
      </c>
      <c r="T57" s="17">
        <v>8281.5</v>
      </c>
      <c r="U57" s="484">
        <f t="shared" si="1"/>
        <v>0</v>
      </c>
    </row>
    <row r="58" spans="2:21" x14ac:dyDescent="0.2">
      <c r="B58" s="111">
        <f>'1. LDC Info'!$F$27-6</f>
        <v>2013</v>
      </c>
      <c r="C58" s="26" t="s">
        <v>84</v>
      </c>
      <c r="D58" s="287">
        <v>4917782</v>
      </c>
      <c r="E58" s="471">
        <v>6968</v>
      </c>
      <c r="F58" s="301">
        <v>2589876.71</v>
      </c>
      <c r="G58" s="471">
        <v>1208</v>
      </c>
      <c r="H58" s="302">
        <v>19032</v>
      </c>
      <c r="I58" s="471">
        <v>21</v>
      </c>
      <c r="J58" s="287">
        <v>6441761.5199999996</v>
      </c>
      <c r="K58" s="300">
        <v>21228.75</v>
      </c>
      <c r="L58" s="471">
        <v>118.5</v>
      </c>
      <c r="M58" s="287">
        <v>108656.06</v>
      </c>
      <c r="N58" s="300">
        <v>287.59000000000003</v>
      </c>
      <c r="O58" s="471">
        <v>1946</v>
      </c>
      <c r="P58" s="301"/>
      <c r="Q58" s="300"/>
      <c r="R58" s="299"/>
      <c r="S58" s="484">
        <f t="shared" si="0"/>
        <v>8294.5</v>
      </c>
      <c r="T58" s="17">
        <v>8294.5</v>
      </c>
      <c r="U58" s="484">
        <f t="shared" si="1"/>
        <v>0</v>
      </c>
    </row>
    <row r="59" spans="2:21" x14ac:dyDescent="0.2">
      <c r="B59" s="111">
        <f>'1. LDC Info'!$F$27-6</f>
        <v>2013</v>
      </c>
      <c r="C59" s="26" t="s">
        <v>85</v>
      </c>
      <c r="D59" s="287">
        <v>5302448.6399999997</v>
      </c>
      <c r="E59" s="471">
        <v>6986.5</v>
      </c>
      <c r="F59" s="301">
        <v>2717466.3</v>
      </c>
      <c r="G59" s="471">
        <v>1208.5</v>
      </c>
      <c r="H59" s="302">
        <v>19032</v>
      </c>
      <c r="I59" s="471">
        <v>21</v>
      </c>
      <c r="J59" s="287">
        <v>6172801.6699999999</v>
      </c>
      <c r="K59" s="300">
        <v>15295.029999999999</v>
      </c>
      <c r="L59" s="471">
        <v>119.5</v>
      </c>
      <c r="M59" s="287">
        <v>115693.92</v>
      </c>
      <c r="N59" s="300">
        <v>269.61000000000007</v>
      </c>
      <c r="O59" s="471">
        <v>1946</v>
      </c>
      <c r="P59" s="301"/>
      <c r="Q59" s="300"/>
      <c r="R59" s="299"/>
      <c r="S59" s="484">
        <f t="shared" si="0"/>
        <v>8314.5</v>
      </c>
      <c r="T59" s="17">
        <v>8314.5</v>
      </c>
      <c r="U59" s="484">
        <f t="shared" si="1"/>
        <v>0</v>
      </c>
    </row>
    <row r="60" spans="2:21" x14ac:dyDescent="0.2">
      <c r="B60" s="111">
        <f>'1. LDC Info'!$F$27-6</f>
        <v>2013</v>
      </c>
      <c r="C60" s="26" t="s">
        <v>82</v>
      </c>
      <c r="D60" s="287">
        <v>6440934.8499999996</v>
      </c>
      <c r="E60" s="471">
        <v>6998</v>
      </c>
      <c r="F60" s="301">
        <v>3109635.52</v>
      </c>
      <c r="G60" s="471">
        <v>1230</v>
      </c>
      <c r="H60" s="302">
        <v>20673.03</v>
      </c>
      <c r="I60" s="471">
        <v>21</v>
      </c>
      <c r="J60" s="287">
        <v>6483345.2000000002</v>
      </c>
      <c r="K60" s="300">
        <v>14236.49</v>
      </c>
      <c r="L60" s="471">
        <v>121</v>
      </c>
      <c r="M60" s="287">
        <v>125093.48</v>
      </c>
      <c r="N60" s="300">
        <v>288.18000000000006</v>
      </c>
      <c r="O60" s="471">
        <v>1979</v>
      </c>
      <c r="P60" s="301"/>
      <c r="Q60" s="300"/>
      <c r="R60" s="299"/>
      <c r="S60" s="484">
        <f t="shared" si="0"/>
        <v>8349</v>
      </c>
      <c r="T60" s="17">
        <v>8349</v>
      </c>
      <c r="U60" s="484">
        <f t="shared" si="1"/>
        <v>0</v>
      </c>
    </row>
    <row r="61" spans="2:21" x14ac:dyDescent="0.2">
      <c r="B61" s="111">
        <f>'1. LDC Info'!$F$27-5</f>
        <v>2014</v>
      </c>
      <c r="C61" s="26" t="s">
        <v>86</v>
      </c>
      <c r="D61" s="287">
        <v>6653405.75</v>
      </c>
      <c r="E61" s="471">
        <v>7009</v>
      </c>
      <c r="F61" s="301">
        <v>3327003.9</v>
      </c>
      <c r="G61" s="471">
        <v>1285.5</v>
      </c>
      <c r="H61" s="302">
        <v>20423.169999999998</v>
      </c>
      <c r="I61" s="471">
        <v>21</v>
      </c>
      <c r="J61" s="287">
        <v>6776353.2199999997</v>
      </c>
      <c r="K61" s="300">
        <v>14687.93</v>
      </c>
      <c r="L61" s="471">
        <v>124.5</v>
      </c>
      <c r="M61" s="287">
        <v>121945.88</v>
      </c>
      <c r="N61" s="300">
        <v>242.92000000000002</v>
      </c>
      <c r="O61" s="471">
        <v>2012</v>
      </c>
      <c r="P61" s="301"/>
      <c r="Q61" s="300"/>
      <c r="R61" s="299"/>
      <c r="S61" s="484">
        <f t="shared" si="0"/>
        <v>8419</v>
      </c>
      <c r="T61" s="17">
        <v>8419</v>
      </c>
      <c r="U61" s="484">
        <f t="shared" si="1"/>
        <v>0</v>
      </c>
    </row>
    <row r="62" spans="2:21" x14ac:dyDescent="0.2">
      <c r="B62" s="111">
        <f>'1. LDC Info'!$F$27-5</f>
        <v>2014</v>
      </c>
      <c r="C62" s="26" t="s">
        <v>87</v>
      </c>
      <c r="D62" s="287">
        <v>5746564.9299999997</v>
      </c>
      <c r="E62" s="471">
        <v>7016</v>
      </c>
      <c r="F62" s="301">
        <v>3050128.84</v>
      </c>
      <c r="G62" s="471">
        <v>1319</v>
      </c>
      <c r="H62" s="302">
        <v>19016</v>
      </c>
      <c r="I62" s="471">
        <v>21</v>
      </c>
      <c r="J62" s="287">
        <v>6114700.8000000007</v>
      </c>
      <c r="K62" s="300">
        <v>14137.810000000001</v>
      </c>
      <c r="L62" s="471">
        <v>127</v>
      </c>
      <c r="M62" s="287">
        <v>101685.39</v>
      </c>
      <c r="N62" s="300">
        <v>243.78000000000003</v>
      </c>
      <c r="O62" s="471">
        <v>2012</v>
      </c>
      <c r="P62" s="301"/>
      <c r="Q62" s="300"/>
      <c r="R62" s="299"/>
      <c r="S62" s="484">
        <f t="shared" si="0"/>
        <v>8462</v>
      </c>
      <c r="T62" s="17">
        <v>8462</v>
      </c>
      <c r="U62" s="484">
        <f t="shared" si="1"/>
        <v>0</v>
      </c>
    </row>
    <row r="63" spans="2:21" x14ac:dyDescent="0.2">
      <c r="B63" s="111">
        <f>'1. LDC Info'!$F$27-5</f>
        <v>2014</v>
      </c>
      <c r="C63" s="26" t="s">
        <v>88</v>
      </c>
      <c r="D63" s="287">
        <v>5802479.2300000004</v>
      </c>
      <c r="E63" s="471">
        <v>7025.5</v>
      </c>
      <c r="F63" s="301">
        <v>3242278.92</v>
      </c>
      <c r="G63" s="471">
        <v>1317.5</v>
      </c>
      <c r="H63" s="302">
        <v>19031</v>
      </c>
      <c r="I63" s="471">
        <v>21</v>
      </c>
      <c r="J63" s="287">
        <v>6511019.8900000006</v>
      </c>
      <c r="K63" s="300">
        <v>19629.05</v>
      </c>
      <c r="L63" s="471">
        <v>128</v>
      </c>
      <c r="M63" s="287">
        <v>100695.44</v>
      </c>
      <c r="N63" s="300">
        <v>324.94000000000005</v>
      </c>
      <c r="O63" s="471">
        <v>2031.5</v>
      </c>
      <c r="P63" s="301"/>
      <c r="Q63" s="300"/>
      <c r="R63" s="299"/>
      <c r="S63" s="484">
        <f t="shared" si="0"/>
        <v>8471</v>
      </c>
      <c r="T63" s="17">
        <v>8471</v>
      </c>
      <c r="U63" s="484">
        <f t="shared" si="1"/>
        <v>0</v>
      </c>
    </row>
    <row r="64" spans="2:21" x14ac:dyDescent="0.2">
      <c r="B64" s="111">
        <f>'1. LDC Info'!$F$27-5</f>
        <v>2014</v>
      </c>
      <c r="C64" s="26" t="s">
        <v>89</v>
      </c>
      <c r="D64" s="287">
        <v>4865502.6900000004</v>
      </c>
      <c r="E64" s="471">
        <v>7049</v>
      </c>
      <c r="F64" s="301">
        <v>2858595.72</v>
      </c>
      <c r="G64" s="471">
        <v>1317</v>
      </c>
      <c r="H64" s="302">
        <v>19025</v>
      </c>
      <c r="I64" s="471">
        <v>21</v>
      </c>
      <c r="J64" s="287">
        <v>5813578.9800000004</v>
      </c>
      <c r="K64" s="300">
        <v>14327.149999999998</v>
      </c>
      <c r="L64" s="471">
        <v>129.5</v>
      </c>
      <c r="M64" s="287">
        <v>85427.38</v>
      </c>
      <c r="N64" s="300">
        <v>232.27999999999997</v>
      </c>
      <c r="O64" s="471">
        <v>2051</v>
      </c>
      <c r="P64" s="301"/>
      <c r="Q64" s="300"/>
      <c r="R64" s="299"/>
      <c r="S64" s="484">
        <f t="shared" si="0"/>
        <v>8495.5</v>
      </c>
      <c r="T64" s="17">
        <v>8495.5</v>
      </c>
      <c r="U64" s="484">
        <f t="shared" si="1"/>
        <v>0</v>
      </c>
    </row>
    <row r="65" spans="2:21" x14ac:dyDescent="0.2">
      <c r="B65" s="111">
        <f>'1. LDC Info'!$F$27-5</f>
        <v>2014</v>
      </c>
      <c r="C65" s="26" t="s">
        <v>90</v>
      </c>
      <c r="D65" s="287">
        <v>4770890.78</v>
      </c>
      <c r="E65" s="471">
        <v>7074</v>
      </c>
      <c r="F65" s="301">
        <v>3110798.37</v>
      </c>
      <c r="G65" s="471">
        <v>1316</v>
      </c>
      <c r="H65" s="302">
        <v>19027</v>
      </c>
      <c r="I65" s="471">
        <v>21.5</v>
      </c>
      <c r="J65" s="287">
        <v>6261781.1400000006</v>
      </c>
      <c r="K65" s="300">
        <v>15460.570000000003</v>
      </c>
      <c r="L65" s="471">
        <v>129.5</v>
      </c>
      <c r="M65" s="287">
        <v>77781.740000000005</v>
      </c>
      <c r="N65" s="300">
        <v>278.60000000000002</v>
      </c>
      <c r="O65" s="471">
        <v>2051</v>
      </c>
      <c r="P65" s="301"/>
      <c r="Q65" s="300"/>
      <c r="R65" s="299"/>
      <c r="S65" s="484">
        <f t="shared" si="0"/>
        <v>8519.5</v>
      </c>
      <c r="T65" s="17">
        <v>8519.5</v>
      </c>
      <c r="U65" s="484">
        <f t="shared" si="1"/>
        <v>0</v>
      </c>
    </row>
    <row r="66" spans="2:21" x14ac:dyDescent="0.2">
      <c r="B66" s="111">
        <f>'1. LDC Info'!$F$27-5</f>
        <v>2014</v>
      </c>
      <c r="C66" s="26" t="s">
        <v>91</v>
      </c>
      <c r="D66" s="287">
        <v>5859852.4299999997</v>
      </c>
      <c r="E66" s="471">
        <v>7101</v>
      </c>
      <c r="F66" s="301">
        <v>3437599.14</v>
      </c>
      <c r="G66" s="471">
        <v>1313.5</v>
      </c>
      <c r="H66" s="302">
        <v>19027</v>
      </c>
      <c r="I66" s="471">
        <v>22</v>
      </c>
      <c r="J66" s="287">
        <v>6837349.4900000002</v>
      </c>
      <c r="K66" s="300">
        <v>18947.189999999999</v>
      </c>
      <c r="L66" s="471">
        <v>129</v>
      </c>
      <c r="M66" s="287">
        <v>70069.06</v>
      </c>
      <c r="N66" s="300">
        <v>269.90000000000003</v>
      </c>
      <c r="O66" s="471">
        <v>2051</v>
      </c>
      <c r="P66" s="301"/>
      <c r="Q66" s="300"/>
      <c r="R66" s="299"/>
      <c r="S66" s="484">
        <f t="shared" si="0"/>
        <v>8543.5</v>
      </c>
      <c r="T66" s="17">
        <v>8543.5</v>
      </c>
      <c r="U66" s="484">
        <f t="shared" si="1"/>
        <v>0</v>
      </c>
    </row>
    <row r="67" spans="2:21" x14ac:dyDescent="0.2">
      <c r="B67" s="111">
        <f>'1. LDC Info'!$F$27-5</f>
        <v>2014</v>
      </c>
      <c r="C67" s="26" t="s">
        <v>92</v>
      </c>
      <c r="D67" s="287">
        <v>6618149.96</v>
      </c>
      <c r="E67" s="471">
        <v>7125.5</v>
      </c>
      <c r="F67" s="301">
        <v>3807261.57</v>
      </c>
      <c r="G67" s="471">
        <v>1313</v>
      </c>
      <c r="H67" s="302">
        <v>19027</v>
      </c>
      <c r="I67" s="471">
        <v>22</v>
      </c>
      <c r="J67" s="287">
        <v>7351313.2800000003</v>
      </c>
      <c r="K67" s="300">
        <v>19759.82</v>
      </c>
      <c r="L67" s="471">
        <v>129</v>
      </c>
      <c r="M67" s="287">
        <v>75240.36</v>
      </c>
      <c r="N67" s="300">
        <v>278.89000000000004</v>
      </c>
      <c r="O67" s="471">
        <v>2051</v>
      </c>
      <c r="P67" s="301"/>
      <c r="Q67" s="300"/>
      <c r="R67" s="299"/>
      <c r="S67" s="484">
        <f t="shared" si="0"/>
        <v>8567.5</v>
      </c>
      <c r="T67" s="17">
        <v>8567.5</v>
      </c>
      <c r="U67" s="484">
        <f t="shared" si="1"/>
        <v>0</v>
      </c>
    </row>
    <row r="68" spans="2:21" x14ac:dyDescent="0.2">
      <c r="B68" s="111">
        <f>'1. LDC Info'!$F$27-5</f>
        <v>2014</v>
      </c>
      <c r="C68" s="26" t="s">
        <v>93</v>
      </c>
      <c r="D68" s="287">
        <v>6469853.2800000003</v>
      </c>
      <c r="E68" s="471">
        <v>7149</v>
      </c>
      <c r="F68" s="301">
        <v>3890116.71</v>
      </c>
      <c r="G68" s="471">
        <v>1314</v>
      </c>
      <c r="H68" s="302">
        <v>19027</v>
      </c>
      <c r="I68" s="471">
        <v>22</v>
      </c>
      <c r="J68" s="287">
        <v>7611046.1199999992</v>
      </c>
      <c r="K68" s="300">
        <v>17492.130000000005</v>
      </c>
      <c r="L68" s="471">
        <v>130</v>
      </c>
      <c r="M68" s="287">
        <v>84504.34</v>
      </c>
      <c r="N68" s="300">
        <v>243.51000000000005</v>
      </c>
      <c r="O68" s="471">
        <v>2051</v>
      </c>
      <c r="P68" s="301"/>
      <c r="Q68" s="300"/>
      <c r="R68" s="299"/>
      <c r="S68" s="484">
        <f t="shared" si="0"/>
        <v>8593</v>
      </c>
      <c r="T68" s="17">
        <v>8593</v>
      </c>
      <c r="U68" s="484">
        <f t="shared" si="1"/>
        <v>0</v>
      </c>
    </row>
    <row r="69" spans="2:21" x14ac:dyDescent="0.2">
      <c r="B69" s="111">
        <f>'1. LDC Info'!$F$27-5</f>
        <v>2014</v>
      </c>
      <c r="C69" s="26" t="s">
        <v>83</v>
      </c>
      <c r="D69" s="287">
        <v>5526119.1299999999</v>
      </c>
      <c r="E69" s="471">
        <v>7167.5</v>
      </c>
      <c r="F69" s="301">
        <v>3334866.07</v>
      </c>
      <c r="G69" s="471">
        <v>1312.5</v>
      </c>
      <c r="H69" s="302">
        <v>19027</v>
      </c>
      <c r="I69" s="471">
        <v>22</v>
      </c>
      <c r="J69" s="287">
        <v>6882553.5800000001</v>
      </c>
      <c r="K69" s="300">
        <v>22729.459999999995</v>
      </c>
      <c r="L69" s="471">
        <v>131</v>
      </c>
      <c r="M69" s="287">
        <v>93230.86</v>
      </c>
      <c r="N69" s="300">
        <v>278.59999999999997</v>
      </c>
      <c r="O69" s="471">
        <v>2065.5</v>
      </c>
      <c r="P69" s="301"/>
      <c r="Q69" s="300"/>
      <c r="R69" s="299"/>
      <c r="S69" s="484">
        <f t="shared" si="0"/>
        <v>8611</v>
      </c>
      <c r="T69" s="17">
        <v>8611</v>
      </c>
      <c r="U69" s="484">
        <f t="shared" si="1"/>
        <v>0</v>
      </c>
    </row>
    <row r="70" spans="2:21" x14ac:dyDescent="0.2">
      <c r="B70" s="111">
        <f>'1. LDC Info'!$F$27-5</f>
        <v>2014</v>
      </c>
      <c r="C70" s="26" t="s">
        <v>84</v>
      </c>
      <c r="D70" s="287">
        <v>4860007.08</v>
      </c>
      <c r="E70" s="471">
        <v>7180.5</v>
      </c>
      <c r="F70" s="301">
        <v>2937049.01</v>
      </c>
      <c r="G70" s="471">
        <v>1311.5</v>
      </c>
      <c r="H70" s="302">
        <v>19027</v>
      </c>
      <c r="I70" s="471">
        <v>22</v>
      </c>
      <c r="J70" s="287">
        <v>6571092.2800000003</v>
      </c>
      <c r="K70" s="300">
        <v>19270.780000000002</v>
      </c>
      <c r="L70" s="471">
        <v>131</v>
      </c>
      <c r="M70" s="287">
        <v>108656.51</v>
      </c>
      <c r="N70" s="300">
        <v>314.58000000000004</v>
      </c>
      <c r="O70" s="471">
        <v>2080</v>
      </c>
      <c r="P70" s="301"/>
      <c r="Q70" s="300"/>
      <c r="R70" s="299"/>
      <c r="S70" s="484">
        <f t="shared" si="0"/>
        <v>8623</v>
      </c>
      <c r="T70" s="17">
        <v>8623</v>
      </c>
      <c r="U70" s="484">
        <f t="shared" si="1"/>
        <v>0</v>
      </c>
    </row>
    <row r="71" spans="2:21" x14ac:dyDescent="0.2">
      <c r="B71" s="111">
        <f>'1. LDC Info'!$F$27-5</f>
        <v>2014</v>
      </c>
      <c r="C71" s="26" t="s">
        <v>85</v>
      </c>
      <c r="D71" s="287">
        <v>5327677.2300000004</v>
      </c>
      <c r="E71" s="471">
        <v>7203</v>
      </c>
      <c r="F71" s="301">
        <v>3004230.92</v>
      </c>
      <c r="G71" s="471">
        <v>1312</v>
      </c>
      <c r="H71" s="302">
        <v>19027</v>
      </c>
      <c r="I71" s="471">
        <v>22</v>
      </c>
      <c r="J71" s="287">
        <v>6504298.8700000001</v>
      </c>
      <c r="K71" s="300">
        <v>11688.480000000003</v>
      </c>
      <c r="L71" s="471">
        <v>131.5</v>
      </c>
      <c r="M71" s="287">
        <v>115694.32</v>
      </c>
      <c r="N71" s="300">
        <v>207.79999999999995</v>
      </c>
      <c r="O71" s="471">
        <v>2080</v>
      </c>
      <c r="P71" s="301"/>
      <c r="Q71" s="300"/>
      <c r="R71" s="299"/>
      <c r="S71" s="484">
        <f t="shared" si="0"/>
        <v>8646.5</v>
      </c>
      <c r="T71" s="17">
        <v>8646.5</v>
      </c>
      <c r="U71" s="484">
        <f t="shared" si="1"/>
        <v>0</v>
      </c>
    </row>
    <row r="72" spans="2:21" x14ac:dyDescent="0.2">
      <c r="B72" s="111">
        <f>'1. LDC Info'!$F$27-5</f>
        <v>2014</v>
      </c>
      <c r="C72" s="26" t="s">
        <v>82</v>
      </c>
      <c r="D72" s="287">
        <v>6099025.4299999997</v>
      </c>
      <c r="E72" s="471">
        <v>7222.5</v>
      </c>
      <c r="F72" s="301">
        <v>3288531.2</v>
      </c>
      <c r="G72" s="471">
        <v>1310.5</v>
      </c>
      <c r="H72" s="302">
        <v>20132.57</v>
      </c>
      <c r="I72" s="471">
        <v>22</v>
      </c>
      <c r="J72" s="287">
        <v>6841810.8799999999</v>
      </c>
      <c r="K72" s="300">
        <v>19912.150000000001</v>
      </c>
      <c r="L72" s="471">
        <v>132.5</v>
      </c>
      <c r="M72" s="287">
        <v>125093.78</v>
      </c>
      <c r="N72" s="300">
        <v>323</v>
      </c>
      <c r="O72" s="471">
        <v>2080</v>
      </c>
      <c r="P72" s="301"/>
      <c r="Q72" s="300"/>
      <c r="R72" s="299"/>
      <c r="S72" s="484">
        <f t="shared" si="0"/>
        <v>8665.5</v>
      </c>
      <c r="T72" s="17">
        <v>8665.5</v>
      </c>
      <c r="U72" s="484">
        <f t="shared" si="1"/>
        <v>0</v>
      </c>
    </row>
    <row r="73" spans="2:21" x14ac:dyDescent="0.2">
      <c r="B73" s="111">
        <f>'1. LDC Info'!$F$27-4</f>
        <v>2015</v>
      </c>
      <c r="C73" s="26" t="s">
        <v>86</v>
      </c>
      <c r="D73" s="287">
        <v>6455139.9199999999</v>
      </c>
      <c r="E73" s="471">
        <v>7244</v>
      </c>
      <c r="F73" s="301">
        <v>3561752.46</v>
      </c>
      <c r="G73" s="471">
        <v>1311</v>
      </c>
      <c r="H73" s="302">
        <v>20069.990000000002</v>
      </c>
      <c r="I73" s="471">
        <v>22</v>
      </c>
      <c r="J73" s="287">
        <v>7188554.1299999999</v>
      </c>
      <c r="K73" s="300">
        <v>-4595.6100000000042</v>
      </c>
      <c r="L73" s="471">
        <v>133</v>
      </c>
      <c r="M73" s="287">
        <v>121945.64</v>
      </c>
      <c r="N73" s="300">
        <v>234.21999999999997</v>
      </c>
      <c r="O73" s="471">
        <v>2080</v>
      </c>
      <c r="P73" s="301"/>
      <c r="Q73" s="300"/>
      <c r="R73" s="299"/>
      <c r="S73" s="484">
        <f t="shared" si="0"/>
        <v>8688</v>
      </c>
      <c r="T73" s="17">
        <v>8688</v>
      </c>
      <c r="U73" s="484">
        <f t="shared" si="1"/>
        <v>0</v>
      </c>
    </row>
    <row r="74" spans="2:21" x14ac:dyDescent="0.2">
      <c r="B74" s="111">
        <f>'1. LDC Info'!$F$27-4</f>
        <v>2015</v>
      </c>
      <c r="C74" s="26" t="s">
        <v>87</v>
      </c>
      <c r="D74" s="287">
        <v>5878380.96</v>
      </c>
      <c r="E74" s="471">
        <v>7268</v>
      </c>
      <c r="F74" s="301">
        <v>3399226.32</v>
      </c>
      <c r="G74" s="471">
        <v>1314.5</v>
      </c>
      <c r="H74" s="302">
        <v>19167.439999999999</v>
      </c>
      <c r="I74" s="471">
        <v>22</v>
      </c>
      <c r="J74" s="287">
        <v>6670994.4199999999</v>
      </c>
      <c r="K74" s="300">
        <v>33513.870000000003</v>
      </c>
      <c r="L74" s="471">
        <v>133</v>
      </c>
      <c r="M74" s="287">
        <v>101685.09</v>
      </c>
      <c r="N74" s="300">
        <v>243.78000000000003</v>
      </c>
      <c r="O74" s="471">
        <v>2080</v>
      </c>
      <c r="P74" s="301"/>
      <c r="Q74" s="300"/>
      <c r="R74" s="299"/>
      <c r="S74" s="484">
        <f t="shared" si="0"/>
        <v>8715.5</v>
      </c>
      <c r="T74" s="17">
        <v>8715.5</v>
      </c>
      <c r="U74" s="484">
        <f t="shared" si="1"/>
        <v>0</v>
      </c>
    </row>
    <row r="75" spans="2:21" x14ac:dyDescent="0.2">
      <c r="B75" s="111">
        <f>'1. LDC Info'!$F$27-4</f>
        <v>2015</v>
      </c>
      <c r="C75" s="26" t="s">
        <v>88</v>
      </c>
      <c r="D75" s="287">
        <v>5691167.1500000004</v>
      </c>
      <c r="E75" s="471">
        <v>7293.5</v>
      </c>
      <c r="F75" s="301">
        <v>3427000.83</v>
      </c>
      <c r="G75" s="471">
        <v>1313</v>
      </c>
      <c r="H75" s="302">
        <v>18747</v>
      </c>
      <c r="I75" s="471">
        <v>21.5</v>
      </c>
      <c r="J75" s="287">
        <v>6941445.5199999996</v>
      </c>
      <c r="K75" s="300">
        <v>19957.999999999996</v>
      </c>
      <c r="L75" s="471">
        <v>133</v>
      </c>
      <c r="M75" s="287">
        <v>100695.65</v>
      </c>
      <c r="N75" s="300">
        <v>333.6400000000001</v>
      </c>
      <c r="O75" s="471">
        <v>2080</v>
      </c>
      <c r="P75" s="301"/>
      <c r="Q75" s="300"/>
      <c r="R75" s="299"/>
      <c r="S75" s="484">
        <f t="shared" si="0"/>
        <v>8739.5</v>
      </c>
      <c r="T75" s="17">
        <v>8739.5</v>
      </c>
      <c r="U75" s="484">
        <f t="shared" si="1"/>
        <v>0</v>
      </c>
    </row>
    <row r="76" spans="2:21" x14ac:dyDescent="0.2">
      <c r="B76" s="111">
        <f>'1. LDC Info'!$F$27-4</f>
        <v>2015</v>
      </c>
      <c r="C76" s="26" t="s">
        <v>89</v>
      </c>
      <c r="D76" s="287">
        <v>4761388.2300000004</v>
      </c>
      <c r="E76" s="471">
        <v>7325</v>
      </c>
      <c r="F76" s="301">
        <v>2954153.91</v>
      </c>
      <c r="G76" s="471">
        <v>1311</v>
      </c>
      <c r="H76" s="302">
        <v>18378</v>
      </c>
      <c r="I76" s="471">
        <v>21</v>
      </c>
      <c r="J76" s="287">
        <v>6210160.3900000006</v>
      </c>
      <c r="K76" s="300">
        <v>13772.66</v>
      </c>
      <c r="L76" s="471">
        <v>133</v>
      </c>
      <c r="M76" s="287">
        <v>85427.16</v>
      </c>
      <c r="N76" s="300">
        <v>232.27999999999997</v>
      </c>
      <c r="O76" s="471">
        <v>2080</v>
      </c>
      <c r="P76" s="301"/>
      <c r="Q76" s="300"/>
      <c r="R76" s="299"/>
      <c r="S76" s="484">
        <f t="shared" si="0"/>
        <v>8769</v>
      </c>
      <c r="T76" s="17">
        <v>8769</v>
      </c>
      <c r="U76" s="484">
        <f t="shared" si="1"/>
        <v>0</v>
      </c>
    </row>
    <row r="77" spans="2:21" x14ac:dyDescent="0.2">
      <c r="B77" s="111">
        <f>'1. LDC Info'!$F$27-4</f>
        <v>2015</v>
      </c>
      <c r="C77" s="26" t="s">
        <v>90</v>
      </c>
      <c r="D77" s="287">
        <v>5011526.7699999996</v>
      </c>
      <c r="E77" s="471">
        <v>7354</v>
      </c>
      <c r="F77" s="301">
        <v>3119464.9</v>
      </c>
      <c r="G77" s="471">
        <v>1313.5</v>
      </c>
      <c r="H77" s="302">
        <v>18378</v>
      </c>
      <c r="I77" s="471">
        <v>21</v>
      </c>
      <c r="J77" s="287">
        <v>6624123.9100000001</v>
      </c>
      <c r="K77" s="300">
        <v>17863.199999999997</v>
      </c>
      <c r="L77" s="471">
        <v>133.5</v>
      </c>
      <c r="M77" s="287">
        <v>70674.13</v>
      </c>
      <c r="N77" s="300">
        <v>269.61</v>
      </c>
      <c r="O77" s="471">
        <v>2080</v>
      </c>
      <c r="P77" s="301"/>
      <c r="Q77" s="300"/>
      <c r="R77" s="299"/>
      <c r="S77" s="484">
        <f t="shared" si="0"/>
        <v>8801</v>
      </c>
      <c r="T77" s="17">
        <v>8801</v>
      </c>
      <c r="U77" s="484">
        <f t="shared" si="1"/>
        <v>0</v>
      </c>
    </row>
    <row r="78" spans="2:21" x14ac:dyDescent="0.2">
      <c r="B78" s="111">
        <f>'1. LDC Info'!$F$27-4</f>
        <v>2015</v>
      </c>
      <c r="C78" s="26" t="s">
        <v>91</v>
      </c>
      <c r="D78" s="287">
        <v>5615306.0800000001</v>
      </c>
      <c r="E78" s="471">
        <v>7375</v>
      </c>
      <c r="F78" s="301">
        <v>3339587.53</v>
      </c>
      <c r="G78" s="471">
        <v>1314.5</v>
      </c>
      <c r="H78" s="302">
        <v>18378</v>
      </c>
      <c r="I78" s="471">
        <v>20.5</v>
      </c>
      <c r="J78" s="287">
        <v>6697771.7400000002</v>
      </c>
      <c r="K78" s="300">
        <v>20078.599999999999</v>
      </c>
      <c r="L78" s="471">
        <v>134</v>
      </c>
      <c r="M78" s="287">
        <v>51379.199999999997</v>
      </c>
      <c r="N78" s="300">
        <v>270.18999999999994</v>
      </c>
      <c r="O78" s="471">
        <v>2080</v>
      </c>
      <c r="P78" s="301"/>
      <c r="Q78" s="300"/>
      <c r="R78" s="299"/>
      <c r="S78" s="484">
        <f t="shared" si="0"/>
        <v>8823.5</v>
      </c>
      <c r="T78" s="17">
        <v>8823.5</v>
      </c>
      <c r="U78" s="484">
        <f t="shared" si="1"/>
        <v>0</v>
      </c>
    </row>
    <row r="79" spans="2:21" x14ac:dyDescent="0.2">
      <c r="B79" s="111">
        <f>'1. LDC Info'!$F$27-4</f>
        <v>2015</v>
      </c>
      <c r="C79" s="26" t="s">
        <v>92</v>
      </c>
      <c r="D79" s="287">
        <v>7147308.1699999999</v>
      </c>
      <c r="E79" s="471">
        <v>7399.5</v>
      </c>
      <c r="F79" s="301">
        <v>4095753.66</v>
      </c>
      <c r="G79" s="471">
        <v>1321</v>
      </c>
      <c r="H79" s="302">
        <v>18378</v>
      </c>
      <c r="I79" s="471">
        <v>19.5</v>
      </c>
      <c r="J79" s="287">
        <v>7523780.5800000001</v>
      </c>
      <c r="K79" s="300">
        <v>16698.850000000002</v>
      </c>
      <c r="L79" s="471">
        <v>127.5</v>
      </c>
      <c r="M79" s="287">
        <v>55171.61</v>
      </c>
      <c r="N79" s="300">
        <v>141.23000000000002</v>
      </c>
      <c r="O79" s="471">
        <v>2080</v>
      </c>
      <c r="P79" s="301"/>
      <c r="Q79" s="300"/>
      <c r="R79" s="299"/>
      <c r="S79" s="484">
        <f t="shared" si="0"/>
        <v>8848</v>
      </c>
      <c r="T79" s="17">
        <v>8848</v>
      </c>
      <c r="U79" s="484">
        <f t="shared" si="1"/>
        <v>0</v>
      </c>
    </row>
    <row r="80" spans="2:21" x14ac:dyDescent="0.2">
      <c r="B80" s="111">
        <f>'1. LDC Info'!$F$27-4</f>
        <v>2015</v>
      </c>
      <c r="C80" s="26" t="s">
        <v>93</v>
      </c>
      <c r="D80" s="287">
        <v>7263501.4500000002</v>
      </c>
      <c r="E80" s="471">
        <v>7426.5</v>
      </c>
      <c r="F80" s="301">
        <v>4275684.3</v>
      </c>
      <c r="G80" s="471">
        <v>1328.5</v>
      </c>
      <c r="H80" s="302">
        <v>18378</v>
      </c>
      <c r="I80" s="471">
        <v>19</v>
      </c>
      <c r="J80" s="287">
        <v>7774847.7599999998</v>
      </c>
      <c r="K80" s="300">
        <v>21375.730000000003</v>
      </c>
      <c r="L80" s="471">
        <v>121.5</v>
      </c>
      <c r="M80" s="287">
        <v>61965.01</v>
      </c>
      <c r="N80" s="300">
        <v>172.14000000000001</v>
      </c>
      <c r="O80" s="471">
        <v>2080</v>
      </c>
      <c r="P80" s="301"/>
      <c r="Q80" s="300"/>
      <c r="R80" s="299"/>
      <c r="S80" s="484">
        <f t="shared" si="0"/>
        <v>8876.5</v>
      </c>
      <c r="T80" s="17">
        <v>8876.5</v>
      </c>
      <c r="U80" s="484">
        <f t="shared" si="1"/>
        <v>0</v>
      </c>
    </row>
    <row r="81" spans="2:21" x14ac:dyDescent="0.2">
      <c r="B81" s="111">
        <f>'1. LDC Info'!$F$27-4</f>
        <v>2015</v>
      </c>
      <c r="C81" s="26" t="s">
        <v>83</v>
      </c>
      <c r="D81" s="287">
        <v>6137261.2599999998</v>
      </c>
      <c r="E81" s="471">
        <v>7454</v>
      </c>
      <c r="F81" s="301">
        <v>3667948.46</v>
      </c>
      <c r="G81" s="471">
        <v>1329.5</v>
      </c>
      <c r="H81" s="302">
        <v>18378</v>
      </c>
      <c r="I81" s="471">
        <v>19</v>
      </c>
      <c r="J81" s="287">
        <v>7223226.2999999998</v>
      </c>
      <c r="K81" s="300">
        <v>20033.049999999992</v>
      </c>
      <c r="L81" s="471">
        <v>123</v>
      </c>
      <c r="M81" s="287">
        <v>68362.67</v>
      </c>
      <c r="N81" s="300">
        <v>210.68</v>
      </c>
      <c r="O81" s="471">
        <v>2080</v>
      </c>
      <c r="P81" s="301"/>
      <c r="Q81" s="300"/>
      <c r="R81" s="299"/>
      <c r="S81" s="484">
        <f t="shared" si="0"/>
        <v>8906.5</v>
      </c>
      <c r="T81" s="17">
        <v>8906.5</v>
      </c>
      <c r="U81" s="484">
        <f t="shared" si="1"/>
        <v>0</v>
      </c>
    </row>
    <row r="82" spans="2:21" x14ac:dyDescent="0.2">
      <c r="B82" s="111">
        <f>'1. LDC Info'!$F$27-4</f>
        <v>2015</v>
      </c>
      <c r="C82" s="26" t="s">
        <v>84</v>
      </c>
      <c r="D82" s="287">
        <v>4988845.8499999996</v>
      </c>
      <c r="E82" s="471">
        <v>7485.5</v>
      </c>
      <c r="F82" s="301">
        <v>3108858.21</v>
      </c>
      <c r="G82" s="471">
        <v>1332</v>
      </c>
      <c r="H82" s="302">
        <v>18378</v>
      </c>
      <c r="I82" s="471">
        <v>19</v>
      </c>
      <c r="J82" s="287">
        <v>6597351.71</v>
      </c>
      <c r="K82" s="300">
        <v>22740.719999999998</v>
      </c>
      <c r="L82" s="471">
        <v>122.5</v>
      </c>
      <c r="M82" s="287">
        <v>79674.009999999995</v>
      </c>
      <c r="N82" s="300">
        <v>210.88000000000002</v>
      </c>
      <c r="O82" s="471">
        <v>2080</v>
      </c>
      <c r="P82" s="301"/>
      <c r="Q82" s="300"/>
      <c r="R82" s="299"/>
      <c r="S82" s="484">
        <f t="shared" si="0"/>
        <v>8940</v>
      </c>
      <c r="T82" s="17">
        <v>8940</v>
      </c>
      <c r="U82" s="484">
        <f t="shared" si="1"/>
        <v>0</v>
      </c>
    </row>
    <row r="83" spans="2:21" x14ac:dyDescent="0.2">
      <c r="B83" s="111">
        <f>'1. LDC Info'!$F$27-4</f>
        <v>2015</v>
      </c>
      <c r="C83" s="26" t="s">
        <v>85</v>
      </c>
      <c r="D83" s="287">
        <v>4938972.0199999996</v>
      </c>
      <c r="E83" s="471">
        <v>7510</v>
      </c>
      <c r="F83" s="301">
        <v>3021347.66</v>
      </c>
      <c r="G83" s="471">
        <v>1334.5</v>
      </c>
      <c r="H83" s="302">
        <v>18405.73</v>
      </c>
      <c r="I83" s="471">
        <v>19</v>
      </c>
      <c r="J83" s="287">
        <v>6166721.6600000001</v>
      </c>
      <c r="K83" s="300">
        <v>12316.579999999998</v>
      </c>
      <c r="L83" s="471">
        <v>121</v>
      </c>
      <c r="M83" s="287">
        <v>85204.87</v>
      </c>
      <c r="N83" s="300">
        <v>184.92</v>
      </c>
      <c r="O83" s="471">
        <v>2080</v>
      </c>
      <c r="P83" s="301"/>
      <c r="Q83" s="300"/>
      <c r="R83" s="299"/>
      <c r="S83" s="484">
        <f t="shared" si="0"/>
        <v>8965.5</v>
      </c>
      <c r="T83" s="17">
        <v>8965.5</v>
      </c>
      <c r="U83" s="484">
        <f t="shared" si="1"/>
        <v>0</v>
      </c>
    </row>
    <row r="84" spans="2:21" x14ac:dyDescent="0.2">
      <c r="B84" s="111">
        <f>'1. LDC Info'!$F$27-4</f>
        <v>2015</v>
      </c>
      <c r="C84" s="26" t="s">
        <v>82</v>
      </c>
      <c r="D84" s="287">
        <v>5736180.4199999999</v>
      </c>
      <c r="E84" s="471">
        <v>7535.5</v>
      </c>
      <c r="F84" s="301">
        <v>3201509.63</v>
      </c>
      <c r="G84" s="471">
        <v>1335.5</v>
      </c>
      <c r="H84" s="302">
        <v>19865.04</v>
      </c>
      <c r="I84" s="471">
        <v>19</v>
      </c>
      <c r="J84" s="287">
        <v>6229533.21</v>
      </c>
      <c r="K84" s="300">
        <v>20192.89</v>
      </c>
      <c r="L84" s="471">
        <v>121</v>
      </c>
      <c r="M84" s="287">
        <v>92186.28</v>
      </c>
      <c r="N84" s="300">
        <v>239.42</v>
      </c>
      <c r="O84" s="471">
        <v>2089</v>
      </c>
      <c r="P84" s="301"/>
      <c r="Q84" s="300"/>
      <c r="R84" s="299"/>
      <c r="S84" s="484">
        <f t="shared" si="0"/>
        <v>8992</v>
      </c>
      <c r="T84" s="17">
        <v>8992</v>
      </c>
      <c r="U84" s="484">
        <f t="shared" si="1"/>
        <v>0</v>
      </c>
    </row>
    <row r="85" spans="2:21" x14ac:dyDescent="0.2">
      <c r="B85" s="111">
        <f>'1. LDC Info'!$F$27-3</f>
        <v>2016</v>
      </c>
      <c r="C85" s="26" t="s">
        <v>86</v>
      </c>
      <c r="D85" s="287">
        <v>6220643.3600000003</v>
      </c>
      <c r="E85" s="471">
        <v>7565.5</v>
      </c>
      <c r="F85" s="301">
        <v>3614481.04</v>
      </c>
      <c r="G85" s="471">
        <v>1333.5</v>
      </c>
      <c r="H85" s="302">
        <v>19684.810000000001</v>
      </c>
      <c r="I85" s="471">
        <v>19</v>
      </c>
      <c r="J85" s="287">
        <v>6753761.96</v>
      </c>
      <c r="K85" s="300">
        <v>10876.529999999999</v>
      </c>
      <c r="L85" s="471">
        <v>121</v>
      </c>
      <c r="M85" s="287">
        <v>89866.31</v>
      </c>
      <c r="N85" s="300">
        <v>152.92000000000002</v>
      </c>
      <c r="O85" s="471">
        <v>2098</v>
      </c>
      <c r="P85" s="301"/>
      <c r="Q85" s="300"/>
      <c r="R85" s="299"/>
      <c r="S85" s="484">
        <f t="shared" si="0"/>
        <v>9020</v>
      </c>
      <c r="T85" s="17">
        <v>9020</v>
      </c>
      <c r="U85" s="484">
        <f t="shared" si="1"/>
        <v>0</v>
      </c>
    </row>
    <row r="86" spans="2:21" x14ac:dyDescent="0.2">
      <c r="B86" s="111">
        <f>'1. LDC Info'!$F$27-3</f>
        <v>2016</v>
      </c>
      <c r="C86" s="26" t="s">
        <v>87</v>
      </c>
      <c r="D86" s="287">
        <v>5534016.0599999996</v>
      </c>
      <c r="E86" s="471">
        <v>7592</v>
      </c>
      <c r="F86" s="301">
        <v>3359106.96</v>
      </c>
      <c r="G86" s="471">
        <v>1330.5</v>
      </c>
      <c r="H86" s="302">
        <v>18514.419999999998</v>
      </c>
      <c r="I86" s="471">
        <v>19</v>
      </c>
      <c r="J86" s="287">
        <v>6342616.7999999998</v>
      </c>
      <c r="K86" s="300">
        <v>18126.339999999997</v>
      </c>
      <c r="L86" s="471">
        <v>121</v>
      </c>
      <c r="M86" s="287">
        <v>77514.009999999995</v>
      </c>
      <c r="N86" s="300">
        <v>198.9</v>
      </c>
      <c r="O86" s="471">
        <v>2098</v>
      </c>
      <c r="P86" s="301"/>
      <c r="Q86" s="300"/>
      <c r="R86" s="299"/>
      <c r="S86" s="484">
        <f t="shared" si="0"/>
        <v>9043.5</v>
      </c>
      <c r="T86" s="17">
        <v>9043.5</v>
      </c>
      <c r="U86" s="484">
        <f t="shared" si="1"/>
        <v>0</v>
      </c>
    </row>
    <row r="87" spans="2:21" x14ac:dyDescent="0.2">
      <c r="B87" s="111">
        <f>'1. LDC Info'!$F$27-3</f>
        <v>2016</v>
      </c>
      <c r="C87" s="26" t="s">
        <v>88</v>
      </c>
      <c r="D87" s="287">
        <v>5298064.8499999996</v>
      </c>
      <c r="E87" s="471">
        <v>7616</v>
      </c>
      <c r="F87" s="301">
        <v>3396219.23</v>
      </c>
      <c r="G87" s="471">
        <v>1329.5</v>
      </c>
      <c r="H87" s="302">
        <v>18378</v>
      </c>
      <c r="I87" s="471">
        <v>19</v>
      </c>
      <c r="J87" s="287">
        <v>6496717.6799999997</v>
      </c>
      <c r="K87" s="300">
        <v>18239.159999999996</v>
      </c>
      <c r="L87" s="471">
        <v>121</v>
      </c>
      <c r="M87" s="287">
        <v>74685.55</v>
      </c>
      <c r="N87" s="300">
        <v>225.69000000000003</v>
      </c>
      <c r="O87" s="471">
        <v>2112</v>
      </c>
      <c r="P87" s="301"/>
      <c r="Q87" s="300"/>
      <c r="R87" s="299"/>
      <c r="S87" s="484">
        <f t="shared" si="0"/>
        <v>9066.5</v>
      </c>
      <c r="T87" s="17">
        <v>9066.5</v>
      </c>
      <c r="U87" s="484">
        <f t="shared" si="1"/>
        <v>0</v>
      </c>
    </row>
    <row r="88" spans="2:21" x14ac:dyDescent="0.2">
      <c r="B88" s="111">
        <f>'1. LDC Info'!$F$27-3</f>
        <v>2016</v>
      </c>
      <c r="C88" s="26" t="s">
        <v>89</v>
      </c>
      <c r="D88" s="287">
        <v>4951857.42</v>
      </c>
      <c r="E88" s="471">
        <v>7632</v>
      </c>
      <c r="F88" s="301">
        <v>3226279.97</v>
      </c>
      <c r="G88" s="471">
        <v>1328.5</v>
      </c>
      <c r="H88" s="302">
        <v>18378</v>
      </c>
      <c r="I88" s="471">
        <v>19</v>
      </c>
      <c r="J88" s="287">
        <v>6126222.9399999995</v>
      </c>
      <c r="K88" s="300">
        <v>14370.189999999999</v>
      </c>
      <c r="L88" s="471">
        <v>121</v>
      </c>
      <c r="M88" s="287">
        <v>63360.98</v>
      </c>
      <c r="N88" s="300">
        <v>181.17</v>
      </c>
      <c r="O88" s="471">
        <v>2126</v>
      </c>
      <c r="P88" s="301"/>
      <c r="Q88" s="300"/>
      <c r="R88" s="299"/>
      <c r="S88" s="484">
        <f t="shared" si="0"/>
        <v>9081.5</v>
      </c>
      <c r="T88" s="17">
        <v>9081.5</v>
      </c>
      <c r="U88" s="484">
        <f t="shared" si="1"/>
        <v>0</v>
      </c>
    </row>
    <row r="89" spans="2:21" x14ac:dyDescent="0.2">
      <c r="B89" s="111">
        <f>'1. LDC Info'!$F$27-3</f>
        <v>2016</v>
      </c>
      <c r="C89" s="26" t="s">
        <v>90</v>
      </c>
      <c r="D89" s="287">
        <v>5322667.1900000004</v>
      </c>
      <c r="E89" s="471">
        <v>7637</v>
      </c>
      <c r="F89" s="301">
        <v>3368298.47</v>
      </c>
      <c r="G89" s="471">
        <v>1327.5</v>
      </c>
      <c r="H89" s="302">
        <v>18125</v>
      </c>
      <c r="I89" s="471">
        <v>19</v>
      </c>
      <c r="J89" s="287">
        <v>6523362.6199999992</v>
      </c>
      <c r="K89" s="300">
        <v>15138.01</v>
      </c>
      <c r="L89" s="471">
        <v>121</v>
      </c>
      <c r="M89" s="287">
        <v>57690.36</v>
      </c>
      <c r="N89" s="300">
        <v>213.33999999999997</v>
      </c>
      <c r="O89" s="471">
        <v>2126</v>
      </c>
      <c r="P89" s="301"/>
      <c r="Q89" s="300"/>
      <c r="R89" s="299"/>
      <c r="S89" s="484">
        <f t="shared" si="0"/>
        <v>9085.5</v>
      </c>
      <c r="T89" s="17">
        <v>9085.5</v>
      </c>
      <c r="U89" s="484">
        <f t="shared" si="1"/>
        <v>0</v>
      </c>
    </row>
    <row r="90" spans="2:21" x14ac:dyDescent="0.2">
      <c r="B90" s="111">
        <f>'1. LDC Info'!$F$27-3</f>
        <v>2016</v>
      </c>
      <c r="C90" s="26" t="s">
        <v>91</v>
      </c>
      <c r="D90" s="287">
        <v>6375093.2599999998</v>
      </c>
      <c r="E90" s="471">
        <v>7647</v>
      </c>
      <c r="F90" s="301">
        <v>4042293.12</v>
      </c>
      <c r="G90" s="471">
        <v>1326.5</v>
      </c>
      <c r="H90" s="302">
        <v>18125</v>
      </c>
      <c r="I90" s="471">
        <v>18.5</v>
      </c>
      <c r="J90" s="287">
        <v>7175255.1300000018</v>
      </c>
      <c r="K90" s="300">
        <v>18506.060000000001</v>
      </c>
      <c r="L90" s="471">
        <v>121</v>
      </c>
      <c r="M90" s="287">
        <v>53404.56</v>
      </c>
      <c r="N90" s="300">
        <v>187.05999999999997</v>
      </c>
      <c r="O90" s="471">
        <v>2126</v>
      </c>
      <c r="P90" s="301"/>
      <c r="Q90" s="300"/>
      <c r="R90" s="299"/>
      <c r="S90" s="484">
        <f t="shared" ref="S90:S108" si="2">+E90+G90+L90</f>
        <v>9094.5</v>
      </c>
      <c r="T90" s="17">
        <v>9094.5</v>
      </c>
      <c r="U90" s="484">
        <f t="shared" ref="U90:U108" si="3">+S90-T90</f>
        <v>0</v>
      </c>
    </row>
    <row r="91" spans="2:21" x14ac:dyDescent="0.2">
      <c r="B91" s="111">
        <f>'1. LDC Info'!$F$27-3</f>
        <v>2016</v>
      </c>
      <c r="C91" s="26" t="s">
        <v>92</v>
      </c>
      <c r="D91" s="287">
        <v>8681957.1199999992</v>
      </c>
      <c r="E91" s="471">
        <v>7661.5</v>
      </c>
      <c r="F91" s="301">
        <v>4312615.5</v>
      </c>
      <c r="G91" s="471">
        <v>1330</v>
      </c>
      <c r="H91" s="302">
        <v>18125</v>
      </c>
      <c r="I91" s="471">
        <v>18</v>
      </c>
      <c r="J91" s="287">
        <v>8198319.3699999992</v>
      </c>
      <c r="K91" s="300">
        <v>19975.889999999996</v>
      </c>
      <c r="L91" s="471">
        <v>121</v>
      </c>
      <c r="M91" s="287">
        <v>54370.82</v>
      </c>
      <c r="N91" s="300">
        <v>213.33999999999997</v>
      </c>
      <c r="O91" s="471">
        <v>2126</v>
      </c>
      <c r="P91" s="301"/>
      <c r="Q91" s="300"/>
      <c r="R91" s="299"/>
      <c r="S91" s="484">
        <f t="shared" si="2"/>
        <v>9112.5</v>
      </c>
      <c r="T91" s="17">
        <v>9112.5</v>
      </c>
      <c r="U91" s="484">
        <f t="shared" si="3"/>
        <v>0</v>
      </c>
    </row>
    <row r="92" spans="2:21" x14ac:dyDescent="0.2">
      <c r="B92" s="111">
        <f>'1. LDC Info'!$F$27-3</f>
        <v>2016</v>
      </c>
      <c r="C92" s="26" t="s">
        <v>93</v>
      </c>
      <c r="D92" s="287">
        <v>9164895.7100000009</v>
      </c>
      <c r="E92" s="471">
        <v>7676.5</v>
      </c>
      <c r="F92" s="301">
        <v>4829306.8499999996</v>
      </c>
      <c r="G92" s="471">
        <v>1335</v>
      </c>
      <c r="H92" s="302">
        <v>18125</v>
      </c>
      <c r="I92" s="471">
        <v>17</v>
      </c>
      <c r="J92" s="287">
        <v>8698046.0800000001</v>
      </c>
      <c r="K92" s="300">
        <v>21844.55000000001</v>
      </c>
      <c r="L92" s="471">
        <v>121</v>
      </c>
      <c r="M92" s="287">
        <v>62677.17</v>
      </c>
      <c r="N92" s="300">
        <v>193.50999999999996</v>
      </c>
      <c r="O92" s="471">
        <v>2126</v>
      </c>
      <c r="P92" s="301"/>
      <c r="Q92" s="300"/>
      <c r="R92" s="299"/>
      <c r="S92" s="484">
        <f t="shared" si="2"/>
        <v>9132.5</v>
      </c>
      <c r="T92" s="17">
        <v>9132.5</v>
      </c>
      <c r="U92" s="484">
        <f t="shared" si="3"/>
        <v>0</v>
      </c>
    </row>
    <row r="93" spans="2:21" x14ac:dyDescent="0.2">
      <c r="B93" s="111">
        <f>'1. LDC Info'!$F$27-3</f>
        <v>2016</v>
      </c>
      <c r="C93" s="26" t="s">
        <v>83</v>
      </c>
      <c r="D93" s="287">
        <v>6361569.4000000004</v>
      </c>
      <c r="E93" s="471">
        <v>7692.5</v>
      </c>
      <c r="F93" s="301">
        <v>3756228.82</v>
      </c>
      <c r="G93" s="471">
        <v>1337</v>
      </c>
      <c r="H93" s="302">
        <v>18125</v>
      </c>
      <c r="I93" s="471">
        <v>16</v>
      </c>
      <c r="J93" s="287">
        <v>7385630.54</v>
      </c>
      <c r="K93" s="300">
        <v>20437.060000000005</v>
      </c>
      <c r="L93" s="471">
        <v>121</v>
      </c>
      <c r="M93" s="287">
        <v>69148.350000000006</v>
      </c>
      <c r="N93" s="300">
        <v>193.75</v>
      </c>
      <c r="O93" s="471">
        <v>2126</v>
      </c>
      <c r="P93" s="301"/>
      <c r="Q93" s="300"/>
      <c r="R93" s="299"/>
      <c r="S93" s="484">
        <f t="shared" si="2"/>
        <v>9150.5</v>
      </c>
      <c r="T93" s="17">
        <v>9150.5</v>
      </c>
      <c r="U93" s="484">
        <f t="shared" si="3"/>
        <v>0</v>
      </c>
    </row>
    <row r="94" spans="2:21" x14ac:dyDescent="0.2">
      <c r="B94" s="111">
        <f>'1. LDC Info'!$F$27-3</f>
        <v>2016</v>
      </c>
      <c r="C94" s="26" t="s">
        <v>84</v>
      </c>
      <c r="D94" s="287">
        <v>5037008.43</v>
      </c>
      <c r="E94" s="471">
        <v>7713</v>
      </c>
      <c r="F94" s="301">
        <v>3171988.62</v>
      </c>
      <c r="G94" s="471">
        <v>1339.5</v>
      </c>
      <c r="H94" s="302">
        <v>18125</v>
      </c>
      <c r="I94" s="471">
        <v>16</v>
      </c>
      <c r="J94" s="287">
        <v>6624741.3599999994</v>
      </c>
      <c r="K94" s="300">
        <v>23018.720000000001</v>
      </c>
      <c r="L94" s="471">
        <v>121.5</v>
      </c>
      <c r="M94" s="287">
        <v>80589.69</v>
      </c>
      <c r="N94" s="300">
        <v>213.33999999999997</v>
      </c>
      <c r="O94" s="471">
        <v>2126</v>
      </c>
      <c r="P94" s="301"/>
      <c r="Q94" s="300"/>
      <c r="R94" s="299"/>
      <c r="S94" s="484">
        <f t="shared" si="2"/>
        <v>9174</v>
      </c>
      <c r="T94" s="17">
        <v>9174</v>
      </c>
      <c r="U94" s="484">
        <f t="shared" si="3"/>
        <v>0</v>
      </c>
    </row>
    <row r="95" spans="2:21" x14ac:dyDescent="0.2">
      <c r="B95" s="111">
        <f>'1. LDC Info'!$F$27-3</f>
        <v>2016</v>
      </c>
      <c r="C95" s="26" t="s">
        <v>85</v>
      </c>
      <c r="D95" s="287">
        <v>4912952.9400000004</v>
      </c>
      <c r="E95" s="471">
        <v>7737</v>
      </c>
      <c r="F95" s="301">
        <v>2994380.61</v>
      </c>
      <c r="G95" s="471">
        <v>1339.5</v>
      </c>
      <c r="H95" s="302">
        <v>18837.97</v>
      </c>
      <c r="I95" s="471">
        <v>16</v>
      </c>
      <c r="J95" s="287">
        <v>6345448.4299999997</v>
      </c>
      <c r="K95" s="300">
        <v>14404.260000000002</v>
      </c>
      <c r="L95" s="471">
        <v>122</v>
      </c>
      <c r="M95" s="287">
        <v>85810.01</v>
      </c>
      <c r="N95" s="300">
        <v>187.05999999999997</v>
      </c>
      <c r="O95" s="471">
        <v>2126</v>
      </c>
      <c r="P95" s="301"/>
      <c r="Q95" s="300"/>
      <c r="R95" s="299"/>
      <c r="S95" s="484">
        <f t="shared" si="2"/>
        <v>9198.5</v>
      </c>
      <c r="T95" s="17">
        <v>9198.5</v>
      </c>
      <c r="U95" s="484">
        <f t="shared" si="3"/>
        <v>0</v>
      </c>
    </row>
    <row r="96" spans="2:21" x14ac:dyDescent="0.2">
      <c r="B96" s="111">
        <f>'1. LDC Info'!$F$27-3</f>
        <v>2016</v>
      </c>
      <c r="C96" s="26" t="s">
        <v>82</v>
      </c>
      <c r="D96" s="287">
        <v>6328935.7199999997</v>
      </c>
      <c r="E96" s="471">
        <v>7759.5</v>
      </c>
      <c r="F96" s="301">
        <v>3439641.76</v>
      </c>
      <c r="G96" s="471">
        <v>1335.5</v>
      </c>
      <c r="H96" s="302">
        <v>21531.97</v>
      </c>
      <c r="I96" s="471">
        <v>16</v>
      </c>
      <c r="J96" s="287">
        <v>7011500.6799999997</v>
      </c>
      <c r="K96" s="300">
        <v>16218.590000000004</v>
      </c>
      <c r="L96" s="471">
        <v>125.5</v>
      </c>
      <c r="M96" s="287">
        <v>92781.53</v>
      </c>
      <c r="N96" s="300">
        <v>213.33999999999997</v>
      </c>
      <c r="O96" s="471">
        <v>2126</v>
      </c>
      <c r="P96" s="301"/>
      <c r="Q96" s="300"/>
      <c r="R96" s="299"/>
      <c r="S96" s="484">
        <f t="shared" si="2"/>
        <v>9220.5</v>
      </c>
      <c r="T96" s="17">
        <v>9220.5</v>
      </c>
      <c r="U96" s="484">
        <f t="shared" si="3"/>
        <v>0</v>
      </c>
    </row>
    <row r="97" spans="2:21" x14ac:dyDescent="0.2">
      <c r="B97" s="111">
        <f>'1. LDC Info'!$F$27-2</f>
        <v>2017</v>
      </c>
      <c r="C97" s="26" t="s">
        <v>86</v>
      </c>
      <c r="D97" s="287">
        <v>6057911.9400000004</v>
      </c>
      <c r="E97" s="471">
        <v>7778.5</v>
      </c>
      <c r="F97" s="301">
        <v>3485347.6</v>
      </c>
      <c r="G97" s="471">
        <v>1332.5</v>
      </c>
      <c r="H97" s="302">
        <v>21821.35</v>
      </c>
      <c r="I97" s="471">
        <v>16.5</v>
      </c>
      <c r="J97" s="287">
        <v>7102729.0100000007</v>
      </c>
      <c r="K97" s="300">
        <v>12511.61</v>
      </c>
      <c r="L97" s="471">
        <v>129</v>
      </c>
      <c r="M97" s="287">
        <v>90446.57</v>
      </c>
      <c r="N97" s="300">
        <v>193.50999999999996</v>
      </c>
      <c r="O97" s="471">
        <v>2126</v>
      </c>
      <c r="P97" s="301"/>
      <c r="Q97" s="300"/>
      <c r="R97" s="299"/>
      <c r="S97" s="484">
        <f t="shared" si="2"/>
        <v>9240</v>
      </c>
      <c r="T97" s="17">
        <v>9240</v>
      </c>
      <c r="U97" s="484">
        <f t="shared" si="3"/>
        <v>0</v>
      </c>
    </row>
    <row r="98" spans="2:21" x14ac:dyDescent="0.2">
      <c r="B98" s="111">
        <f>'1. LDC Info'!$F$27-2</f>
        <v>2017</v>
      </c>
      <c r="C98" s="26" t="s">
        <v>87</v>
      </c>
      <c r="D98" s="287">
        <v>5129391.2</v>
      </c>
      <c r="E98" s="471">
        <v>7791.5</v>
      </c>
      <c r="F98" s="301">
        <v>3057243.67</v>
      </c>
      <c r="G98" s="471">
        <v>1331.5</v>
      </c>
      <c r="H98" s="302">
        <v>19186.560000000001</v>
      </c>
      <c r="I98" s="471">
        <v>17.5</v>
      </c>
      <c r="J98" s="287">
        <v>6305250.5500000007</v>
      </c>
      <c r="K98" s="300">
        <v>13499.75</v>
      </c>
      <c r="L98" s="471">
        <v>129</v>
      </c>
      <c r="M98" s="287">
        <v>75419.42</v>
      </c>
      <c r="N98" s="300">
        <v>180.83000000000004</v>
      </c>
      <c r="O98" s="471">
        <v>2126</v>
      </c>
      <c r="P98" s="301"/>
      <c r="Q98" s="300"/>
      <c r="R98" s="299"/>
      <c r="S98" s="484">
        <f t="shared" si="2"/>
        <v>9252</v>
      </c>
      <c r="T98" s="17">
        <v>9252</v>
      </c>
      <c r="U98" s="484">
        <f t="shared" si="3"/>
        <v>0</v>
      </c>
    </row>
    <row r="99" spans="2:21" x14ac:dyDescent="0.2">
      <c r="B99" s="111">
        <f>'1. LDC Info'!$F$27-2</f>
        <v>2017</v>
      </c>
      <c r="C99" s="26" t="s">
        <v>88</v>
      </c>
      <c r="D99" s="287">
        <v>5566750.0199999996</v>
      </c>
      <c r="E99" s="471">
        <v>7804.5</v>
      </c>
      <c r="F99" s="301">
        <v>3382916.8</v>
      </c>
      <c r="G99" s="471">
        <v>1330.5</v>
      </c>
      <c r="H99" s="302">
        <v>19395.75</v>
      </c>
      <c r="I99" s="471">
        <v>18.5</v>
      </c>
      <c r="J99" s="287">
        <v>6966551.1899999995</v>
      </c>
      <c r="K99" s="300">
        <v>19462.93</v>
      </c>
      <c r="L99" s="471">
        <v>129</v>
      </c>
      <c r="M99" s="287">
        <v>74685.55</v>
      </c>
      <c r="N99" s="300">
        <v>241.00999999999996</v>
      </c>
      <c r="O99" s="471">
        <v>2126</v>
      </c>
      <c r="P99" s="301"/>
      <c r="Q99" s="300"/>
      <c r="R99" s="299"/>
      <c r="S99" s="484">
        <f t="shared" si="2"/>
        <v>9264</v>
      </c>
      <c r="T99" s="17">
        <v>9264</v>
      </c>
      <c r="U99" s="484">
        <f t="shared" si="3"/>
        <v>0</v>
      </c>
    </row>
    <row r="100" spans="2:21" x14ac:dyDescent="0.2">
      <c r="B100" s="111">
        <f>'1. LDC Info'!$F$27-2</f>
        <v>2017</v>
      </c>
      <c r="C100" s="26" t="s">
        <v>89</v>
      </c>
      <c r="D100" s="287">
        <v>4840449.58</v>
      </c>
      <c r="E100" s="471">
        <v>7817.5</v>
      </c>
      <c r="F100" s="301">
        <v>2980919.48</v>
      </c>
      <c r="G100" s="471">
        <v>1331.5</v>
      </c>
      <c r="H100" s="302">
        <v>18887.28</v>
      </c>
      <c r="I100" s="471">
        <v>19</v>
      </c>
      <c r="J100" s="287">
        <v>6270899.0500000007</v>
      </c>
      <c r="K100" s="300">
        <v>14779.2</v>
      </c>
      <c r="L100" s="471">
        <v>129</v>
      </c>
      <c r="M100" s="287">
        <v>63360.98</v>
      </c>
      <c r="N100" s="300">
        <v>172.31</v>
      </c>
      <c r="O100" s="471">
        <v>2126</v>
      </c>
      <c r="P100" s="301"/>
      <c r="Q100" s="300"/>
      <c r="R100" s="299"/>
      <c r="S100" s="484">
        <f t="shared" si="2"/>
        <v>9278</v>
      </c>
      <c r="T100" s="17">
        <v>9278</v>
      </c>
      <c r="U100" s="484">
        <f t="shared" si="3"/>
        <v>0</v>
      </c>
    </row>
    <row r="101" spans="2:21" x14ac:dyDescent="0.2">
      <c r="B101" s="111">
        <f>'1. LDC Info'!$F$27-2</f>
        <v>2017</v>
      </c>
      <c r="C101" s="26" t="s">
        <v>90</v>
      </c>
      <c r="D101" s="287">
        <v>5114383.5999999996</v>
      </c>
      <c r="E101" s="471">
        <v>7828.5</v>
      </c>
      <c r="F101" s="301">
        <v>3094630.61</v>
      </c>
      <c r="G101" s="471">
        <v>1331.5</v>
      </c>
      <c r="H101" s="302">
        <v>18922.75</v>
      </c>
      <c r="I101" s="471">
        <v>18.5</v>
      </c>
      <c r="J101" s="287">
        <v>6529991.8900000006</v>
      </c>
      <c r="K101" s="300">
        <v>19005.009999999995</v>
      </c>
      <c r="L101" s="471">
        <v>129</v>
      </c>
      <c r="M101" s="287">
        <v>57690.36</v>
      </c>
      <c r="N101" s="300">
        <v>213.33999999999997</v>
      </c>
      <c r="O101" s="471">
        <v>2126</v>
      </c>
      <c r="P101" s="301"/>
      <c r="Q101" s="300"/>
      <c r="R101" s="299"/>
      <c r="S101" s="484">
        <f t="shared" si="2"/>
        <v>9289</v>
      </c>
      <c r="T101" s="17">
        <v>9289</v>
      </c>
      <c r="U101" s="484">
        <f t="shared" si="3"/>
        <v>0</v>
      </c>
    </row>
    <row r="102" spans="2:21" x14ac:dyDescent="0.2">
      <c r="B102" s="111">
        <f>'1. LDC Info'!$F$27-2</f>
        <v>2017</v>
      </c>
      <c r="C102" s="26" t="s">
        <v>91</v>
      </c>
      <c r="D102" s="287">
        <v>6229800.46</v>
      </c>
      <c r="E102" s="471">
        <v>7837</v>
      </c>
      <c r="F102" s="301">
        <v>3397577.94</v>
      </c>
      <c r="G102" s="471">
        <v>1329</v>
      </c>
      <c r="H102" s="302">
        <v>18887.28</v>
      </c>
      <c r="I102" s="471">
        <v>18</v>
      </c>
      <c r="J102" s="287">
        <v>6916518.8100000005</v>
      </c>
      <c r="K102" s="300">
        <v>17170.050000000003</v>
      </c>
      <c r="L102" s="471">
        <v>129.5</v>
      </c>
      <c r="M102" s="287">
        <v>51969.69</v>
      </c>
      <c r="N102" s="300">
        <v>187.05999999999997</v>
      </c>
      <c r="O102" s="471">
        <v>2126</v>
      </c>
      <c r="P102" s="301"/>
      <c r="Q102" s="300"/>
      <c r="R102" s="299"/>
      <c r="S102" s="484">
        <f t="shared" si="2"/>
        <v>9295.5</v>
      </c>
      <c r="T102" s="17">
        <v>9295.5</v>
      </c>
      <c r="U102" s="484">
        <f t="shared" si="3"/>
        <v>0</v>
      </c>
    </row>
    <row r="103" spans="2:21" x14ac:dyDescent="0.2">
      <c r="B103" s="111">
        <f>'1. LDC Info'!$F$27-2</f>
        <v>2017</v>
      </c>
      <c r="C103" s="26" t="s">
        <v>92</v>
      </c>
      <c r="D103" s="287">
        <v>7664295.3399999999</v>
      </c>
      <c r="E103" s="471">
        <v>7842.5</v>
      </c>
      <c r="F103" s="301">
        <v>3972458.5</v>
      </c>
      <c r="G103" s="471">
        <v>1329</v>
      </c>
      <c r="H103" s="302">
        <v>18922.75</v>
      </c>
      <c r="I103" s="471">
        <v>18</v>
      </c>
      <c r="J103" s="287">
        <v>7798186.1699999999</v>
      </c>
      <c r="K103" s="300">
        <v>20267.259999999998</v>
      </c>
      <c r="L103" s="471">
        <v>130</v>
      </c>
      <c r="M103" s="287">
        <v>55805.69</v>
      </c>
      <c r="N103" s="300">
        <v>213.33999999999997</v>
      </c>
      <c r="O103" s="471">
        <v>2126</v>
      </c>
      <c r="P103" s="301"/>
      <c r="Q103" s="300"/>
      <c r="R103" s="299"/>
      <c r="S103" s="484">
        <f t="shared" si="2"/>
        <v>9301.5</v>
      </c>
      <c r="T103" s="17">
        <v>9301.5</v>
      </c>
      <c r="U103" s="484">
        <f t="shared" si="3"/>
        <v>0</v>
      </c>
    </row>
    <row r="104" spans="2:21" x14ac:dyDescent="0.2">
      <c r="B104" s="111">
        <f>'1. LDC Info'!$F$27-2</f>
        <v>2017</v>
      </c>
      <c r="C104" s="26" t="s">
        <v>93</v>
      </c>
      <c r="D104" s="287">
        <v>7144314.9500000002</v>
      </c>
      <c r="E104" s="471">
        <v>7853.5</v>
      </c>
      <c r="F104" s="301">
        <v>4054192.51</v>
      </c>
      <c r="G104" s="471">
        <v>1332</v>
      </c>
      <c r="H104" s="302">
        <v>19859.91</v>
      </c>
      <c r="I104" s="471">
        <v>21.5</v>
      </c>
      <c r="J104" s="287">
        <v>8050916.1500000004</v>
      </c>
      <c r="K104" s="300">
        <v>20371.68</v>
      </c>
      <c r="L104" s="471">
        <v>129</v>
      </c>
      <c r="M104" s="287">
        <v>62677.17</v>
      </c>
      <c r="N104" s="300">
        <v>193.50999999999996</v>
      </c>
      <c r="O104" s="471">
        <v>2126</v>
      </c>
      <c r="P104" s="301"/>
      <c r="Q104" s="300"/>
      <c r="R104" s="299"/>
      <c r="S104" s="484">
        <f t="shared" si="2"/>
        <v>9314.5</v>
      </c>
      <c r="T104" s="17">
        <v>9314.5</v>
      </c>
      <c r="U104" s="484">
        <f t="shared" si="3"/>
        <v>0</v>
      </c>
    </row>
    <row r="105" spans="2:21" x14ac:dyDescent="0.2">
      <c r="B105" s="111">
        <f>'1. LDC Info'!$F$27-2</f>
        <v>2017</v>
      </c>
      <c r="C105" s="26" t="s">
        <v>83</v>
      </c>
      <c r="D105" s="287">
        <v>6121010.79</v>
      </c>
      <c r="E105" s="471">
        <v>7863</v>
      </c>
      <c r="F105" s="301">
        <v>3443538.68</v>
      </c>
      <c r="G105" s="471">
        <v>1334.5</v>
      </c>
      <c r="H105" s="302">
        <v>22411.61</v>
      </c>
      <c r="I105" s="471">
        <v>25</v>
      </c>
      <c r="J105" s="287">
        <v>7373228.3600000003</v>
      </c>
      <c r="K105" s="300">
        <v>19498.139999999996</v>
      </c>
      <c r="L105" s="471">
        <v>128</v>
      </c>
      <c r="M105" s="287">
        <v>69148.350000000006</v>
      </c>
      <c r="N105" s="300">
        <v>193.75</v>
      </c>
      <c r="O105" s="471">
        <v>2126</v>
      </c>
      <c r="P105" s="301"/>
      <c r="Q105" s="300"/>
      <c r="R105" s="299"/>
      <c r="S105" s="484">
        <f t="shared" si="2"/>
        <v>9325.5</v>
      </c>
      <c r="T105" s="17">
        <v>9325.5</v>
      </c>
      <c r="U105" s="484">
        <f t="shared" si="3"/>
        <v>0</v>
      </c>
    </row>
    <row r="106" spans="2:21" x14ac:dyDescent="0.2">
      <c r="B106" s="111">
        <f>'1. LDC Info'!$F$27-2</f>
        <v>2017</v>
      </c>
      <c r="C106" s="26" t="s">
        <v>84</v>
      </c>
      <c r="D106" s="287">
        <v>5131776.0199999996</v>
      </c>
      <c r="E106" s="471">
        <v>7865</v>
      </c>
      <c r="F106" s="301">
        <v>3085519.28</v>
      </c>
      <c r="G106" s="471">
        <v>1333</v>
      </c>
      <c r="H106" s="302">
        <v>22879.8</v>
      </c>
      <c r="I106" s="471">
        <v>26.5</v>
      </c>
      <c r="J106" s="287">
        <v>6879125.7800000003</v>
      </c>
      <c r="K106" s="300">
        <v>23346.499999999996</v>
      </c>
      <c r="L106" s="471">
        <v>128</v>
      </c>
      <c r="M106" s="287">
        <v>80163.64</v>
      </c>
      <c r="N106" s="300">
        <v>213.33999999999997</v>
      </c>
      <c r="O106" s="471">
        <v>2121</v>
      </c>
      <c r="P106" s="301"/>
      <c r="Q106" s="300"/>
      <c r="R106" s="299"/>
      <c r="S106" s="484">
        <f t="shared" si="2"/>
        <v>9326</v>
      </c>
      <c r="T106" s="17">
        <v>9326</v>
      </c>
      <c r="U106" s="484">
        <f t="shared" si="3"/>
        <v>0</v>
      </c>
    </row>
    <row r="107" spans="2:21" x14ac:dyDescent="0.2">
      <c r="B107" s="111">
        <f>'1. LDC Info'!$F$27-2</f>
        <v>2017</v>
      </c>
      <c r="C107" s="26" t="s">
        <v>85</v>
      </c>
      <c r="D107" s="287">
        <v>5354782.5999999996</v>
      </c>
      <c r="E107" s="471">
        <v>7878</v>
      </c>
      <c r="F107" s="301">
        <v>3177537.15</v>
      </c>
      <c r="G107" s="471">
        <v>1331</v>
      </c>
      <c r="H107" s="302">
        <v>23903.83</v>
      </c>
      <c r="I107" s="471">
        <v>28</v>
      </c>
      <c r="J107" s="287">
        <v>6669539.7699999996</v>
      </c>
      <c r="K107" s="300">
        <v>15166.850000000002</v>
      </c>
      <c r="L107" s="471">
        <v>129.5</v>
      </c>
      <c r="M107" s="287">
        <v>85274.07</v>
      </c>
      <c r="N107" s="300">
        <v>187.87000000000003</v>
      </c>
      <c r="O107" s="471">
        <v>2116</v>
      </c>
      <c r="P107" s="301"/>
      <c r="Q107" s="300"/>
      <c r="R107" s="299"/>
      <c r="S107" s="484">
        <f t="shared" si="2"/>
        <v>9338.5</v>
      </c>
      <c r="T107" s="17">
        <v>9338.5</v>
      </c>
      <c r="U107" s="484">
        <f t="shared" si="3"/>
        <v>0</v>
      </c>
    </row>
    <row r="108" spans="2:21" x14ac:dyDescent="0.2">
      <c r="B108" s="111">
        <f>'1. LDC Info'!$F$27-2</f>
        <v>2017</v>
      </c>
      <c r="C108" s="26" t="s">
        <v>82</v>
      </c>
      <c r="D108" s="287">
        <v>6662432.0499999998</v>
      </c>
      <c r="E108" s="471">
        <v>7901</v>
      </c>
      <c r="F108" s="301">
        <v>3601181.93</v>
      </c>
      <c r="G108" s="471">
        <v>1334</v>
      </c>
      <c r="H108" s="302">
        <v>25680.5</v>
      </c>
      <c r="I108" s="471">
        <v>28</v>
      </c>
      <c r="J108" s="287">
        <v>7236360.2800000012</v>
      </c>
      <c r="K108" s="300">
        <v>16454.989999999998</v>
      </c>
      <c r="L108" s="471">
        <v>128.5</v>
      </c>
      <c r="M108" s="287">
        <v>92202.06</v>
      </c>
      <c r="N108" s="300">
        <v>209.93</v>
      </c>
      <c r="O108" s="471">
        <v>2116</v>
      </c>
      <c r="P108" s="301"/>
      <c r="Q108" s="300"/>
      <c r="R108" s="299"/>
      <c r="S108" s="484">
        <f t="shared" si="2"/>
        <v>9363.5</v>
      </c>
      <c r="T108" s="17">
        <v>9363.5</v>
      </c>
      <c r="U108" s="484">
        <f t="shared" si="3"/>
        <v>0</v>
      </c>
    </row>
    <row r="109" spans="2:21" x14ac:dyDescent="0.2">
      <c r="B109" s="111">
        <f>'1. LDC Info'!$F$27-1</f>
        <v>2018</v>
      </c>
      <c r="C109" s="26" t="s">
        <v>86</v>
      </c>
      <c r="D109" s="2"/>
      <c r="E109" s="140"/>
      <c r="F109" s="2"/>
      <c r="G109" s="140"/>
      <c r="H109" s="141"/>
      <c r="I109" s="140"/>
      <c r="J109" s="27"/>
      <c r="K109" s="29"/>
      <c r="L109" s="140"/>
      <c r="M109" s="27"/>
      <c r="N109" s="29"/>
      <c r="O109" s="140"/>
      <c r="P109" s="2"/>
      <c r="Q109" s="15"/>
      <c r="R109" s="140"/>
    </row>
    <row r="110" spans="2:21" x14ac:dyDescent="0.2">
      <c r="B110" s="111">
        <f>'1. LDC Info'!$F$27-1</f>
        <v>2018</v>
      </c>
      <c r="C110" s="26" t="s">
        <v>87</v>
      </c>
      <c r="D110" s="2"/>
      <c r="E110" s="140"/>
      <c r="F110" s="2"/>
      <c r="G110" s="140"/>
      <c r="H110" s="141"/>
      <c r="I110" s="140"/>
      <c r="J110" s="27"/>
      <c r="K110" s="29"/>
      <c r="L110" s="140"/>
      <c r="M110" s="27"/>
      <c r="N110" s="29"/>
      <c r="O110" s="140"/>
      <c r="P110" s="2"/>
      <c r="Q110" s="15"/>
      <c r="R110" s="140"/>
    </row>
    <row r="111" spans="2:21" x14ac:dyDescent="0.2">
      <c r="B111" s="111">
        <f>'1. LDC Info'!$F$27-1</f>
        <v>2018</v>
      </c>
      <c r="C111" s="26" t="s">
        <v>88</v>
      </c>
      <c r="D111" s="2"/>
      <c r="E111" s="140"/>
      <c r="F111" s="2"/>
      <c r="G111" s="140"/>
      <c r="H111" s="141"/>
      <c r="I111" s="140"/>
      <c r="J111" s="27"/>
      <c r="K111" s="29"/>
      <c r="L111" s="140"/>
      <c r="M111" s="27"/>
      <c r="N111" s="29"/>
      <c r="O111" s="140"/>
      <c r="P111" s="2"/>
      <c r="Q111" s="15"/>
      <c r="R111" s="140"/>
    </row>
    <row r="112" spans="2:21" x14ac:dyDescent="0.2">
      <c r="B112" s="111">
        <f>'1. LDC Info'!$F$27-1</f>
        <v>2018</v>
      </c>
      <c r="C112" s="26" t="s">
        <v>89</v>
      </c>
      <c r="D112" s="2"/>
      <c r="E112" s="140"/>
      <c r="F112" s="2"/>
      <c r="G112" s="140"/>
      <c r="H112" s="141"/>
      <c r="I112" s="140"/>
      <c r="J112" s="27"/>
      <c r="K112" s="29"/>
      <c r="L112" s="140"/>
      <c r="M112" s="27"/>
      <c r="N112" s="29"/>
      <c r="O112" s="140"/>
      <c r="P112" s="2"/>
      <c r="Q112" s="15"/>
      <c r="R112" s="140"/>
    </row>
    <row r="113" spans="2:18" x14ac:dyDescent="0.2">
      <c r="B113" s="111">
        <f>'1. LDC Info'!$F$27-1</f>
        <v>2018</v>
      </c>
      <c r="C113" s="26" t="s">
        <v>90</v>
      </c>
      <c r="D113" s="2"/>
      <c r="E113" s="140"/>
      <c r="F113" s="2"/>
      <c r="G113" s="140"/>
      <c r="H113" s="141"/>
      <c r="I113" s="140"/>
      <c r="J113" s="27"/>
      <c r="K113" s="29"/>
      <c r="L113" s="140"/>
      <c r="M113" s="27"/>
      <c r="N113" s="29"/>
      <c r="O113" s="140"/>
      <c r="P113" s="2"/>
      <c r="Q113" s="15"/>
      <c r="R113" s="140"/>
    </row>
    <row r="114" spans="2:18" x14ac:dyDescent="0.2">
      <c r="B114" s="111">
        <f>'1. LDC Info'!$F$27-1</f>
        <v>2018</v>
      </c>
      <c r="C114" s="26" t="s">
        <v>91</v>
      </c>
      <c r="D114" s="2"/>
      <c r="E114" s="140"/>
      <c r="F114" s="2"/>
      <c r="G114" s="140"/>
      <c r="H114" s="141"/>
      <c r="I114" s="140"/>
      <c r="J114" s="27"/>
      <c r="K114" s="29"/>
      <c r="L114" s="140"/>
      <c r="M114" s="2"/>
      <c r="N114" s="15"/>
      <c r="O114" s="140"/>
      <c r="P114" s="2"/>
      <c r="Q114" s="15"/>
      <c r="R114" s="140"/>
    </row>
    <row r="115" spans="2:18" x14ac:dyDescent="0.2">
      <c r="B115" s="111">
        <f>'1. LDC Info'!$F$27-1</f>
        <v>2018</v>
      </c>
      <c r="C115" s="26" t="s">
        <v>92</v>
      </c>
      <c r="D115" s="2"/>
      <c r="E115" s="140"/>
      <c r="F115" s="2"/>
      <c r="G115" s="140"/>
      <c r="H115" s="141"/>
      <c r="I115" s="140"/>
      <c r="J115" s="27"/>
      <c r="K115" s="29"/>
      <c r="L115" s="140"/>
      <c r="M115" s="2"/>
      <c r="N115" s="15"/>
      <c r="O115" s="140"/>
      <c r="P115" s="2"/>
      <c r="Q115" s="15"/>
      <c r="R115" s="140"/>
    </row>
    <row r="116" spans="2:18" x14ac:dyDescent="0.2">
      <c r="B116" s="111">
        <f>'1. LDC Info'!$F$27-1</f>
        <v>2018</v>
      </c>
      <c r="C116" s="26" t="s">
        <v>93</v>
      </c>
      <c r="D116" s="2"/>
      <c r="E116" s="140"/>
      <c r="F116" s="2"/>
      <c r="G116" s="140"/>
      <c r="H116" s="141"/>
      <c r="I116" s="140"/>
      <c r="J116" s="27"/>
      <c r="K116" s="29"/>
      <c r="L116" s="140"/>
      <c r="M116" s="2"/>
      <c r="N116" s="15"/>
      <c r="O116" s="140"/>
      <c r="P116" s="2"/>
      <c r="Q116" s="15"/>
      <c r="R116" s="140"/>
    </row>
    <row r="117" spans="2:18" x14ac:dyDescent="0.2">
      <c r="B117" s="111">
        <f>'1. LDC Info'!$F$27-1</f>
        <v>2018</v>
      </c>
      <c r="C117" s="26" t="s">
        <v>83</v>
      </c>
      <c r="D117" s="2"/>
      <c r="E117" s="140"/>
      <c r="F117" s="2"/>
      <c r="G117" s="140"/>
      <c r="H117" s="141"/>
      <c r="I117" s="140"/>
      <c r="J117" s="27"/>
      <c r="K117" s="29"/>
      <c r="L117" s="140"/>
      <c r="M117" s="2"/>
      <c r="N117" s="15"/>
      <c r="O117" s="140"/>
      <c r="P117" s="2"/>
      <c r="Q117" s="15"/>
      <c r="R117" s="140"/>
    </row>
    <row r="118" spans="2:18" x14ac:dyDescent="0.2">
      <c r="B118" s="111">
        <f>'1. LDC Info'!$F$27-1</f>
        <v>2018</v>
      </c>
      <c r="C118" s="26" t="s">
        <v>84</v>
      </c>
      <c r="D118" s="2"/>
      <c r="E118" s="140"/>
      <c r="F118" s="30"/>
      <c r="G118" s="140"/>
      <c r="H118" s="141"/>
      <c r="I118" s="140"/>
      <c r="J118" s="27"/>
      <c r="K118" s="29"/>
      <c r="L118" s="140"/>
      <c r="M118" s="2"/>
      <c r="N118" s="15"/>
      <c r="O118" s="140"/>
      <c r="P118" s="2"/>
      <c r="Q118" s="15"/>
      <c r="R118" s="140"/>
    </row>
    <row r="119" spans="2:18" x14ac:dyDescent="0.2">
      <c r="B119" s="111">
        <f>'1. LDC Info'!$F$27-1</f>
        <v>2018</v>
      </c>
      <c r="C119" s="26" t="s">
        <v>85</v>
      </c>
      <c r="D119" s="2"/>
      <c r="E119" s="140"/>
      <c r="F119" s="2"/>
      <c r="G119" s="140"/>
      <c r="H119" s="141"/>
      <c r="I119" s="140"/>
      <c r="J119" s="27"/>
      <c r="K119" s="29"/>
      <c r="L119" s="140"/>
      <c r="M119" s="2"/>
      <c r="N119" s="15"/>
      <c r="O119" s="140"/>
      <c r="P119" s="2"/>
      <c r="Q119" s="15"/>
      <c r="R119" s="140"/>
    </row>
    <row r="120" spans="2:18" x14ac:dyDescent="0.2">
      <c r="B120" s="111">
        <f>'1. LDC Info'!$F$27-1</f>
        <v>2018</v>
      </c>
      <c r="C120" s="26" t="s">
        <v>82</v>
      </c>
      <c r="D120" s="287"/>
      <c r="E120" s="299"/>
      <c r="F120" s="287"/>
      <c r="G120" s="299"/>
      <c r="H120" s="301"/>
      <c r="I120" s="299"/>
      <c r="J120" s="287"/>
      <c r="K120" s="300"/>
      <c r="L120" s="299"/>
      <c r="M120" s="301"/>
      <c r="N120" s="300"/>
      <c r="O120" s="299"/>
      <c r="P120" s="301"/>
      <c r="Q120" s="300"/>
      <c r="R120" s="299"/>
    </row>
    <row r="121" spans="2:18" x14ac:dyDescent="0.2">
      <c r="B121" s="111" t="str">
        <f>'1. LDC Info'!$F$27</f>
        <v>2019</v>
      </c>
      <c r="C121" s="26" t="s">
        <v>86</v>
      </c>
      <c r="D121" s="27"/>
      <c r="E121" s="140"/>
      <c r="F121" s="27"/>
      <c r="G121" s="140"/>
      <c r="H121" s="141"/>
      <c r="I121" s="140"/>
      <c r="J121" s="27"/>
      <c r="K121" s="29"/>
      <c r="L121" s="140"/>
      <c r="M121" s="2"/>
      <c r="N121" s="15"/>
      <c r="O121" s="140"/>
      <c r="P121" s="27"/>
      <c r="Q121" s="15"/>
      <c r="R121" s="140"/>
    </row>
    <row r="122" spans="2:18" x14ac:dyDescent="0.2">
      <c r="B122" s="111" t="str">
        <f>'1. LDC Info'!$F$27</f>
        <v>2019</v>
      </c>
      <c r="C122" s="26" t="s">
        <v>87</v>
      </c>
      <c r="D122" s="27"/>
      <c r="E122" s="28"/>
      <c r="F122" s="27"/>
      <c r="G122" s="28"/>
      <c r="H122" s="141"/>
      <c r="I122" s="140"/>
      <c r="J122" s="27"/>
      <c r="K122" s="29"/>
      <c r="L122" s="28"/>
      <c r="M122" s="2"/>
      <c r="N122" s="15"/>
      <c r="O122" s="28"/>
      <c r="P122" s="27"/>
      <c r="Q122" s="15"/>
      <c r="R122" s="28"/>
    </row>
    <row r="123" spans="2:18" x14ac:dyDescent="0.2">
      <c r="B123" s="111" t="str">
        <f>'1. LDC Info'!$F$27</f>
        <v>2019</v>
      </c>
      <c r="C123" s="26" t="s">
        <v>88</v>
      </c>
      <c r="D123" s="31"/>
      <c r="E123" s="28"/>
      <c r="F123" s="31"/>
      <c r="G123" s="28"/>
      <c r="H123" s="141"/>
      <c r="I123" s="140"/>
      <c r="J123" s="27"/>
      <c r="K123" s="29"/>
      <c r="L123" s="28"/>
      <c r="M123" s="2"/>
      <c r="N123" s="15"/>
      <c r="O123" s="28"/>
      <c r="P123" s="31"/>
      <c r="Q123" s="15"/>
      <c r="R123" s="28"/>
    </row>
    <row r="124" spans="2:18" x14ac:dyDescent="0.2">
      <c r="B124" s="111" t="str">
        <f>'1. LDC Info'!$F$27</f>
        <v>2019</v>
      </c>
      <c r="C124" s="26" t="s">
        <v>89</v>
      </c>
      <c r="D124" s="27"/>
      <c r="E124" s="28"/>
      <c r="F124" s="27"/>
      <c r="G124" s="28"/>
      <c r="H124" s="141"/>
      <c r="I124" s="140"/>
      <c r="J124" s="27"/>
      <c r="K124" s="29"/>
      <c r="L124" s="28"/>
      <c r="M124" s="2"/>
      <c r="N124" s="15"/>
      <c r="O124" s="28"/>
      <c r="P124" s="27"/>
      <c r="Q124" s="15"/>
      <c r="R124" s="28"/>
    </row>
    <row r="125" spans="2:18" x14ac:dyDescent="0.2">
      <c r="B125" s="111" t="str">
        <f>'1. LDC Info'!$F$27</f>
        <v>2019</v>
      </c>
      <c r="C125" s="26" t="s">
        <v>90</v>
      </c>
      <c r="D125" s="27"/>
      <c r="E125" s="28"/>
      <c r="F125" s="27"/>
      <c r="G125" s="28"/>
      <c r="H125" s="141"/>
      <c r="I125" s="140"/>
      <c r="J125" s="27"/>
      <c r="K125" s="29"/>
      <c r="L125" s="28"/>
      <c r="M125" s="2"/>
      <c r="N125" s="15"/>
      <c r="O125" s="28"/>
      <c r="P125" s="27"/>
      <c r="Q125" s="15"/>
      <c r="R125" s="28"/>
    </row>
    <row r="126" spans="2:18" x14ac:dyDescent="0.2">
      <c r="B126" s="111" t="str">
        <f>'1. LDC Info'!$F$27</f>
        <v>2019</v>
      </c>
      <c r="C126" s="26" t="s">
        <v>91</v>
      </c>
      <c r="D126" s="27"/>
      <c r="E126" s="28"/>
      <c r="F126" s="27"/>
      <c r="G126" s="28"/>
      <c r="H126" s="141"/>
      <c r="I126" s="140"/>
      <c r="J126" s="27"/>
      <c r="K126" s="29"/>
      <c r="L126" s="28"/>
      <c r="M126" s="2"/>
      <c r="N126" s="15"/>
      <c r="O126" s="28"/>
      <c r="P126" s="27"/>
      <c r="Q126" s="15"/>
      <c r="R126" s="28"/>
    </row>
    <row r="127" spans="2:18" x14ac:dyDescent="0.2">
      <c r="B127" s="111" t="str">
        <f>'1. LDC Info'!$F$27</f>
        <v>2019</v>
      </c>
      <c r="C127" s="26" t="s">
        <v>92</v>
      </c>
      <c r="D127" s="27"/>
      <c r="E127" s="28"/>
      <c r="F127" s="27"/>
      <c r="G127" s="28"/>
      <c r="H127" s="141"/>
      <c r="I127" s="140"/>
      <c r="J127" s="27"/>
      <c r="K127" s="29"/>
      <c r="L127" s="28"/>
      <c r="M127" s="2"/>
      <c r="N127" s="15"/>
      <c r="O127" s="28"/>
      <c r="P127" s="27"/>
      <c r="Q127" s="15"/>
      <c r="R127" s="28"/>
    </row>
    <row r="128" spans="2:18" x14ac:dyDescent="0.2">
      <c r="B128" s="111" t="str">
        <f>'1. LDC Info'!$F$27</f>
        <v>2019</v>
      </c>
      <c r="C128" s="26" t="s">
        <v>93</v>
      </c>
      <c r="D128" s="27"/>
      <c r="E128" s="28"/>
      <c r="F128" s="27"/>
      <c r="G128" s="28"/>
      <c r="H128" s="141"/>
      <c r="I128" s="140"/>
      <c r="J128" s="27"/>
      <c r="K128" s="29"/>
      <c r="L128" s="28"/>
      <c r="M128" s="2"/>
      <c r="N128" s="15"/>
      <c r="O128" s="28"/>
      <c r="P128" s="27"/>
      <c r="Q128" s="15"/>
      <c r="R128" s="28"/>
    </row>
    <row r="129" spans="2:18" x14ac:dyDescent="0.2">
      <c r="B129" s="111" t="str">
        <f>'1. LDC Info'!$F$27</f>
        <v>2019</v>
      </c>
      <c r="C129" s="26" t="s">
        <v>83</v>
      </c>
      <c r="D129" s="32"/>
      <c r="E129" s="28"/>
      <c r="F129" s="32"/>
      <c r="G129" s="28"/>
      <c r="H129" s="141"/>
      <c r="I129" s="140"/>
      <c r="J129" s="27"/>
      <c r="K129" s="29"/>
      <c r="L129" s="28"/>
      <c r="M129" s="2"/>
      <c r="N129" s="15"/>
      <c r="O129" s="28"/>
      <c r="P129" s="32"/>
      <c r="Q129" s="15"/>
      <c r="R129" s="28"/>
    </row>
    <row r="130" spans="2:18" x14ac:dyDescent="0.2">
      <c r="B130" s="111" t="str">
        <f>'1. LDC Info'!$F$27</f>
        <v>2019</v>
      </c>
      <c r="C130" s="26" t="s">
        <v>84</v>
      </c>
      <c r="D130" s="27"/>
      <c r="E130" s="28"/>
      <c r="F130" s="27"/>
      <c r="G130" s="28"/>
      <c r="H130" s="141"/>
      <c r="I130" s="140"/>
      <c r="J130" s="27"/>
      <c r="K130" s="29"/>
      <c r="L130" s="28"/>
      <c r="M130" s="2"/>
      <c r="N130" s="15"/>
      <c r="O130" s="28"/>
      <c r="P130" s="27"/>
      <c r="Q130" s="15"/>
      <c r="R130" s="28"/>
    </row>
    <row r="131" spans="2:18" x14ac:dyDescent="0.2">
      <c r="B131" s="111" t="str">
        <f>'1. LDC Info'!$F$27</f>
        <v>2019</v>
      </c>
      <c r="C131" s="26" t="s">
        <v>85</v>
      </c>
      <c r="D131" s="27"/>
      <c r="E131" s="28"/>
      <c r="F131" s="27"/>
      <c r="G131" s="28"/>
      <c r="H131" s="141"/>
      <c r="I131" s="140"/>
      <c r="J131" s="27"/>
      <c r="K131" s="29"/>
      <c r="L131" s="28"/>
      <c r="M131" s="2"/>
      <c r="N131" s="15"/>
      <c r="O131" s="28"/>
      <c r="P131" s="27"/>
      <c r="Q131" s="15"/>
      <c r="R131" s="28"/>
    </row>
    <row r="132" spans="2:18" ht="13.5" thickBot="1" x14ac:dyDescent="0.25">
      <c r="B132" s="111" t="str">
        <f>'1. LDC Info'!$F$27</f>
        <v>2019</v>
      </c>
      <c r="C132" s="26" t="s">
        <v>82</v>
      </c>
      <c r="D132" s="33"/>
      <c r="E132" s="34"/>
      <c r="F132" s="33"/>
      <c r="G132" s="34"/>
      <c r="H132" s="36"/>
      <c r="I132" s="34"/>
      <c r="J132" s="33"/>
      <c r="K132" s="35"/>
      <c r="L132" s="34"/>
      <c r="M132" s="91"/>
      <c r="N132" s="16"/>
      <c r="O132" s="34"/>
      <c r="P132" s="33"/>
      <c r="Q132" s="16"/>
      <c r="R132" s="34"/>
    </row>
    <row r="133" spans="2:18" x14ac:dyDescent="0.2">
      <c r="M133" s="37"/>
      <c r="N133" s="37"/>
      <c r="P133" s="37"/>
      <c r="Q133" s="37"/>
    </row>
    <row r="134" spans="2:18" x14ac:dyDescent="0.2">
      <c r="B134" s="111">
        <v>2011</v>
      </c>
      <c r="C134" s="26" t="s">
        <v>16</v>
      </c>
      <c r="D134" s="534">
        <f>SUM(D25:D36)</f>
        <v>66976829.959999993</v>
      </c>
      <c r="E134" s="246">
        <f>IF(ISERROR(AVERAGE(E25:E36)),0,AVERAGE(E25:E36))</f>
        <v>6594.125</v>
      </c>
      <c r="F134" s="534">
        <f>SUM(F25:F36)</f>
        <v>34321035.060000002</v>
      </c>
      <c r="G134" s="246">
        <f>IF(ISERROR(AVERAGE(G25:G36)),0,AVERAGE(G25:G36))</f>
        <v>1234.6666666666667</v>
      </c>
      <c r="H134" s="534">
        <f>SUM(H25:H36)</f>
        <v>225362.2</v>
      </c>
      <c r="I134" s="246">
        <f>IF(ISERROR(AVERAGE(I25:I36)),0,AVERAGE(I25:I36))</f>
        <v>22.083333333333332</v>
      </c>
      <c r="J134" s="534">
        <f>SUM(J25:J36)</f>
        <v>78632456.620000005</v>
      </c>
      <c r="K134" s="245">
        <f>SUM(K25:K36)</f>
        <v>199917.50000000003</v>
      </c>
      <c r="L134" s="246">
        <f>IF(ISERROR(AVERAGE(L25:L36)),0,AVERAGE(L25:L36))</f>
        <v>120.04166666666667</v>
      </c>
      <c r="M134" s="534">
        <f>SUM(M25:M36)</f>
        <v>1153887.57</v>
      </c>
      <c r="N134" s="245">
        <f>SUM(N25:N36)</f>
        <v>3221.89</v>
      </c>
      <c r="O134" s="246">
        <f>IF(ISERROR(AVERAGE(O25:O36)),0,AVERAGE(O25:O36))</f>
        <v>1946</v>
      </c>
      <c r="P134" s="534">
        <f>SUM(P25:P36)</f>
        <v>0</v>
      </c>
      <c r="Q134" s="245">
        <f>SUM(Q25:Q36)</f>
        <v>0</v>
      </c>
      <c r="R134" s="246">
        <f>IF(ISERROR(AVERAGE(R25:R36)),0,AVERAGE(R25:R36))</f>
        <v>0</v>
      </c>
    </row>
    <row r="135" spans="2:18" x14ac:dyDescent="0.2">
      <c r="B135" s="111">
        <v>2012</v>
      </c>
      <c r="C135" s="26" t="s">
        <v>16</v>
      </c>
      <c r="D135" s="534">
        <f>SUM(D37:D48)</f>
        <v>67086975.060000002</v>
      </c>
      <c r="E135" s="246">
        <f>IF(ISERROR(AVERAGE(E37:E48)),0,AVERAGE(E37:E48))</f>
        <v>6716.25</v>
      </c>
      <c r="F135" s="534">
        <f>SUM(F37:F48)</f>
        <v>35374878.009999998</v>
      </c>
      <c r="G135" s="246">
        <f>IF(ISERROR(AVERAGE(G37:G48)),0,AVERAGE(G37:G48))</f>
        <v>1268.9583333333333</v>
      </c>
      <c r="H135" s="534">
        <f>SUM(H37:H48)</f>
        <v>226393.8</v>
      </c>
      <c r="I135" s="246">
        <f>IF(ISERROR(AVERAGE(I37:I48)),0,AVERAGE(I37:I48))</f>
        <v>22</v>
      </c>
      <c r="J135" s="534">
        <f>SUM(J37:J48)</f>
        <v>77993647.680000007</v>
      </c>
      <c r="K135" s="245">
        <f>SUM(K37:K48)</f>
        <v>202737.81</v>
      </c>
      <c r="L135" s="246">
        <f>IF(ISERROR(AVERAGE(L37:L48)),0,AVERAGE(L37:L48))</f>
        <v>117.70833333333333</v>
      </c>
      <c r="M135" s="534">
        <f>SUM(M37:M48)</f>
        <v>1163464.3800000001</v>
      </c>
      <c r="N135" s="245">
        <f>SUM(N37:N48)</f>
        <v>3238.8</v>
      </c>
      <c r="O135" s="246">
        <f>IF(ISERROR(AVERAGE(O37:O48)),0,AVERAGE(O37:O48))</f>
        <v>1946.75</v>
      </c>
      <c r="P135" s="534">
        <f>SUM(P37:P48)</f>
        <v>0</v>
      </c>
      <c r="Q135" s="245">
        <f>SUM(Q37:Q48)</f>
        <v>0</v>
      </c>
      <c r="R135" s="246">
        <f>IF(ISERROR(AVERAGE(R37:R48)),0,AVERAGE(R37:R48))</f>
        <v>0</v>
      </c>
    </row>
    <row r="136" spans="2:18" x14ac:dyDescent="0.2">
      <c r="B136" s="111">
        <v>2013</v>
      </c>
      <c r="C136" s="26" t="s">
        <v>16</v>
      </c>
      <c r="D136" s="534">
        <f>SUM(D49:D60)</f>
        <v>68126808.569999993</v>
      </c>
      <c r="E136" s="246">
        <f>IF(ISERROR(AVERAGE(E49:E60)),0,AVERAGE(E49:E60))</f>
        <v>6912.458333333333</v>
      </c>
      <c r="F136" s="534">
        <f>SUM(F49:F60)</f>
        <v>35291130.910000004</v>
      </c>
      <c r="G136" s="246">
        <f>IF(ISERROR(AVERAGE(G49:G60)),0,AVERAGE(G49:G60))</f>
        <v>1221.0416666666667</v>
      </c>
      <c r="H136" s="534">
        <f>SUM(H49:H60)</f>
        <v>234467.23</v>
      </c>
      <c r="I136" s="246">
        <f>IF(ISERROR(AVERAGE(I49:I60)),0,AVERAGE(I49:I60))</f>
        <v>21.375</v>
      </c>
      <c r="J136" s="534">
        <f>SUM(J49:J60)</f>
        <v>77896093.379999995</v>
      </c>
      <c r="K136" s="245">
        <f>SUM(K49:K60)</f>
        <v>204592.81999999998</v>
      </c>
      <c r="L136" s="246">
        <f>IF(ISERROR(AVERAGE(L49:L60)),0,AVERAGE(L49:L60))</f>
        <v>117.875</v>
      </c>
      <c r="M136" s="534">
        <f>SUM(M49:M60)</f>
        <v>1160023.9100000001</v>
      </c>
      <c r="N136" s="245">
        <f>SUM(N49:N60)</f>
        <v>3256.79</v>
      </c>
      <c r="O136" s="246">
        <f>IF(ISERROR(AVERAGE(O49:O60)),0,AVERAGE(O49:O60))</f>
        <v>1948.75</v>
      </c>
      <c r="P136" s="534">
        <f>SUM(P49:P60)</f>
        <v>0</v>
      </c>
      <c r="Q136" s="245">
        <f>SUM(Q49:Q60)</f>
        <v>0</v>
      </c>
      <c r="R136" s="246">
        <f>IF(ISERROR(AVERAGE(R49:R60)),0,AVERAGE(R49:R60))</f>
        <v>0</v>
      </c>
    </row>
    <row r="137" spans="2:18" x14ac:dyDescent="0.2">
      <c r="B137" s="111">
        <v>2014</v>
      </c>
      <c r="C137" s="26" t="s">
        <v>16</v>
      </c>
      <c r="D137" s="534">
        <f>SUM(D61:D72)</f>
        <v>68599527.920000017</v>
      </c>
      <c r="E137" s="246">
        <f>IF(ISERROR(AVERAGE(E61:E72)),0,AVERAGE(E61:E72))</f>
        <v>7110.208333333333</v>
      </c>
      <c r="F137" s="534">
        <f>SUM(F61:F72)</f>
        <v>39288460.370000005</v>
      </c>
      <c r="G137" s="246">
        <f>IF(ISERROR(AVERAGE(G61:G72)),0,AVERAGE(G61:G72))</f>
        <v>1311.8333333333333</v>
      </c>
      <c r="H137" s="534">
        <f>SUM(H61:H72)</f>
        <v>230816.74</v>
      </c>
      <c r="I137" s="246">
        <f>IF(ISERROR(AVERAGE(I61:I72)),0,AVERAGE(I61:I72))</f>
        <v>21.625</v>
      </c>
      <c r="J137" s="534">
        <f>SUM(J61:J72)</f>
        <v>80076898.530000001</v>
      </c>
      <c r="K137" s="245">
        <f>SUM(K61:K72)</f>
        <v>208042.52000000002</v>
      </c>
      <c r="L137" s="246">
        <f>IF(ISERROR(AVERAGE(L61:L72)),0,AVERAGE(L61:L72))</f>
        <v>129.375</v>
      </c>
      <c r="M137" s="534">
        <f>SUM(M61:M72)</f>
        <v>1160025.06</v>
      </c>
      <c r="N137" s="245">
        <f>SUM(N61:N72)</f>
        <v>3238.8</v>
      </c>
      <c r="O137" s="246">
        <f>IF(ISERROR(AVERAGE(O61:O72)),0,AVERAGE(O61:O72))</f>
        <v>2051.3333333333335</v>
      </c>
      <c r="P137" s="534">
        <f>SUM(P61:P72)</f>
        <v>0</v>
      </c>
      <c r="Q137" s="245">
        <f>SUM(Q61:Q72)</f>
        <v>0</v>
      </c>
      <c r="R137" s="246">
        <f>IF(ISERROR(AVERAGE(R61:R72)),0,AVERAGE(R61:R72))</f>
        <v>0</v>
      </c>
    </row>
    <row r="138" spans="2:18" x14ac:dyDescent="0.2">
      <c r="B138" s="111">
        <v>2015</v>
      </c>
      <c r="C138" s="26" t="s">
        <v>16</v>
      </c>
      <c r="D138" s="534">
        <f>SUM(D73:D84)</f>
        <v>69624978.280000001</v>
      </c>
      <c r="E138" s="246">
        <f>IF(ISERROR(AVERAGE(E73:E84)),0,AVERAGE(E73:E84))</f>
        <v>7389.208333333333</v>
      </c>
      <c r="F138" s="534">
        <f>SUM(F73:F84)</f>
        <v>41172287.869999997</v>
      </c>
      <c r="G138" s="246">
        <f>IF(ISERROR(AVERAGE(G73:G84)),0,AVERAGE(G73:G84))</f>
        <v>1321.5416666666667</v>
      </c>
      <c r="H138" s="534">
        <f>SUM(H73:H84)</f>
        <v>224901.2</v>
      </c>
      <c r="I138" s="246">
        <f>IF(ISERROR(AVERAGE(I73:I84)),0,AVERAGE(I73:I84))</f>
        <v>20.208333333333332</v>
      </c>
      <c r="J138" s="534">
        <f>SUM(J73:J84)</f>
        <v>81848511.329999983</v>
      </c>
      <c r="K138" s="245">
        <f>SUM(K73:K84)</f>
        <v>213948.53999999998</v>
      </c>
      <c r="L138" s="246">
        <f>IF(ISERROR(AVERAGE(L73:L84)),0,AVERAGE(L73:L84))</f>
        <v>128</v>
      </c>
      <c r="M138" s="534">
        <f>SUM(M73:M84)</f>
        <v>974371.32000000007</v>
      </c>
      <c r="N138" s="245">
        <f>SUM(N73:N84)</f>
        <v>2742.9900000000007</v>
      </c>
      <c r="O138" s="246">
        <f>IF(ISERROR(AVERAGE(O73:O84)),0,AVERAGE(O73:O84))</f>
        <v>2080.75</v>
      </c>
      <c r="P138" s="534">
        <f>SUM(P73:P84)</f>
        <v>0</v>
      </c>
      <c r="Q138" s="245">
        <f>SUM(Q73:Q84)</f>
        <v>0</v>
      </c>
      <c r="R138" s="246">
        <f>IF(ISERROR(AVERAGE(R73:R84)),0,AVERAGE(R73:R84))</f>
        <v>0</v>
      </c>
    </row>
    <row r="139" spans="2:18" x14ac:dyDescent="0.2">
      <c r="B139" s="111">
        <v>2016</v>
      </c>
      <c r="C139" s="26" t="s">
        <v>16</v>
      </c>
      <c r="D139" s="534">
        <f>SUM(D85:D96)</f>
        <v>74189661.459999993</v>
      </c>
      <c r="E139" s="246">
        <f>IF(ISERROR(AVERAGE(E85:E96)),0,AVERAGE(E85:E96))</f>
        <v>7660.791666666667</v>
      </c>
      <c r="F139" s="534">
        <f>SUM(F85:F96)</f>
        <v>43510840.949999996</v>
      </c>
      <c r="G139" s="246">
        <f>IF(ISERROR(AVERAGE(G85:G96)),0,AVERAGE(G85:G96))</f>
        <v>1332.7083333333333</v>
      </c>
      <c r="H139" s="534">
        <f>SUM(H85:H96)</f>
        <v>224075.16999999998</v>
      </c>
      <c r="I139" s="246">
        <f>IF(ISERROR(AVERAGE(I85:I96)),0,AVERAGE(I85:I96))</f>
        <v>17.708333333333332</v>
      </c>
      <c r="J139" s="534">
        <f>SUM(J85:J96)</f>
        <v>83681623.590000004</v>
      </c>
      <c r="K139" s="245">
        <f>SUM(K85:K96)</f>
        <v>211155.36</v>
      </c>
      <c r="L139" s="246">
        <f>IF(ISERROR(AVERAGE(L85:L96)),0,AVERAGE(L85:L96))</f>
        <v>121.5</v>
      </c>
      <c r="M139" s="534">
        <f>SUM(M85:M96)</f>
        <v>861899.34000000008</v>
      </c>
      <c r="N139" s="245">
        <f>SUM(N85:N96)</f>
        <v>2373.42</v>
      </c>
      <c r="O139" s="246">
        <f>IF(ISERROR(AVERAGE(O85:O96)),0,AVERAGE(O85:O96))</f>
        <v>2120.1666666666665</v>
      </c>
      <c r="P139" s="534">
        <f>SUM(P85:P96)</f>
        <v>0</v>
      </c>
      <c r="Q139" s="245">
        <f>SUM(Q85:Q96)</f>
        <v>0</v>
      </c>
      <c r="R139" s="246">
        <f>IF(ISERROR(AVERAGE(R85:R96)),0,AVERAGE(R85:R96))</f>
        <v>0</v>
      </c>
    </row>
    <row r="140" spans="2:18" x14ac:dyDescent="0.2">
      <c r="B140" s="111">
        <v>2017</v>
      </c>
      <c r="C140" s="26" t="s">
        <v>16</v>
      </c>
      <c r="D140" s="534">
        <f>SUM(D97:D108)</f>
        <v>71017298.550000012</v>
      </c>
      <c r="E140" s="246">
        <f>IF(ISERROR(AVERAGE(E97:E108)),0,AVERAGE(E97:E108))</f>
        <v>7838.375</v>
      </c>
      <c r="F140" s="534">
        <f>SUM(F97:F108)</f>
        <v>40733064.149999999</v>
      </c>
      <c r="G140" s="246">
        <f>IF(ISERROR(AVERAGE(G97:G108)),0,AVERAGE(G97:G108))</f>
        <v>1331.6666666666667</v>
      </c>
      <c r="H140" s="534">
        <f>SUM(H97:H108)</f>
        <v>250759.37</v>
      </c>
      <c r="I140" s="246">
        <f>IF(ISERROR(AVERAGE(I97:I108)),0,AVERAGE(I97:I108))</f>
        <v>21.25</v>
      </c>
      <c r="J140" s="534">
        <f>SUM(J97:J108)</f>
        <v>84099297.00999999</v>
      </c>
      <c r="K140" s="245">
        <f>SUM(K97:K108)</f>
        <v>211533.96999999997</v>
      </c>
      <c r="L140" s="246">
        <f>IF(ISERROR(AVERAGE(L97:L108)),0,AVERAGE(L97:L108))</f>
        <v>128.95833333333334</v>
      </c>
      <c r="M140" s="534">
        <f>SUM(M97:M108)</f>
        <v>858843.55</v>
      </c>
      <c r="N140" s="245">
        <f>SUM(N97:N108)</f>
        <v>2399.7999999999997</v>
      </c>
      <c r="O140" s="246">
        <f>IF(ISERROR(AVERAGE(O97:O108)),0,AVERAGE(O97:O108))</f>
        <v>2123.9166666666665</v>
      </c>
      <c r="P140" s="534">
        <f>SUM(P97:P108)</f>
        <v>0</v>
      </c>
      <c r="Q140" s="245">
        <f>SUM(Q97:Q108)</f>
        <v>0</v>
      </c>
      <c r="R140" s="246">
        <f>IF(ISERROR(AVERAGE(R97:R108)),0,AVERAGE(R97:R108))</f>
        <v>0</v>
      </c>
    </row>
    <row r="141" spans="2:18" x14ac:dyDescent="0.2">
      <c r="B141" s="111" t="s">
        <v>239</v>
      </c>
      <c r="C141" s="26" t="s">
        <v>16</v>
      </c>
      <c r="D141" s="534">
        <f>SUM(D109:D120)</f>
        <v>0</v>
      </c>
      <c r="E141" s="246">
        <f>IF(ISERROR(AVERAGE(E109:E120)),0,AVERAGE(E109:E120))</f>
        <v>0</v>
      </c>
      <c r="F141" s="534">
        <f>SUM(F109:F120)</f>
        <v>0</v>
      </c>
      <c r="G141" s="246">
        <f>IF(ISERROR(AVERAGE(G109:G120)),0,AVERAGE(G109:G120))</f>
        <v>0</v>
      </c>
      <c r="H141" s="534">
        <f>SUM(H109:H120)</f>
        <v>0</v>
      </c>
      <c r="I141" s="246">
        <f>IF(ISERROR(AVERAGE(I109:I120)),0,AVERAGE(I109:I120))</f>
        <v>0</v>
      </c>
      <c r="J141" s="534">
        <f>SUM(J109:J120)</f>
        <v>0</v>
      </c>
      <c r="K141" s="245">
        <f>SUM(K109:K120)</f>
        <v>0</v>
      </c>
      <c r="L141" s="246">
        <f>IF(ISERROR(AVERAGE(L109:L120)),0,AVERAGE(L109:L120))</f>
        <v>0</v>
      </c>
      <c r="M141" s="534">
        <f>SUM(M109:M120)</f>
        <v>0</v>
      </c>
      <c r="N141" s="245">
        <f>SUM(N109:N120)</f>
        <v>0</v>
      </c>
      <c r="O141" s="246">
        <f>IF(ISERROR(AVERAGE(O109:O120)),0,AVERAGE(O109:O120))</f>
        <v>0</v>
      </c>
      <c r="P141" s="534">
        <f>SUM(P109:P120)</f>
        <v>0</v>
      </c>
      <c r="Q141" s="245">
        <f>SUM(Q109:Q120)</f>
        <v>0</v>
      </c>
      <c r="R141" s="246">
        <f>IF(ISERROR(AVERAGE(R109:R120)),0,AVERAGE(R109:R120))</f>
        <v>0</v>
      </c>
    </row>
    <row r="142" spans="2:18" ht="13.5" thickBot="1" x14ac:dyDescent="0.25">
      <c r="B142" s="111" t="s">
        <v>239</v>
      </c>
      <c r="C142" s="26" t="s">
        <v>16</v>
      </c>
      <c r="D142" s="535">
        <f>SUM(D121:D132)</f>
        <v>0</v>
      </c>
      <c r="E142" s="252">
        <f>IF(ISERROR(AVERAGE(E121:E132)),0,AVERAGE(E121:E132))</f>
        <v>0</v>
      </c>
      <c r="F142" s="535">
        <f>SUM(F121:F132)</f>
        <v>0</v>
      </c>
      <c r="G142" s="252">
        <f>IF(ISERROR(AVERAGE(G121:G132)),0,AVERAGE(G121:G132))</f>
        <v>0</v>
      </c>
      <c r="H142" s="535">
        <f>SUM(H121:H132)</f>
        <v>0</v>
      </c>
      <c r="I142" s="252">
        <f>IF(ISERROR(AVERAGE(I121:I132)),0,AVERAGE(I121:I132))</f>
        <v>0</v>
      </c>
      <c r="J142" s="535">
        <f>SUM(J121:J132)</f>
        <v>0</v>
      </c>
      <c r="K142" s="189">
        <f>SUM(K121:K132)</f>
        <v>0</v>
      </c>
      <c r="L142" s="252">
        <f>IF(ISERROR(AVERAGE(L121:L132)),0,AVERAGE(L121:L132))</f>
        <v>0</v>
      </c>
      <c r="M142" s="535">
        <f>SUM(M121:M132)</f>
        <v>0</v>
      </c>
      <c r="N142" s="189">
        <f>SUM(N121:N132)</f>
        <v>0</v>
      </c>
      <c r="O142" s="252">
        <f>IF(ISERROR(AVERAGE(O121:O132)),0,AVERAGE(O121:O132))</f>
        <v>0</v>
      </c>
      <c r="P142" s="535">
        <f>SUM(P121:P132)</f>
        <v>0</v>
      </c>
      <c r="Q142" s="189">
        <f>SUM(Q121:Q132)</f>
        <v>0</v>
      </c>
      <c r="R142" s="252">
        <f>IF(ISERROR(AVERAGE(R121:R132)),0,AVERAGE(R121:R132))</f>
        <v>0</v>
      </c>
    </row>
  </sheetData>
  <mergeCells count="13">
    <mergeCell ref="H21:I21"/>
    <mergeCell ref="D21:E21"/>
    <mergeCell ref="F21:G21"/>
    <mergeCell ref="B10:I10"/>
    <mergeCell ref="P20:R20"/>
    <mergeCell ref="M20:O20"/>
    <mergeCell ref="P21:R21"/>
    <mergeCell ref="M21:O21"/>
    <mergeCell ref="J21:L21"/>
    <mergeCell ref="D20:E20"/>
    <mergeCell ref="F20:G20"/>
    <mergeCell ref="J20:L20"/>
    <mergeCell ref="H20:I20"/>
  </mergeCells>
  <pageMargins left="0.7" right="0.7" top="0.75" bottom="0.75" header="0.3" footer="0.3"/>
  <pageSetup orientation="portrait" horizontalDpi="4294967293"/>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6" tint="0.79998168889431442"/>
  </sheetPr>
  <dimension ref="A1:Q46"/>
  <sheetViews>
    <sheetView showGridLines="0" zoomScaleNormal="100" workbookViewId="0">
      <selection activeCell="E35" sqref="E35"/>
    </sheetView>
  </sheetViews>
  <sheetFormatPr defaultRowHeight="12.75" x14ac:dyDescent="0.2"/>
  <cols>
    <col min="1" max="1" width="13.6640625" style="1" customWidth="1"/>
    <col min="2" max="2" width="20" style="1" bestFit="1" customWidth="1"/>
    <col min="3" max="8" width="13.33203125" style="1" bestFit="1" customWidth="1"/>
    <col min="9" max="9" width="14.33203125" style="1" bestFit="1" customWidth="1"/>
    <col min="10" max="10" width="13.33203125" style="1" bestFit="1" customWidth="1"/>
    <col min="11" max="12" width="14" style="1" customWidth="1"/>
    <col min="13" max="14" width="13.33203125" style="1" bestFit="1" customWidth="1"/>
    <col min="15" max="15" width="9.33203125" style="1"/>
    <col min="16" max="16" width="20.33203125" style="1" customWidth="1"/>
    <col min="17" max="17" width="13.33203125" style="1" bestFit="1" customWidth="1"/>
    <col min="18" max="16384" width="9.33203125" style="1"/>
  </cols>
  <sheetData>
    <row r="1" spans="1:17" s="296" customFormat="1" x14ac:dyDescent="0.2">
      <c r="A1" s="366" t="s">
        <v>198</v>
      </c>
    </row>
    <row r="2" spans="1:17" s="296" customFormat="1" x14ac:dyDescent="0.2"/>
    <row r="3" spans="1:17" s="296" customFormat="1" x14ac:dyDescent="0.2"/>
    <row r="4" spans="1:17" s="296" customFormat="1" x14ac:dyDescent="0.2"/>
    <row r="5" spans="1:17" s="296" customFormat="1" x14ac:dyDescent="0.2"/>
    <row r="6" spans="1:17" s="296" customFormat="1" x14ac:dyDescent="0.2"/>
    <row r="7" spans="1:17" s="296" customFormat="1" x14ac:dyDescent="0.2"/>
    <row r="8" spans="1:17" s="296" customFormat="1" x14ac:dyDescent="0.2"/>
    <row r="9" spans="1:17" s="296" customFormat="1" x14ac:dyDescent="0.2"/>
    <row r="10" spans="1:17" customFormat="1" ht="12.75" customHeight="1" x14ac:dyDescent="0.2">
      <c r="B10" s="839"/>
      <c r="C10" s="839"/>
      <c r="D10" s="839"/>
      <c r="E10" s="839"/>
      <c r="F10" s="839"/>
      <c r="G10" s="839"/>
      <c r="H10" s="839"/>
      <c r="I10" s="284"/>
      <c r="J10" s="284"/>
      <c r="K10" s="284"/>
    </row>
    <row r="11" spans="1:17" ht="23.25" x14ac:dyDescent="0.2">
      <c r="B11" s="79" t="s">
        <v>62</v>
      </c>
    </row>
    <row r="12" spans="1:17" s="296" customFormat="1" ht="15" x14ac:dyDescent="0.2">
      <c r="B12" s="42" t="s">
        <v>55</v>
      </c>
    </row>
    <row r="13" spans="1:17" ht="14.25" x14ac:dyDescent="0.2">
      <c r="B13" s="71" t="s">
        <v>181</v>
      </c>
      <c r="C13" s="296"/>
      <c r="D13" s="296"/>
      <c r="E13" s="296"/>
      <c r="F13" s="296"/>
      <c r="G13" s="296"/>
      <c r="H13" s="296"/>
      <c r="I13" s="192"/>
    </row>
    <row r="14" spans="1:17" ht="13.5" customHeight="1" thickBot="1" x14ac:dyDescent="0.25">
      <c r="B14" s="79"/>
      <c r="I14" s="192"/>
    </row>
    <row r="15" spans="1:17" ht="24.75" customHeight="1" thickBot="1" x14ac:dyDescent="0.25">
      <c r="B15" s="584"/>
      <c r="C15" s="856" t="str">
        <f>'2. Customer Classes'!B14</f>
        <v>Residential</v>
      </c>
      <c r="D15" s="857"/>
      <c r="E15" s="856" t="str">
        <f>'2. Customer Classes'!B15</f>
        <v>General Service &lt; 50 kW</v>
      </c>
      <c r="F15" s="857"/>
      <c r="G15" s="856" t="str">
        <f>'2. Customer Classes'!B16</f>
        <v>Unmetered Scattered Load</v>
      </c>
      <c r="H15" s="857"/>
      <c r="I15" s="856" t="str">
        <f>'2. Customer Classes'!B18</f>
        <v>General Service &gt; 50 kW - 4999 kW</v>
      </c>
      <c r="J15" s="857"/>
      <c r="K15" s="856" t="str">
        <f>'2. Customer Classes'!B19</f>
        <v>Streetlighting</v>
      </c>
      <c r="L15" s="857"/>
      <c r="M15" s="862" t="str">
        <f>'2. Customer Classes'!B20</f>
        <v>Large User</v>
      </c>
      <c r="N15" s="857"/>
      <c r="P15" s="860" t="s">
        <v>133</v>
      </c>
      <c r="Q15" s="861"/>
    </row>
    <row r="16" spans="1:17" ht="39" thickBot="1" x14ac:dyDescent="0.25">
      <c r="B16" s="585" t="s">
        <v>3</v>
      </c>
      <c r="C16" s="586" t="s">
        <v>94</v>
      </c>
      <c r="D16" s="587" t="s">
        <v>5</v>
      </c>
      <c r="E16" s="586" t="s">
        <v>94</v>
      </c>
      <c r="F16" s="587" t="s">
        <v>5</v>
      </c>
      <c r="G16" s="586" t="s">
        <v>94</v>
      </c>
      <c r="H16" s="587" t="s">
        <v>5</v>
      </c>
      <c r="I16" s="586" t="s">
        <v>94</v>
      </c>
      <c r="J16" s="585" t="s">
        <v>5</v>
      </c>
      <c r="K16" s="586" t="s">
        <v>94</v>
      </c>
      <c r="L16" s="585" t="s">
        <v>5</v>
      </c>
      <c r="M16" s="586" t="s">
        <v>94</v>
      </c>
      <c r="N16" s="588" t="s">
        <v>5</v>
      </c>
      <c r="O16" s="41"/>
      <c r="P16" s="586" t="s">
        <v>142</v>
      </c>
      <c r="Q16" s="588" t="s">
        <v>5</v>
      </c>
    </row>
    <row r="17" spans="2:17" x14ac:dyDescent="0.2">
      <c r="B17" s="589">
        <f>'1. LDC Info'!F25-7</f>
        <v>2011</v>
      </c>
      <c r="C17" s="245">
        <f>AVERAGE('3. Consumption by Rate Class'!E$25:E$36)</f>
        <v>6594.125</v>
      </c>
      <c r="D17" s="114"/>
      <c r="E17" s="245">
        <f>AVERAGE('3. Consumption by Rate Class'!G$25:G$36)</f>
        <v>1234.6666666666667</v>
      </c>
      <c r="F17" s="114"/>
      <c r="G17" s="245">
        <f>AVERAGE('3. Consumption by Rate Class'!I$25:I$36)</f>
        <v>22.083333333333332</v>
      </c>
      <c r="H17" s="114"/>
      <c r="I17" s="245">
        <f>AVERAGE('3. Consumption by Rate Class'!L$25:L$36)</f>
        <v>120.04166666666667</v>
      </c>
      <c r="J17" s="114"/>
      <c r="K17" s="245">
        <f>AVERAGE('3. Consumption by Rate Class'!O$25:O$36)</f>
        <v>1946</v>
      </c>
      <c r="L17" s="114"/>
      <c r="M17" s="245">
        <f>IF(ISERROR(AVERAGE('3. Consumption by Rate Class'!R$25:R$36)),0,ISERROR(AVERAGE('3. Consumption by Rate Class'!R$25:R$36)))</f>
        <v>0</v>
      </c>
      <c r="N17" s="115"/>
      <c r="O17" s="41"/>
      <c r="P17" s="590">
        <f t="shared" ref="P17:P23" si="0">+C17+E17+G17+I17+K17+M17</f>
        <v>9916.9166666666679</v>
      </c>
      <c r="Q17" s="149"/>
    </row>
    <row r="18" spans="2:17" x14ac:dyDescent="0.2">
      <c r="B18" s="589">
        <f>'1. LDC Info'!F25-6</f>
        <v>2012</v>
      </c>
      <c r="C18" s="245">
        <f>AVERAGE('3. Consumption by Rate Class'!E$37:E$48)</f>
        <v>6716.25</v>
      </c>
      <c r="D18" s="114">
        <f t="shared" ref="D18:D23" si="1">IF(C17=0,0,C18/C17)</f>
        <v>1.0185202737285084</v>
      </c>
      <c r="E18" s="245">
        <f>AVERAGE('3. Consumption by Rate Class'!G$37:G$48)</f>
        <v>1268.9583333333333</v>
      </c>
      <c r="F18" s="114">
        <f t="shared" ref="F18:F23" si="2">IF(E17=0,0,E18/E17)</f>
        <v>1.0277740280777536</v>
      </c>
      <c r="G18" s="245">
        <f>AVERAGE('3. Consumption by Rate Class'!I$37:I$48)</f>
        <v>22</v>
      </c>
      <c r="H18" s="114">
        <f t="shared" ref="H18:H23" si="3">IF(G17=0,0,G18/G17)</f>
        <v>0.99622641509433962</v>
      </c>
      <c r="I18" s="245">
        <f>AVERAGE('3. Consumption by Rate Class'!L$37:L$48)</f>
        <v>117.70833333333333</v>
      </c>
      <c r="J18" s="114">
        <f t="shared" ref="J18:J23" si="4">IF(I17=0,0,I18/I17)</f>
        <v>0.98056230475529327</v>
      </c>
      <c r="K18" s="245">
        <f>AVERAGE('3. Consumption by Rate Class'!O$37:O$48)</f>
        <v>1946.75</v>
      </c>
      <c r="L18" s="114">
        <f t="shared" ref="L18:L23" si="5">IF(K17=0,0,K18/K17)</f>
        <v>1.0003854059609456</v>
      </c>
      <c r="M18" s="245">
        <f>IF(ISERROR(AVERAGE('3. Consumption by Rate Class'!R$37:R$48)),0,ISERROR(AVERAGE('3. Consumption by Rate Class'!R$37:R$48)))</f>
        <v>0</v>
      </c>
      <c r="N18" s="114">
        <f t="shared" ref="N18:N23" si="6">IF(M17=0,0,M18/M17)</f>
        <v>0</v>
      </c>
      <c r="O18" s="41"/>
      <c r="P18" s="590">
        <f t="shared" si="0"/>
        <v>10071.666666666666</v>
      </c>
      <c r="Q18" s="149">
        <f t="shared" ref="Q18:Q23" si="7">P18/P17</f>
        <v>1.0156046486223034</v>
      </c>
    </row>
    <row r="19" spans="2:17" x14ac:dyDescent="0.2">
      <c r="B19" s="589">
        <f>'1. LDC Info'!F25-5</f>
        <v>2013</v>
      </c>
      <c r="C19" s="245">
        <f>AVERAGE('3. Consumption by Rate Class'!E$49:E$60)</f>
        <v>6912.458333333333</v>
      </c>
      <c r="D19" s="114">
        <f t="shared" si="1"/>
        <v>1.0292139710900179</v>
      </c>
      <c r="E19" s="245">
        <f>AVERAGE('3. Consumption by Rate Class'!G$49:G$60)</f>
        <v>1221.0416666666667</v>
      </c>
      <c r="F19" s="114">
        <f t="shared" si="2"/>
        <v>0.96223936956164846</v>
      </c>
      <c r="G19" s="245">
        <f>AVERAGE('3. Consumption by Rate Class'!I$49:I$60)</f>
        <v>21.375</v>
      </c>
      <c r="H19" s="114">
        <f t="shared" si="3"/>
        <v>0.97159090909090906</v>
      </c>
      <c r="I19" s="245">
        <f>AVERAGE('3. Consumption by Rate Class'!L$49:L$60)</f>
        <v>117.875</v>
      </c>
      <c r="J19" s="114">
        <f t="shared" si="4"/>
        <v>1.0014159292035398</v>
      </c>
      <c r="K19" s="245">
        <f>AVERAGE('3. Consumption by Rate Class'!O$49:O$60)</f>
        <v>1948.75</v>
      </c>
      <c r="L19" s="114">
        <f t="shared" si="5"/>
        <v>1.0010273532811096</v>
      </c>
      <c r="M19" s="245">
        <f>IF(ISERROR(AVERAGE('3. Consumption by Rate Class'!R$49:R$60)),0,ISERROR(AVERAGE('3. Consumption by Rate Class'!R$49:R$60)))</f>
        <v>0</v>
      </c>
      <c r="N19" s="114">
        <f t="shared" si="6"/>
        <v>0</v>
      </c>
      <c r="O19" s="41"/>
      <c r="P19" s="590">
        <f t="shared" si="0"/>
        <v>10221.5</v>
      </c>
      <c r="Q19" s="149">
        <f t="shared" si="7"/>
        <v>1.0148767168624855</v>
      </c>
    </row>
    <row r="20" spans="2:17" x14ac:dyDescent="0.2">
      <c r="B20" s="589">
        <f>'1. LDC Info'!F25-4</f>
        <v>2014</v>
      </c>
      <c r="C20" s="245">
        <f>AVERAGE('3. Consumption by Rate Class'!E$61:E$72)</f>
        <v>7110.208333333333</v>
      </c>
      <c r="D20" s="114">
        <f t="shared" si="1"/>
        <v>1.0286077673765364</v>
      </c>
      <c r="E20" s="245">
        <f>AVERAGE('3. Consumption by Rate Class'!G$61:G$72)</f>
        <v>1311.8333333333333</v>
      </c>
      <c r="F20" s="114">
        <f t="shared" si="2"/>
        <v>1.0743559119604162</v>
      </c>
      <c r="G20" s="245">
        <f>AVERAGE('3. Consumption by Rate Class'!I$61:I$72)</f>
        <v>21.625</v>
      </c>
      <c r="H20" s="114">
        <f t="shared" si="3"/>
        <v>1.0116959064327486</v>
      </c>
      <c r="I20" s="245">
        <f>AVERAGE('3. Consumption by Rate Class'!L$61:L$72)</f>
        <v>129.375</v>
      </c>
      <c r="J20" s="114">
        <f t="shared" si="4"/>
        <v>1.0975609756097562</v>
      </c>
      <c r="K20" s="245">
        <f>AVERAGE('3. Consumption by Rate Class'!O$61:O$72)</f>
        <v>2051.3333333333335</v>
      </c>
      <c r="L20" s="114">
        <f t="shared" si="5"/>
        <v>1.0526405815693822</v>
      </c>
      <c r="M20" s="245">
        <f>IF(ISERROR(AVERAGE('3. Consumption by Rate Class'!R$61:R$72)),0,ISERROR(AVERAGE('3. Consumption by Rate Class'!R$61:R$72)))</f>
        <v>0</v>
      </c>
      <c r="N20" s="114">
        <f t="shared" si="6"/>
        <v>0</v>
      </c>
      <c r="O20" s="41"/>
      <c r="P20" s="590">
        <f t="shared" si="0"/>
        <v>10624.375</v>
      </c>
      <c r="Q20" s="149">
        <f t="shared" si="7"/>
        <v>1.0394144695005625</v>
      </c>
    </row>
    <row r="21" spans="2:17" x14ac:dyDescent="0.2">
      <c r="B21" s="589">
        <f>'1. LDC Info'!F25-3</f>
        <v>2015</v>
      </c>
      <c r="C21" s="245">
        <f>AVERAGE('3. Consumption by Rate Class'!E$73:E$84)</f>
        <v>7389.208333333333</v>
      </c>
      <c r="D21" s="114">
        <f t="shared" si="1"/>
        <v>1.0392393565589382</v>
      </c>
      <c r="E21" s="245">
        <f>AVERAGE('3. Consumption by Rate Class'!G$73:G$84)</f>
        <v>1321.5416666666667</v>
      </c>
      <c r="F21" s="114">
        <f t="shared" si="2"/>
        <v>1.0074005844238345</v>
      </c>
      <c r="G21" s="245">
        <f>AVERAGE('3. Consumption by Rate Class'!I$73:I$84)</f>
        <v>20.208333333333332</v>
      </c>
      <c r="H21" s="114">
        <f t="shared" si="3"/>
        <v>0.93448940269749514</v>
      </c>
      <c r="I21" s="245">
        <f>AVERAGE('3. Consumption by Rate Class'!L$73:L$84)</f>
        <v>128</v>
      </c>
      <c r="J21" s="114">
        <f t="shared" si="4"/>
        <v>0.98937198067632848</v>
      </c>
      <c r="K21" s="245">
        <f>AVERAGE('3. Consumption by Rate Class'!O$73:O$84)</f>
        <v>2080.75</v>
      </c>
      <c r="L21" s="114">
        <f t="shared" si="5"/>
        <v>1.0143402664933376</v>
      </c>
      <c r="M21" s="245">
        <f>IF(ISERROR(AVERAGE('3. Consumption by Rate Class'!R$73:R$84)),0,ISERROR(AVERAGE('3. Consumption by Rate Class'!R$73:R$84)))</f>
        <v>0</v>
      </c>
      <c r="N21" s="114">
        <f t="shared" si="6"/>
        <v>0</v>
      </c>
      <c r="O21" s="41"/>
      <c r="P21" s="590">
        <f t="shared" si="0"/>
        <v>10939.708333333334</v>
      </c>
      <c r="Q21" s="149">
        <f t="shared" si="7"/>
        <v>1.0296801772653295</v>
      </c>
    </row>
    <row r="22" spans="2:17" x14ac:dyDescent="0.2">
      <c r="B22" s="589">
        <f>'1. LDC Info'!F25-2</f>
        <v>2016</v>
      </c>
      <c r="C22" s="245">
        <f>AVERAGE('3. Consumption by Rate Class'!E$85:E$96)</f>
        <v>7660.791666666667</v>
      </c>
      <c r="D22" s="114">
        <f t="shared" si="1"/>
        <v>1.0367540501068564</v>
      </c>
      <c r="E22" s="245">
        <f>AVERAGE('3. Consumption by Rate Class'!G$85:G$96)</f>
        <v>1332.7083333333333</v>
      </c>
      <c r="F22" s="114">
        <f t="shared" si="2"/>
        <v>1.0084497272755935</v>
      </c>
      <c r="G22" s="245">
        <f>AVERAGE('3. Consumption by Rate Class'!I$85:I$96)</f>
        <v>17.708333333333332</v>
      </c>
      <c r="H22" s="114">
        <f t="shared" si="3"/>
        <v>0.87628865979381443</v>
      </c>
      <c r="I22" s="245">
        <f>AVERAGE('3. Consumption by Rate Class'!L$85:L$96)</f>
        <v>121.5</v>
      </c>
      <c r="J22" s="114">
        <f t="shared" si="4"/>
        <v>0.94921875</v>
      </c>
      <c r="K22" s="245">
        <f>AVERAGE('3. Consumption by Rate Class'!O$85:O$96)</f>
        <v>2120.1666666666665</v>
      </c>
      <c r="L22" s="114">
        <f t="shared" si="5"/>
        <v>1.01894348992751</v>
      </c>
      <c r="M22" s="245">
        <f>IF(ISERROR(AVERAGE('3. Consumption by Rate Class'!R$85:R$96)),0,ISERROR(AVERAGE('3. Consumption by Rate Class'!R$85:R$96)))</f>
        <v>0</v>
      </c>
      <c r="N22" s="114">
        <f t="shared" si="6"/>
        <v>0</v>
      </c>
      <c r="O22" s="41"/>
      <c r="P22" s="590">
        <f t="shared" si="0"/>
        <v>11252.875</v>
      </c>
      <c r="Q22" s="149">
        <f t="shared" si="7"/>
        <v>1.0286266011053007</v>
      </c>
    </row>
    <row r="23" spans="2:17" x14ac:dyDescent="0.2">
      <c r="B23" s="589">
        <f>'1. LDC Info'!F25-1</f>
        <v>2017</v>
      </c>
      <c r="C23" s="245">
        <f>AVERAGE('3. Consumption by Rate Class'!E$97:E$108)</f>
        <v>7838.375</v>
      </c>
      <c r="D23" s="114">
        <f t="shared" si="1"/>
        <v>1.0231808070314752</v>
      </c>
      <c r="E23" s="245">
        <f>AVERAGE('3. Consumption by Rate Class'!G$97:G$108)</f>
        <v>1331.6666666666667</v>
      </c>
      <c r="F23" s="114">
        <f t="shared" si="2"/>
        <v>0.99921838361732074</v>
      </c>
      <c r="G23" s="245">
        <f>AVERAGE('3. Consumption by Rate Class'!I$97:I$108)</f>
        <v>21.25</v>
      </c>
      <c r="H23" s="114">
        <f t="shared" si="3"/>
        <v>1.2000000000000002</v>
      </c>
      <c r="I23" s="245">
        <f>AVERAGE('3. Consumption by Rate Class'!L$97:L$108)</f>
        <v>128.95833333333334</v>
      </c>
      <c r="J23" s="114">
        <f t="shared" si="4"/>
        <v>1.0613854595336079</v>
      </c>
      <c r="K23" s="245">
        <f>AVERAGE('3. Consumption by Rate Class'!O$97:O$108)</f>
        <v>2123.9166666666665</v>
      </c>
      <c r="L23" s="114">
        <f t="shared" si="5"/>
        <v>1.0017687288735162</v>
      </c>
      <c r="M23" s="245">
        <f>IF(ISERROR(AVERAGE('3. Consumption by Rate Class'!R$97:R$108)),0,ISERROR(AVERAGE('3. Consumption by Rate Class'!R$97:R$108)))</f>
        <v>0</v>
      </c>
      <c r="N23" s="114">
        <f t="shared" si="6"/>
        <v>0</v>
      </c>
      <c r="O23" s="41"/>
      <c r="P23" s="590">
        <f t="shared" si="0"/>
        <v>11444.166666666666</v>
      </c>
      <c r="Q23" s="149">
        <f t="shared" si="7"/>
        <v>1.0169993594229623</v>
      </c>
    </row>
    <row r="24" spans="2:17" x14ac:dyDescent="0.2">
      <c r="B24" s="591"/>
      <c r="C24" s="245"/>
      <c r="D24" s="114"/>
      <c r="E24" s="245"/>
      <c r="F24" s="114"/>
      <c r="G24" s="8"/>
      <c r="H24" s="114"/>
      <c r="I24" s="8"/>
      <c r="J24" s="114"/>
      <c r="K24" s="245"/>
      <c r="L24" s="114"/>
      <c r="M24" s="245"/>
      <c r="N24" s="114"/>
      <c r="O24" s="41"/>
      <c r="P24" s="590"/>
      <c r="Q24" s="592"/>
    </row>
    <row r="25" spans="2:17" x14ac:dyDescent="0.2">
      <c r="B25" s="593" t="s">
        <v>4</v>
      </c>
      <c r="C25" s="245"/>
      <c r="D25" s="594">
        <f>IF(ISERROR(GEOMEAN(D18:D23)),0,GEOMEAN(D18:D23))</f>
        <v>1.0292277257899862</v>
      </c>
      <c r="E25" s="595"/>
      <c r="F25" s="594">
        <f>IF(ISERROR(GEOMEAN(F18:F23)),0,GEOMEAN(F18:F23))</f>
        <v>1.0126848221539522</v>
      </c>
      <c r="G25" s="596"/>
      <c r="H25" s="594">
        <f>IF(ISERROR(GEOMEAN(H18:H23)),0,GEOMEAN(H18:H23))</f>
        <v>0.9936094601089358</v>
      </c>
      <c r="I25" s="596"/>
      <c r="J25" s="594">
        <f>IF(ISERROR(GEOMEAN(J18:J23)),0,GEOMEAN(J18:J23))</f>
        <v>1.0120133289445488</v>
      </c>
      <c r="K25" s="595"/>
      <c r="L25" s="594">
        <f>IF(ISERROR(GEOMEAN(L18:L23)),0,GEOMEAN(L18:L23))</f>
        <v>1.0146878018368741</v>
      </c>
      <c r="M25" s="595"/>
      <c r="N25" s="594">
        <f>IF(ISERROR(GEOMEAN(N18:N23)),0,GEOMEAN(N18:N23))</f>
        <v>0</v>
      </c>
      <c r="O25" s="41"/>
      <c r="P25" s="590"/>
      <c r="Q25" s="597">
        <f>GEOMEAN(Q17:Q23)</f>
        <v>1.0241602559026339</v>
      </c>
    </row>
    <row r="26" spans="2:17" x14ac:dyDescent="0.2">
      <c r="B26" s="593"/>
      <c r="C26" s="245"/>
      <c r="D26" s="594"/>
      <c r="E26" s="595"/>
      <c r="F26" s="594"/>
      <c r="G26" s="596"/>
      <c r="H26" s="594"/>
      <c r="I26" s="596"/>
      <c r="J26" s="594"/>
      <c r="K26" s="595"/>
      <c r="L26" s="594"/>
      <c r="M26" s="595"/>
      <c r="N26" s="597"/>
      <c r="O26" s="41"/>
      <c r="P26" s="590"/>
      <c r="Q26" s="592"/>
    </row>
    <row r="27" spans="2:17" x14ac:dyDescent="0.2">
      <c r="B27" s="598" t="str">
        <f>'1. LDC Info'!F25</f>
        <v>2018</v>
      </c>
      <c r="C27" s="245">
        <f>C23*D25</f>
        <v>8067.472875139083</v>
      </c>
      <c r="D27" s="114" t="s">
        <v>29</v>
      </c>
      <c r="E27" s="245">
        <f>E23*F25</f>
        <v>1348.5586215016797</v>
      </c>
      <c r="F27" s="8"/>
      <c r="G27" s="7">
        <f>G23*H25</f>
        <v>21.114201027314884</v>
      </c>
      <c r="H27" s="8"/>
      <c r="I27" s="7">
        <f>I23*J25</f>
        <v>130.50755221180745</v>
      </c>
      <c r="J27" s="8"/>
      <c r="K27" s="245">
        <f>K23*L25</f>
        <v>2155.1123337847007</v>
      </c>
      <c r="L27" s="8"/>
      <c r="M27" s="245">
        <f>M23*N25</f>
        <v>0</v>
      </c>
      <c r="N27" s="9"/>
      <c r="O27" s="41"/>
      <c r="P27" s="590">
        <f>+C27+E27+G27+I27+K27+M27</f>
        <v>11722.765583664584</v>
      </c>
      <c r="Q27" s="592"/>
    </row>
    <row r="28" spans="2:17" ht="13.5" thickBot="1" x14ac:dyDescent="0.25">
      <c r="B28" s="599" t="str">
        <f>'1. LDC Info'!F27</f>
        <v>2019</v>
      </c>
      <c r="C28" s="189">
        <f>C27*D25</f>
        <v>8303.2667601518006</v>
      </c>
      <c r="D28" s="188" t="s">
        <v>29</v>
      </c>
      <c r="E28" s="189">
        <f>E27*F25</f>
        <v>1365.6648477796075</v>
      </c>
      <c r="F28" s="11"/>
      <c r="G28" s="476">
        <f>G27*H25</f>
        <v>20.979269883381878</v>
      </c>
      <c r="H28" s="11"/>
      <c r="I28" s="476">
        <f>I27*J25</f>
        <v>132.07538236627576</v>
      </c>
      <c r="J28" s="11"/>
      <c r="K28" s="189">
        <f>K27*L25</f>
        <v>2186.7661966795336</v>
      </c>
      <c r="L28" s="11"/>
      <c r="M28" s="189">
        <f>M27*N25</f>
        <v>0</v>
      </c>
      <c r="N28" s="12"/>
      <c r="O28" s="41"/>
      <c r="P28" s="590">
        <f>+C28+E28+G28+I28+K28+M28</f>
        <v>12008.7524568606</v>
      </c>
      <c r="Q28" s="600"/>
    </row>
    <row r="29" spans="2:17" x14ac:dyDescent="0.2">
      <c r="P29" s="148"/>
    </row>
    <row r="30" spans="2:17" x14ac:dyDescent="0.2">
      <c r="B30" s="118" t="s">
        <v>143</v>
      </c>
      <c r="P30" s="148"/>
    </row>
    <row r="31" spans="2:17" ht="13.5" thickBot="1" x14ac:dyDescent="0.25">
      <c r="P31" s="148"/>
    </row>
    <row r="32" spans="2:17" x14ac:dyDescent="0.2">
      <c r="B32" s="178" t="s">
        <v>30</v>
      </c>
      <c r="C32" s="13"/>
      <c r="D32" s="13"/>
      <c r="E32" s="13"/>
      <c r="F32" s="13"/>
      <c r="G32" s="13"/>
      <c r="H32" s="13"/>
      <c r="I32" s="13"/>
      <c r="J32" s="13"/>
      <c r="K32" s="13"/>
      <c r="L32" s="13"/>
      <c r="M32" s="13"/>
      <c r="N32" s="14"/>
      <c r="P32" s="854" t="s">
        <v>30</v>
      </c>
      <c r="Q32" s="855"/>
    </row>
    <row r="33" spans="2:17" x14ac:dyDescent="0.2">
      <c r="B33" s="113" t="str">
        <f>'1. LDC Info'!F25</f>
        <v>2018</v>
      </c>
      <c r="C33" s="477">
        <f>+C23+176-38</f>
        <v>7976.375</v>
      </c>
      <c r="D33" s="5">
        <f>C33/C23</f>
        <v>1.0176056899548696</v>
      </c>
      <c r="E33" s="477">
        <f>+E23+3+2</f>
        <v>1336.6666666666667</v>
      </c>
      <c r="F33" s="5">
        <f>E33/E23</f>
        <v>1.0037546933667083</v>
      </c>
      <c r="G33" s="477">
        <v>26</v>
      </c>
      <c r="H33" s="5">
        <f>G33/G23</f>
        <v>1.223529411764706</v>
      </c>
      <c r="I33" s="477">
        <f>+I27</f>
        <v>130.50755221180745</v>
      </c>
      <c r="J33" s="5">
        <f>I33/I23</f>
        <v>1.0120133289445488</v>
      </c>
      <c r="K33" s="477">
        <f>+K27</f>
        <v>2155.1123337847007</v>
      </c>
      <c r="L33" s="114">
        <f>IF(K33&gt;0,+K33/K23,0)</f>
        <v>1.0146878018368741</v>
      </c>
      <c r="M33" s="477">
        <v>0</v>
      </c>
      <c r="N33" s="6">
        <f>IF(M23=0,0,M33/M23)</f>
        <v>0</v>
      </c>
      <c r="P33" s="247">
        <f>+C33+E33+G33+I33+K33+M33</f>
        <v>11624.661552663174</v>
      </c>
      <c r="Q33" s="115">
        <f>P33/P23</f>
        <v>1.0157717806157291</v>
      </c>
    </row>
    <row r="34" spans="2:17" ht="13.5" thickBot="1" x14ac:dyDescent="0.25">
      <c r="B34" s="112" t="str">
        <f>'1. LDC Info'!F27</f>
        <v>2019</v>
      </c>
      <c r="C34" s="478">
        <f>+C33+176</f>
        <v>8152.375</v>
      </c>
      <c r="D34" s="188">
        <f>IF(C34&gt;0,+C34/C33,0)</f>
        <v>1.022065161179107</v>
      </c>
      <c r="E34" s="478">
        <f>+E33+3+2</f>
        <v>1341.6666666666667</v>
      </c>
      <c r="F34" s="188">
        <f>IF(E34&gt;0,+E34/E33,0)</f>
        <v>1.0037406483790523</v>
      </c>
      <c r="G34" s="478">
        <v>26</v>
      </c>
      <c r="H34" s="188">
        <f>IF(G34&gt;0,+G34/G33,0)</f>
        <v>1</v>
      </c>
      <c r="I34" s="478">
        <v>131</v>
      </c>
      <c r="J34" s="188">
        <f>IF(I34&gt;0,+I34/I33,0)</f>
        <v>1.0037733279020766</v>
      </c>
      <c r="K34" s="478">
        <f>+K28</f>
        <v>2186.7661966795336</v>
      </c>
      <c r="L34" s="188">
        <f>IF(K34&gt;0,+K34/K33,0)</f>
        <v>1.0146878018368741</v>
      </c>
      <c r="M34" s="478">
        <v>1</v>
      </c>
      <c r="N34" s="151">
        <f>IF(M33=0,0,M34/M33)</f>
        <v>0</v>
      </c>
      <c r="P34" s="248">
        <f>+C34+E34+G34+I34+K34+M34</f>
        <v>11838.807863346199</v>
      </c>
      <c r="Q34" s="151">
        <f>IF(P34&gt;0,+P34/P33,0)</f>
        <v>1.0184217243412101</v>
      </c>
    </row>
    <row r="35" spans="2:17" x14ac:dyDescent="0.2">
      <c r="C35" s="120" t="s">
        <v>29</v>
      </c>
      <c r="P35" s="148"/>
    </row>
    <row r="36" spans="2:17" x14ac:dyDescent="0.2">
      <c r="B36" s="1" t="s">
        <v>104</v>
      </c>
      <c r="P36" s="148"/>
    </row>
    <row r="37" spans="2:17" ht="13.5" thickBot="1" x14ac:dyDescent="0.25">
      <c r="P37" s="148"/>
    </row>
    <row r="38" spans="2:17" x14ac:dyDescent="0.2">
      <c r="B38" s="858" t="s">
        <v>129</v>
      </c>
      <c r="C38" s="859"/>
      <c r="D38" s="859"/>
      <c r="E38" s="859"/>
      <c r="F38" s="859"/>
      <c r="G38" s="859"/>
      <c r="H38" s="859"/>
      <c r="I38" s="859"/>
      <c r="J38" s="859"/>
      <c r="K38" s="859"/>
      <c r="L38" s="859"/>
      <c r="M38" s="859"/>
      <c r="N38" s="859"/>
      <c r="P38" s="854" t="s">
        <v>30</v>
      </c>
      <c r="Q38" s="855"/>
    </row>
    <row r="39" spans="2:17" ht="13.5" thickBot="1" x14ac:dyDescent="0.25">
      <c r="B39" s="474" t="str">
        <f>+B33</f>
        <v>2018</v>
      </c>
      <c r="C39" s="479">
        <f>IF(C33&gt;0,+C33,C27)</f>
        <v>7976.375</v>
      </c>
      <c r="D39" s="480">
        <f>IF(D33&gt;0,+D33,D25)</f>
        <v>1.0176056899548696</v>
      </c>
      <c r="E39" s="479">
        <f>IF(E33&gt;0,+E33,E27)</f>
        <v>1336.6666666666667</v>
      </c>
      <c r="F39" s="480">
        <f>IF(F33&gt;0,+F33,F25)</f>
        <v>1.0037546933667083</v>
      </c>
      <c r="G39" s="479">
        <f>IF(G33&gt;0,+G33,G27)</f>
        <v>26</v>
      </c>
      <c r="H39" s="480">
        <f>IF(H33&gt;0,+H33,H25)</f>
        <v>1.223529411764706</v>
      </c>
      <c r="I39" s="479">
        <f>IF(I33&gt;0,+I33,I27)</f>
        <v>130.50755221180745</v>
      </c>
      <c r="J39" s="480">
        <f>IF(J33&gt;0,+J33,J25)</f>
        <v>1.0120133289445488</v>
      </c>
      <c r="K39" s="479">
        <f>IF(K33&gt;0,+K33,K27)</f>
        <v>2155.1123337847007</v>
      </c>
      <c r="L39" s="480">
        <f>IF(L33&gt;0,+L33,L25)</f>
        <v>1.0146878018368741</v>
      </c>
      <c r="M39" s="479">
        <f>IF(M33&gt;0,+M33,M27)</f>
        <v>0</v>
      </c>
      <c r="N39" s="480">
        <f>IF(N33&gt;0,+N33,N25)</f>
        <v>0</v>
      </c>
      <c r="P39" s="247">
        <f>+C39+E39+G39+I39+K39+M39</f>
        <v>11624.661552663174</v>
      </c>
      <c r="Q39" s="161">
        <f>IF(P33&gt;1,+Q33,Q25)</f>
        <v>1.0157717806157291</v>
      </c>
    </row>
    <row r="40" spans="2:17" ht="13.5" thickBot="1" x14ac:dyDescent="0.25">
      <c r="B40" s="475" t="str">
        <f>+B34</f>
        <v>2019</v>
      </c>
      <c r="C40" s="481">
        <f>IF(C34&gt;0,+C34,C28)</f>
        <v>8152.375</v>
      </c>
      <c r="D40" s="482">
        <f>IF(D34&gt;0,+D34,D25)</f>
        <v>1.022065161179107</v>
      </c>
      <c r="E40" s="481">
        <f>IF(E34&gt;0,+E34,E28)</f>
        <v>1341.6666666666667</v>
      </c>
      <c r="F40" s="482">
        <f>IF(F34&gt;0,+F34,F25)</f>
        <v>1.0037406483790523</v>
      </c>
      <c r="G40" s="481">
        <f>IF(G34&gt;0,+G34,G28)</f>
        <v>26</v>
      </c>
      <c r="H40" s="482">
        <f>IF(H34&gt;0,+H34,H25)</f>
        <v>1</v>
      </c>
      <c r="I40" s="481">
        <f>IF(I34&gt;0,+I34,I28)</f>
        <v>131</v>
      </c>
      <c r="J40" s="482">
        <f>IF(J34&gt;0,+J34,J25)</f>
        <v>1.0037733279020766</v>
      </c>
      <c r="K40" s="481">
        <f>IF(K34&gt;0,+K34,K28)</f>
        <v>2186.7661966795336</v>
      </c>
      <c r="L40" s="482">
        <f>IF(L34&gt;0,+L34,L25)</f>
        <v>1.0146878018368741</v>
      </c>
      <c r="M40" s="481">
        <f>IF(M34&gt;0,+M34,M28)</f>
        <v>1</v>
      </c>
      <c r="N40" s="482">
        <f>IF(N34&gt;0,+N34,N25)</f>
        <v>0</v>
      </c>
      <c r="P40" s="248">
        <f>+C40+E40+G40+I40+K40+M40</f>
        <v>11838.807863346199</v>
      </c>
      <c r="Q40" s="162">
        <f>IF(Q34&gt;1,+Q34,Q25)</f>
        <v>1.0184217243412101</v>
      </c>
    </row>
    <row r="45" spans="2:17" x14ac:dyDescent="0.2">
      <c r="C45" s="190"/>
    </row>
    <row r="46" spans="2:17" x14ac:dyDescent="0.2">
      <c r="C46" s="190"/>
    </row>
  </sheetData>
  <mergeCells count="11">
    <mergeCell ref="P38:Q38"/>
    <mergeCell ref="K15:L15"/>
    <mergeCell ref="B38:N38"/>
    <mergeCell ref="B10:H10"/>
    <mergeCell ref="C15:D15"/>
    <mergeCell ref="E15:F15"/>
    <mergeCell ref="G15:H15"/>
    <mergeCell ref="I15:J15"/>
    <mergeCell ref="P15:Q15"/>
    <mergeCell ref="P32:Q32"/>
    <mergeCell ref="M15:N15"/>
  </mergeCells>
  <phoneticPr fontId="0" type="noConversion"/>
  <pageMargins left="0.7" right="0.7" top="0.75" bottom="0.75" header="0.3" footer="0.3"/>
  <pageSetup orientation="portrait"/>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6" tint="0.79998168889431442"/>
    <pageSetUpPr fitToPage="1"/>
  </sheetPr>
  <dimension ref="A1:Z87"/>
  <sheetViews>
    <sheetView showGridLines="0" topLeftCell="A46" zoomScaleNormal="100" zoomScaleSheetLayoutView="100" workbookViewId="0">
      <selection activeCell="C81" sqref="C81:N87"/>
    </sheetView>
  </sheetViews>
  <sheetFormatPr defaultRowHeight="12.75" x14ac:dyDescent="0.2"/>
  <cols>
    <col min="1" max="1" width="13.6640625" style="1" customWidth="1"/>
    <col min="2" max="2" width="24.83203125" style="38" customWidth="1"/>
    <col min="3" max="14" width="14.83203125" style="38" customWidth="1"/>
    <col min="15" max="15" width="16.6640625" style="1" customWidth="1"/>
    <col min="16" max="25" width="9.33203125" style="1"/>
    <col min="26" max="26" width="19.33203125" style="1" customWidth="1"/>
    <col min="27" max="16384" width="9.33203125" style="1"/>
  </cols>
  <sheetData>
    <row r="1" spans="1:15" s="296" customFormat="1" x14ac:dyDescent="0.2">
      <c r="A1" s="366" t="s">
        <v>198</v>
      </c>
      <c r="B1" s="38"/>
      <c r="C1" s="38"/>
      <c r="D1" s="38"/>
      <c r="E1" s="38"/>
      <c r="F1" s="38"/>
      <c r="G1" s="38"/>
      <c r="H1" s="38"/>
      <c r="I1" s="38"/>
      <c r="J1" s="38"/>
      <c r="K1" s="38"/>
      <c r="L1" s="38"/>
      <c r="M1" s="38"/>
      <c r="N1" s="38"/>
    </row>
    <row r="2" spans="1:15" s="296" customFormat="1" x14ac:dyDescent="0.2">
      <c r="B2" s="38"/>
      <c r="C2" s="38"/>
      <c r="D2" s="38"/>
      <c r="E2" s="38"/>
      <c r="F2" s="38"/>
      <c r="G2" s="38"/>
      <c r="H2" s="38"/>
      <c r="I2" s="38"/>
      <c r="J2" s="38"/>
      <c r="K2" s="38"/>
      <c r="L2" s="38"/>
      <c r="M2" s="38"/>
      <c r="N2" s="38"/>
    </row>
    <row r="3" spans="1:15" s="296" customFormat="1" x14ac:dyDescent="0.2">
      <c r="B3" s="38"/>
      <c r="C3" s="38"/>
      <c r="D3" s="38"/>
      <c r="E3" s="38"/>
      <c r="F3" s="38"/>
      <c r="G3" s="38"/>
      <c r="H3" s="38"/>
      <c r="I3" s="38"/>
      <c r="J3" s="38"/>
      <c r="K3" s="38"/>
      <c r="L3" s="38"/>
      <c r="M3" s="38"/>
      <c r="N3" s="38"/>
    </row>
    <row r="4" spans="1:15" s="296" customFormat="1" x14ac:dyDescent="0.2">
      <c r="B4" s="38"/>
      <c r="C4" s="38"/>
      <c r="D4" s="38"/>
      <c r="E4" s="38"/>
      <c r="F4" s="38"/>
      <c r="G4" s="38"/>
      <c r="H4" s="38"/>
      <c r="I4" s="38"/>
      <c r="J4" s="38"/>
      <c r="K4" s="38"/>
      <c r="L4" s="38"/>
      <c r="M4" s="38"/>
      <c r="N4" s="38"/>
    </row>
    <row r="5" spans="1:15" s="296" customFormat="1" x14ac:dyDescent="0.2">
      <c r="B5" s="38"/>
      <c r="C5" s="38"/>
      <c r="D5" s="38"/>
      <c r="E5" s="38"/>
      <c r="F5" s="38"/>
      <c r="G5" s="38"/>
      <c r="H5" s="38"/>
      <c r="I5" s="38"/>
      <c r="J5" s="38"/>
      <c r="K5" s="38"/>
      <c r="L5" s="38"/>
      <c r="M5" s="38"/>
      <c r="N5" s="38"/>
    </row>
    <row r="6" spans="1:15" s="296" customFormat="1" x14ac:dyDescent="0.2">
      <c r="B6" s="38"/>
      <c r="C6" s="38"/>
      <c r="D6" s="38"/>
      <c r="E6" s="38"/>
      <c r="F6" s="38"/>
      <c r="G6" s="38"/>
      <c r="H6" s="38"/>
      <c r="I6" s="38"/>
      <c r="J6" s="38"/>
      <c r="K6" s="38"/>
      <c r="L6" s="38"/>
      <c r="M6" s="38"/>
      <c r="N6" s="38"/>
    </row>
    <row r="7" spans="1:15" s="296" customFormat="1" x14ac:dyDescent="0.2">
      <c r="B7" s="38"/>
      <c r="C7" s="38"/>
      <c r="D7" s="38"/>
      <c r="E7" s="38"/>
      <c r="F7" s="38"/>
      <c r="G7" s="38"/>
      <c r="H7" s="38"/>
      <c r="I7" s="38"/>
      <c r="J7" s="38"/>
      <c r="K7" s="38"/>
      <c r="L7" s="38"/>
      <c r="M7" s="38"/>
      <c r="N7" s="38"/>
    </row>
    <row r="8" spans="1:15" s="296" customFormat="1" x14ac:dyDescent="0.2">
      <c r="B8" s="38"/>
      <c r="C8" s="38"/>
      <c r="D8" s="38"/>
      <c r="E8" s="38"/>
      <c r="F8" s="38"/>
      <c r="G8" s="38"/>
      <c r="H8" s="38"/>
      <c r="I8" s="38"/>
      <c r="J8" s="38"/>
      <c r="K8" s="38"/>
      <c r="L8" s="38"/>
      <c r="M8" s="38"/>
      <c r="N8" s="38"/>
    </row>
    <row r="9" spans="1:15" s="296" customFormat="1" x14ac:dyDescent="0.2">
      <c r="B9" s="38"/>
      <c r="C9" s="38"/>
      <c r="D9" s="38"/>
      <c r="E9" s="38"/>
      <c r="F9" s="38"/>
      <c r="G9" s="38"/>
      <c r="H9" s="38"/>
      <c r="I9" s="38"/>
      <c r="J9" s="38"/>
      <c r="K9" s="38"/>
      <c r="L9" s="38"/>
      <c r="M9" s="38"/>
      <c r="N9" s="38"/>
    </row>
    <row r="10" spans="1:15" x14ac:dyDescent="0.2">
      <c r="A10" s="153"/>
      <c r="B10" s="154"/>
      <c r="C10" s="154"/>
      <c r="D10" s="154"/>
      <c r="E10" s="154"/>
      <c r="F10" s="154"/>
      <c r="G10" s="154"/>
      <c r="H10" s="154"/>
      <c r="I10" s="154"/>
      <c r="J10" s="154"/>
      <c r="K10" s="154"/>
      <c r="L10" s="154"/>
      <c r="M10" s="154"/>
      <c r="N10" s="154"/>
      <c r="O10" s="153"/>
    </row>
    <row r="11" spans="1:15" ht="23.25" x14ac:dyDescent="0.35">
      <c r="A11" s="153"/>
      <c r="B11" s="155" t="s">
        <v>121</v>
      </c>
      <c r="C11" s="154"/>
      <c r="D11" s="154"/>
      <c r="E11" s="154"/>
      <c r="F11" s="154"/>
      <c r="G11" s="154"/>
      <c r="H11" s="154"/>
      <c r="I11" s="154"/>
      <c r="J11" s="154"/>
      <c r="K11" s="154"/>
      <c r="L11" s="154"/>
      <c r="M11" s="153"/>
      <c r="N11" s="1"/>
    </row>
    <row r="12" spans="1:15" ht="15" x14ac:dyDescent="0.2">
      <c r="A12" s="153"/>
      <c r="B12" s="42" t="s">
        <v>55</v>
      </c>
      <c r="C12" s="154"/>
      <c r="D12" s="154"/>
      <c r="E12" s="154"/>
      <c r="F12" s="154"/>
      <c r="G12" s="154"/>
      <c r="H12" s="154"/>
      <c r="I12" s="154"/>
      <c r="J12" s="154"/>
      <c r="K12" s="154"/>
      <c r="L12" s="154"/>
      <c r="M12" s="154"/>
      <c r="N12" s="154"/>
      <c r="O12" s="153"/>
    </row>
    <row r="13" spans="1:15" ht="14.25" x14ac:dyDescent="0.2">
      <c r="A13" s="153"/>
      <c r="B13" s="71" t="s">
        <v>182</v>
      </c>
      <c r="C13" s="154"/>
      <c r="D13" s="154"/>
      <c r="E13" s="154"/>
      <c r="F13" s="154"/>
      <c r="G13" s="154"/>
      <c r="H13" s="154"/>
      <c r="I13" s="154"/>
      <c r="J13" s="154"/>
      <c r="K13" s="154"/>
      <c r="L13" s="154"/>
      <c r="M13" s="154"/>
      <c r="N13" s="154"/>
      <c r="O13" s="153"/>
    </row>
    <row r="14" spans="1:15" ht="14.25" x14ac:dyDescent="0.2">
      <c r="A14" s="153"/>
      <c r="B14" s="365" t="s">
        <v>183</v>
      </c>
      <c r="C14" s="154"/>
      <c r="D14" s="154"/>
      <c r="E14" s="154"/>
      <c r="F14" s="154"/>
      <c r="G14" s="154"/>
      <c r="H14" s="154"/>
      <c r="I14" s="154"/>
      <c r="J14" s="154"/>
      <c r="K14" s="154"/>
      <c r="L14" s="154"/>
      <c r="M14" s="154"/>
      <c r="N14" s="154"/>
      <c r="O14" s="153"/>
    </row>
    <row r="15" spans="1:15" x14ac:dyDescent="0.2">
      <c r="A15" s="153"/>
      <c r="B15" s="154"/>
      <c r="C15" s="154"/>
      <c r="D15" s="154"/>
      <c r="E15" s="154"/>
      <c r="F15" s="154"/>
      <c r="G15" s="154"/>
      <c r="H15" s="154"/>
      <c r="I15" s="154"/>
      <c r="J15" s="154"/>
      <c r="K15" s="154"/>
      <c r="L15" s="154"/>
      <c r="M15" s="154"/>
      <c r="N15" s="154"/>
      <c r="O15" s="153"/>
    </row>
    <row r="16" spans="1:15" x14ac:dyDescent="0.2">
      <c r="A16" s="153"/>
      <c r="B16" s="152" t="s">
        <v>1</v>
      </c>
      <c r="C16" s="156" t="s">
        <v>109</v>
      </c>
      <c r="D16" s="156" t="s">
        <v>110</v>
      </c>
      <c r="E16" s="156" t="s">
        <v>111</v>
      </c>
      <c r="F16" s="156" t="s">
        <v>112</v>
      </c>
      <c r="G16" s="156" t="s">
        <v>90</v>
      </c>
      <c r="H16" s="156" t="s">
        <v>113</v>
      </c>
      <c r="I16" s="156" t="s">
        <v>114</v>
      </c>
      <c r="J16" s="156" t="s">
        <v>115</v>
      </c>
      <c r="K16" s="156" t="s">
        <v>116</v>
      </c>
      <c r="L16" s="156" t="s">
        <v>119</v>
      </c>
      <c r="M16" s="156" t="s">
        <v>117</v>
      </c>
      <c r="N16" s="156" t="s">
        <v>118</v>
      </c>
      <c r="O16" s="153"/>
    </row>
    <row r="17" spans="1:26" x14ac:dyDescent="0.2">
      <c r="A17" s="153"/>
      <c r="B17" s="157">
        <f>'1. LDC Info'!F27-8</f>
        <v>2011</v>
      </c>
      <c r="C17" s="288">
        <v>678.00000000000011</v>
      </c>
      <c r="D17" s="288">
        <v>578.5</v>
      </c>
      <c r="E17" s="288">
        <v>527.44999999999993</v>
      </c>
      <c r="F17" s="288">
        <v>342.59999999999997</v>
      </c>
      <c r="G17" s="288">
        <v>187.09999999999997</v>
      </c>
      <c r="H17" s="288">
        <v>21.9</v>
      </c>
      <c r="I17" s="288">
        <v>0</v>
      </c>
      <c r="J17" s="288">
        <v>0</v>
      </c>
      <c r="K17" s="288">
        <v>26.900000000000002</v>
      </c>
      <c r="L17" s="288">
        <v>185.7</v>
      </c>
      <c r="M17" s="288">
        <v>284.90000000000009</v>
      </c>
      <c r="N17" s="288">
        <v>463.7</v>
      </c>
      <c r="O17" s="153"/>
      <c r="Z17" s="137" t="inlineStr">
        <is>
          <t/>
        </is>
      </c>
    </row>
    <row r="18" spans="1:26" x14ac:dyDescent="0.2">
      <c r="A18" s="153"/>
      <c r="B18" s="157">
        <f>'1. LDC Info'!F27-7</f>
        <v>2012</v>
      </c>
      <c r="C18" s="288">
        <v>554.40000000000009</v>
      </c>
      <c r="D18" s="288">
        <v>482.39999999999992</v>
      </c>
      <c r="E18" s="288">
        <v>366.69999999999993</v>
      </c>
      <c r="F18" s="288">
        <v>296.29999999999995</v>
      </c>
      <c r="G18" s="288">
        <v>99.499999999999957</v>
      </c>
      <c r="H18" s="288">
        <v>18.899999999999999</v>
      </c>
      <c r="I18" s="288">
        <v>0</v>
      </c>
      <c r="J18" s="288">
        <v>0</v>
      </c>
      <c r="K18" s="288">
        <v>37.9</v>
      </c>
      <c r="L18" s="288">
        <v>191.9</v>
      </c>
      <c r="M18" s="288">
        <v>381.9</v>
      </c>
      <c r="N18" s="288">
        <v>462.50000000000006</v>
      </c>
      <c r="O18" s="153"/>
      <c r="Z18" s="137" t="inlineStr">
        <is>
          <t/>
        </is>
      </c>
    </row>
    <row r="19" spans="1:26" x14ac:dyDescent="0.2">
      <c r="A19" s="153"/>
      <c r="B19" s="157">
        <f>'1. LDC Info'!F27-6</f>
        <v>2013</v>
      </c>
      <c r="C19" s="288">
        <v>556.39999999999986</v>
      </c>
      <c r="D19" s="288">
        <v>565.9</v>
      </c>
      <c r="E19" s="288">
        <v>508.7000000000001</v>
      </c>
      <c r="F19" s="288">
        <v>341.29999999999995</v>
      </c>
      <c r="G19" s="288">
        <v>150.35</v>
      </c>
      <c r="H19" s="288">
        <v>44.300000000000011</v>
      </c>
      <c r="I19" s="288">
        <v>3.2</v>
      </c>
      <c r="J19" s="288">
        <v>0</v>
      </c>
      <c r="K19" s="288">
        <v>51.6</v>
      </c>
      <c r="L19" s="288">
        <v>159.94999999999999</v>
      </c>
      <c r="M19" s="288">
        <v>416.30000000000007</v>
      </c>
      <c r="N19" s="288">
        <v>608.49999999999989</v>
      </c>
      <c r="O19" s="153"/>
    </row>
    <row r="20" spans="1:26" x14ac:dyDescent="0.2">
      <c r="A20" s="153"/>
      <c r="B20" s="157">
        <f>'1. LDC Info'!F27-5</f>
        <v>2014</v>
      </c>
      <c r="C20" s="288">
        <v>727.8</v>
      </c>
      <c r="D20" s="288">
        <v>648.10000000000014</v>
      </c>
      <c r="E20" s="288">
        <v>636.19999999999993</v>
      </c>
      <c r="F20" s="288">
        <v>356.6</v>
      </c>
      <c r="G20" s="288">
        <v>174.7</v>
      </c>
      <c r="H20" s="288">
        <v>26.999999999999996</v>
      </c>
      <c r="I20" s="288">
        <v>0.6</v>
      </c>
      <c r="J20" s="288">
        <v>0.89999999999999991</v>
      </c>
      <c r="K20" s="288">
        <v>46.400000000000006</v>
      </c>
      <c r="L20" s="288">
        <v>173.7</v>
      </c>
      <c r="M20" s="288">
        <v>416</v>
      </c>
      <c r="N20" s="288">
        <v>509.75000000000011</v>
      </c>
      <c r="O20" s="153"/>
    </row>
    <row r="21" spans="1:26" x14ac:dyDescent="0.2">
      <c r="A21" s="153"/>
      <c r="B21" s="157">
        <f>'1. LDC Info'!F27-4</f>
        <v>2015</v>
      </c>
      <c r="C21" s="288">
        <v>696.24999999999989</v>
      </c>
      <c r="D21" s="288">
        <v>776.40000000000009</v>
      </c>
      <c r="E21" s="288">
        <v>596.9</v>
      </c>
      <c r="F21" s="288">
        <v>325.89999999999998</v>
      </c>
      <c r="G21" s="288">
        <v>131.80000000000004</v>
      </c>
      <c r="H21" s="288">
        <v>61.199999999999996</v>
      </c>
      <c r="I21" s="288">
        <v>2.6</v>
      </c>
      <c r="J21" s="288">
        <v>2.2000000000000002</v>
      </c>
      <c r="K21" s="288">
        <v>17.099999999999998</v>
      </c>
      <c r="L21" s="288">
        <v>186.04999999999998</v>
      </c>
      <c r="M21" s="288">
        <v>284.45</v>
      </c>
      <c r="N21" s="288">
        <v>372.95000000000005</v>
      </c>
      <c r="O21" s="153"/>
    </row>
    <row r="22" spans="1:26" x14ac:dyDescent="0.2">
      <c r="A22" s="153"/>
      <c r="B22" s="157">
        <f>'1. LDC Info'!F27-3</f>
        <v>2016</v>
      </c>
      <c r="C22" s="288">
        <v>597.25000000000011</v>
      </c>
      <c r="D22" s="288">
        <v>537.4</v>
      </c>
      <c r="E22" s="288">
        <v>444.59999999999997</v>
      </c>
      <c r="F22" s="288">
        <v>373.25000000000006</v>
      </c>
      <c r="G22" s="288">
        <v>157.94999999999996</v>
      </c>
      <c r="H22" s="288">
        <v>19.100000000000001</v>
      </c>
      <c r="I22" s="288">
        <v>0</v>
      </c>
      <c r="J22" s="288">
        <v>0</v>
      </c>
      <c r="K22" s="288">
        <v>14.400000000000002</v>
      </c>
      <c r="L22" s="288">
        <v>141.90000000000003</v>
      </c>
      <c r="M22" s="288">
        <v>270.5</v>
      </c>
      <c r="N22" s="288">
        <v>540.9</v>
      </c>
      <c r="O22" s="153"/>
    </row>
    <row r="23" spans="1:26" x14ac:dyDescent="0.2">
      <c r="A23" s="153"/>
      <c r="B23" s="157">
        <f>'1. LDC Info'!F27-2</f>
        <v>2017</v>
      </c>
      <c r="C23" s="288">
        <v>556.5</v>
      </c>
      <c r="D23" s="288">
        <v>468.50000000000006</v>
      </c>
      <c r="E23" s="288">
        <v>528.4</v>
      </c>
      <c r="F23" s="288">
        <v>273.05</v>
      </c>
      <c r="G23" s="288">
        <v>181.8</v>
      </c>
      <c r="H23" s="288">
        <v>27.000000000000004</v>
      </c>
      <c r="I23" s="288">
        <v>0</v>
      </c>
      <c r="J23" s="288">
        <v>0.3</v>
      </c>
      <c r="K23" s="288">
        <v>25.099999999999994</v>
      </c>
      <c r="L23" s="288">
        <v>94.7</v>
      </c>
      <c r="M23" s="288">
        <v>383.84999999999991</v>
      </c>
      <c r="N23" s="288">
        <v>617.19999999999993</v>
      </c>
      <c r="O23" s="153"/>
    </row>
    <row r="24" spans="1:26" x14ac:dyDescent="0.2">
      <c r="A24" s="153"/>
      <c r="O24" s="153"/>
    </row>
    <row r="25" spans="1:26" x14ac:dyDescent="0.2">
      <c r="A25" s="153"/>
      <c r="B25" s="158"/>
      <c r="C25" s="154"/>
      <c r="D25" s="154"/>
      <c r="E25" s="154"/>
      <c r="F25" s="154"/>
      <c r="G25" s="154"/>
      <c r="H25" s="154"/>
      <c r="I25" s="154"/>
      <c r="J25" s="154"/>
      <c r="K25" s="154"/>
      <c r="L25" s="154"/>
      <c r="M25" s="154"/>
      <c r="N25" s="154"/>
      <c r="O25" s="153"/>
    </row>
    <row r="26" spans="1:26" x14ac:dyDescent="0.2">
      <c r="A26" s="153"/>
      <c r="B26" s="152" t="s">
        <v>2</v>
      </c>
      <c r="C26" s="156" t="s">
        <v>109</v>
      </c>
      <c r="D26" s="156" t="s">
        <v>110</v>
      </c>
      <c r="E26" s="156" t="s">
        <v>111</v>
      </c>
      <c r="F26" s="156" t="s">
        <v>112</v>
      </c>
      <c r="G26" s="156" t="s">
        <v>90</v>
      </c>
      <c r="H26" s="156" t="s">
        <v>113</v>
      </c>
      <c r="I26" s="156" t="s">
        <v>114</v>
      </c>
      <c r="J26" s="156" t="s">
        <v>115</v>
      </c>
      <c r="K26" s="156" t="s">
        <v>116</v>
      </c>
      <c r="L26" s="156" t="s">
        <v>119</v>
      </c>
      <c r="M26" s="156" t="s">
        <v>117</v>
      </c>
      <c r="N26" s="156" t="s">
        <v>118</v>
      </c>
      <c r="O26" s="153"/>
    </row>
    <row r="27" spans="1:26" x14ac:dyDescent="0.2">
      <c r="A27" s="153"/>
      <c r="B27" s="159">
        <f t="shared" ref="B27:B33" si="0">B17</f>
        <v>2011</v>
      </c>
      <c r="C27" s="288">
        <v>0</v>
      </c>
      <c r="D27" s="288">
        <v>0</v>
      </c>
      <c r="E27" s="288">
        <v>0</v>
      </c>
      <c r="F27" s="288">
        <v>0</v>
      </c>
      <c r="G27" s="288">
        <v>4.0999999999999996</v>
      </c>
      <c r="H27" s="288">
        <v>41.8</v>
      </c>
      <c r="I27" s="288">
        <v>196.89999999999998</v>
      </c>
      <c r="J27" s="288">
        <v>146.29999999999995</v>
      </c>
      <c r="K27" s="288">
        <v>39.9</v>
      </c>
      <c r="L27" s="288">
        <v>4.2</v>
      </c>
      <c r="M27" s="288">
        <v>0</v>
      </c>
      <c r="N27" s="288">
        <v>0</v>
      </c>
      <c r="O27" s="153"/>
    </row>
    <row r="28" spans="1:26" x14ac:dyDescent="0.2">
      <c r="A28" s="153"/>
      <c r="B28" s="159">
        <f t="shared" si="0"/>
        <v>2012</v>
      </c>
      <c r="C28" s="288">
        <v>0</v>
      </c>
      <c r="D28" s="288">
        <v>0</v>
      </c>
      <c r="E28" s="288">
        <v>0</v>
      </c>
      <c r="F28" s="288">
        <v>0</v>
      </c>
      <c r="G28" s="288">
        <v>22.400000000000002</v>
      </c>
      <c r="H28" s="288">
        <v>105.60000000000001</v>
      </c>
      <c r="I28" s="288">
        <v>203.49999999999997</v>
      </c>
      <c r="J28" s="288">
        <v>148.69999999999999</v>
      </c>
      <c r="K28" s="288">
        <v>50.29999999999999</v>
      </c>
      <c r="L28" s="288">
        <v>2.6</v>
      </c>
      <c r="M28" s="288">
        <v>0</v>
      </c>
      <c r="N28" s="288">
        <v>0</v>
      </c>
      <c r="O28" s="153"/>
    </row>
    <row r="29" spans="1:26" x14ac:dyDescent="0.2">
      <c r="A29" s="153"/>
      <c r="B29" s="159">
        <f t="shared" si="0"/>
        <v>2013</v>
      </c>
      <c r="C29" s="288">
        <v>0</v>
      </c>
      <c r="D29" s="288">
        <v>0</v>
      </c>
      <c r="E29" s="288">
        <v>0</v>
      </c>
      <c r="F29" s="288">
        <v>0</v>
      </c>
      <c r="G29" s="288">
        <v>12.15</v>
      </c>
      <c r="H29" s="288">
        <v>47.499999999999993</v>
      </c>
      <c r="I29" s="288">
        <v>139.5</v>
      </c>
      <c r="J29" s="288">
        <v>106.4</v>
      </c>
      <c r="K29" s="288">
        <v>34.399999999999991</v>
      </c>
      <c r="L29" s="288">
        <v>4.8</v>
      </c>
      <c r="M29" s="288">
        <v>0</v>
      </c>
      <c r="N29" s="288">
        <v>0</v>
      </c>
      <c r="O29" s="153"/>
    </row>
    <row r="30" spans="1:26" x14ac:dyDescent="0.2">
      <c r="A30" s="153"/>
      <c r="B30" s="159">
        <f t="shared" si="0"/>
        <v>2014</v>
      </c>
      <c r="C30" s="288">
        <v>0</v>
      </c>
      <c r="D30" s="288">
        <v>0</v>
      </c>
      <c r="E30" s="288">
        <v>0</v>
      </c>
      <c r="F30" s="288">
        <v>0</v>
      </c>
      <c r="G30" s="288">
        <v>3</v>
      </c>
      <c r="H30" s="288">
        <v>39.099999999999994</v>
      </c>
      <c r="I30" s="288">
        <v>78.399999999999991</v>
      </c>
      <c r="J30" s="288">
        <v>88.100000000000023</v>
      </c>
      <c r="K30" s="288">
        <v>42.300000000000004</v>
      </c>
      <c r="L30" s="288">
        <v>5.6999999999999993</v>
      </c>
      <c r="M30" s="288">
        <v>0</v>
      </c>
      <c r="N30" s="288">
        <v>0</v>
      </c>
      <c r="O30" s="153"/>
    </row>
    <row r="31" spans="1:26" x14ac:dyDescent="0.2">
      <c r="A31" s="153"/>
      <c r="B31" s="159">
        <f t="shared" si="0"/>
        <v>2015</v>
      </c>
      <c r="C31" s="288">
        <v>0</v>
      </c>
      <c r="D31" s="288">
        <v>0</v>
      </c>
      <c r="E31" s="288">
        <v>0</v>
      </c>
      <c r="F31" s="288">
        <v>0</v>
      </c>
      <c r="G31" s="288">
        <v>9.75</v>
      </c>
      <c r="H31" s="288">
        <v>19.499999999999996</v>
      </c>
      <c r="I31" s="288">
        <v>121.2</v>
      </c>
      <c r="J31" s="288">
        <v>104.30000000000001</v>
      </c>
      <c r="K31" s="288">
        <v>83.999999999999986</v>
      </c>
      <c r="L31" s="288">
        <v>1.8</v>
      </c>
      <c r="M31" s="288">
        <v>0</v>
      </c>
      <c r="N31" s="288">
        <v>0</v>
      </c>
      <c r="O31" s="153"/>
    </row>
    <row r="32" spans="1:26" x14ac:dyDescent="0.2">
      <c r="A32" s="153"/>
      <c r="B32" s="159">
        <f t="shared" si="0"/>
        <v>2016</v>
      </c>
      <c r="C32" s="288">
        <v>0</v>
      </c>
      <c r="D32" s="288">
        <v>0</v>
      </c>
      <c r="E32" s="288">
        <v>0</v>
      </c>
      <c r="F32" s="288">
        <v>0</v>
      </c>
      <c r="G32" s="288">
        <v>31</v>
      </c>
      <c r="H32" s="288">
        <v>67.100000000000009</v>
      </c>
      <c r="I32" s="288">
        <v>166.6</v>
      </c>
      <c r="J32" s="288">
        <v>198.84999999999997</v>
      </c>
      <c r="K32" s="288">
        <v>88.799999999999983</v>
      </c>
      <c r="L32" s="288">
        <v>12.350000000000001</v>
      </c>
      <c r="M32" s="288">
        <v>0</v>
      </c>
      <c r="N32" s="288">
        <v>0</v>
      </c>
      <c r="O32" s="153"/>
    </row>
    <row r="33" spans="1:15" x14ac:dyDescent="0.2">
      <c r="A33" s="153"/>
      <c r="B33" s="159">
        <f t="shared" si="0"/>
        <v>2017</v>
      </c>
      <c r="C33" s="288">
        <v>0</v>
      </c>
      <c r="D33" s="288">
        <v>0</v>
      </c>
      <c r="E33" s="288">
        <v>0</v>
      </c>
      <c r="F33" s="288">
        <v>0</v>
      </c>
      <c r="G33" s="288">
        <v>2.8000000000000003</v>
      </c>
      <c r="H33" s="288">
        <v>62.800000000000004</v>
      </c>
      <c r="I33" s="288">
        <v>111.60000000000002</v>
      </c>
      <c r="J33" s="288">
        <v>102</v>
      </c>
      <c r="K33" s="288">
        <v>59.5</v>
      </c>
      <c r="L33" s="288">
        <v>14.9</v>
      </c>
      <c r="M33" s="288">
        <v>0</v>
      </c>
      <c r="N33" s="288">
        <v>0</v>
      </c>
      <c r="O33" s="153"/>
    </row>
    <row r="34" spans="1:15" x14ac:dyDescent="0.2">
      <c r="A34" s="153"/>
      <c r="B34" s="154"/>
      <c r="C34" s="154"/>
      <c r="D34" s="154"/>
      <c r="E34" s="154"/>
      <c r="F34" s="154"/>
      <c r="G34" s="154"/>
      <c r="H34" s="154"/>
      <c r="I34" s="154"/>
      <c r="J34" s="154"/>
      <c r="K34" s="154"/>
      <c r="L34" s="154"/>
      <c r="M34" s="154"/>
      <c r="N34" s="154"/>
      <c r="O34" s="153"/>
    </row>
    <row r="35" spans="1:15" x14ac:dyDescent="0.2">
      <c r="A35" s="153"/>
      <c r="B35" s="154"/>
      <c r="C35" s="154"/>
      <c r="D35" s="154"/>
      <c r="E35" s="154"/>
      <c r="F35" s="154"/>
      <c r="G35" s="154"/>
      <c r="H35" s="154"/>
      <c r="I35" s="154"/>
      <c r="J35" s="154"/>
      <c r="K35" s="154"/>
      <c r="L35" s="154"/>
      <c r="M35" s="154"/>
      <c r="N35" s="154"/>
      <c r="O35" s="153"/>
    </row>
    <row r="36" spans="1:15" x14ac:dyDescent="0.2">
      <c r="A36" s="153"/>
      <c r="B36" s="160" t="s">
        <v>243</v>
      </c>
      <c r="C36" s="154"/>
      <c r="D36" s="154"/>
      <c r="E36" s="154"/>
      <c r="F36" s="154"/>
      <c r="G36" s="154"/>
      <c r="H36" s="154"/>
      <c r="I36" s="154"/>
      <c r="J36" s="154"/>
      <c r="K36" s="154"/>
      <c r="L36" s="154"/>
      <c r="M36" s="154"/>
      <c r="N36" s="154"/>
      <c r="O36" s="153"/>
    </row>
    <row r="37" spans="1:15" x14ac:dyDescent="0.2">
      <c r="A37" s="153"/>
      <c r="B37" s="153"/>
      <c r="C37" s="156" t="s">
        <v>109</v>
      </c>
      <c r="D37" s="156" t="s">
        <v>110</v>
      </c>
      <c r="E37" s="156" t="s">
        <v>111</v>
      </c>
      <c r="F37" s="156" t="s">
        <v>112</v>
      </c>
      <c r="G37" s="156" t="s">
        <v>90</v>
      </c>
      <c r="H37" s="156" t="s">
        <v>113</v>
      </c>
      <c r="I37" s="156" t="s">
        <v>114</v>
      </c>
      <c r="J37" s="156" t="s">
        <v>115</v>
      </c>
      <c r="K37" s="156" t="s">
        <v>116</v>
      </c>
      <c r="L37" s="156" t="s">
        <v>119</v>
      </c>
      <c r="M37" s="156" t="s">
        <v>117</v>
      </c>
      <c r="N37" s="156" t="s">
        <v>118</v>
      </c>
      <c r="O37" s="153"/>
    </row>
    <row r="38" spans="1:15" x14ac:dyDescent="0.2">
      <c r="A38" s="153"/>
      <c r="B38" s="157">
        <f t="shared" ref="B38:B44" si="1">B27</f>
        <v>2011</v>
      </c>
      <c r="C38" s="483">
        <v>9.1199999999999992</v>
      </c>
      <c r="D38" s="483">
        <v>10.199999999999999</v>
      </c>
      <c r="E38" s="483">
        <v>11.5</v>
      </c>
      <c r="F38" s="483">
        <v>13.26</v>
      </c>
      <c r="G38" s="483">
        <v>14.47</v>
      </c>
      <c r="H38" s="483">
        <v>15.3</v>
      </c>
      <c r="I38" s="483">
        <v>15.11</v>
      </c>
      <c r="J38" s="483">
        <v>14</v>
      </c>
      <c r="K38" s="483">
        <v>12.27</v>
      </c>
      <c r="L38" s="483">
        <v>10.52</v>
      </c>
      <c r="M38" s="483">
        <v>9.31</v>
      </c>
      <c r="N38" s="483">
        <v>8.5</v>
      </c>
      <c r="O38" s="153"/>
    </row>
    <row r="39" spans="1:15" x14ac:dyDescent="0.2">
      <c r="A39" s="153"/>
      <c r="B39" s="157">
        <f t="shared" si="1"/>
        <v>2012</v>
      </c>
      <c r="C39" s="483">
        <v>9.1199999999999992</v>
      </c>
      <c r="D39" s="483">
        <v>10.199999999999999</v>
      </c>
      <c r="E39" s="483">
        <v>11.5</v>
      </c>
      <c r="F39" s="483">
        <v>13.26</v>
      </c>
      <c r="G39" s="483">
        <v>14.47</v>
      </c>
      <c r="H39" s="483">
        <v>15.3</v>
      </c>
      <c r="I39" s="483">
        <v>15.11</v>
      </c>
      <c r="J39" s="483">
        <v>14</v>
      </c>
      <c r="K39" s="483">
        <v>12.27</v>
      </c>
      <c r="L39" s="483">
        <v>10.52</v>
      </c>
      <c r="M39" s="483">
        <v>9.31</v>
      </c>
      <c r="N39" s="483">
        <v>8.5</v>
      </c>
      <c r="O39" s="153"/>
    </row>
    <row r="40" spans="1:15" x14ac:dyDescent="0.2">
      <c r="A40" s="153"/>
      <c r="B40" s="157">
        <f t="shared" si="1"/>
        <v>2013</v>
      </c>
      <c r="C40" s="483">
        <v>9.1199999999999992</v>
      </c>
      <c r="D40" s="483">
        <v>10.199999999999999</v>
      </c>
      <c r="E40" s="483">
        <v>11.5</v>
      </c>
      <c r="F40" s="483">
        <v>13.26</v>
      </c>
      <c r="G40" s="483">
        <v>14.47</v>
      </c>
      <c r="H40" s="483">
        <v>15.3</v>
      </c>
      <c r="I40" s="483">
        <v>15.11</v>
      </c>
      <c r="J40" s="483">
        <v>14</v>
      </c>
      <c r="K40" s="483">
        <v>12.27</v>
      </c>
      <c r="L40" s="483">
        <v>10.52</v>
      </c>
      <c r="M40" s="483">
        <v>9.31</v>
      </c>
      <c r="N40" s="483">
        <v>8.5</v>
      </c>
      <c r="O40" s="153"/>
    </row>
    <row r="41" spans="1:15" x14ac:dyDescent="0.2">
      <c r="A41" s="153"/>
      <c r="B41" s="157">
        <f t="shared" si="1"/>
        <v>2014</v>
      </c>
      <c r="C41" s="483">
        <v>9.1199999999999992</v>
      </c>
      <c r="D41" s="483">
        <v>10.199999999999999</v>
      </c>
      <c r="E41" s="483">
        <v>11.5</v>
      </c>
      <c r="F41" s="483">
        <v>13.26</v>
      </c>
      <c r="G41" s="483">
        <v>14.47</v>
      </c>
      <c r="H41" s="483">
        <v>15.3</v>
      </c>
      <c r="I41" s="483">
        <v>15.11</v>
      </c>
      <c r="J41" s="483">
        <v>14</v>
      </c>
      <c r="K41" s="483">
        <v>12.27</v>
      </c>
      <c r="L41" s="483">
        <v>10.52</v>
      </c>
      <c r="M41" s="483">
        <v>9.31</v>
      </c>
      <c r="N41" s="483">
        <v>8.5</v>
      </c>
      <c r="O41" s="153"/>
    </row>
    <row r="42" spans="1:15" x14ac:dyDescent="0.2">
      <c r="A42" s="153"/>
      <c r="B42" s="157">
        <f t="shared" si="1"/>
        <v>2015</v>
      </c>
      <c r="C42" s="483">
        <v>9.1199999999999992</v>
      </c>
      <c r="D42" s="483">
        <v>10.199999999999999</v>
      </c>
      <c r="E42" s="483">
        <v>11.5</v>
      </c>
      <c r="F42" s="483">
        <v>13.26</v>
      </c>
      <c r="G42" s="483">
        <v>14.47</v>
      </c>
      <c r="H42" s="483">
        <v>15.3</v>
      </c>
      <c r="I42" s="483">
        <v>15.11</v>
      </c>
      <c r="J42" s="483">
        <v>14</v>
      </c>
      <c r="K42" s="483">
        <v>12.27</v>
      </c>
      <c r="L42" s="483">
        <v>10.52</v>
      </c>
      <c r="M42" s="483">
        <v>9.31</v>
      </c>
      <c r="N42" s="483">
        <v>8.5</v>
      </c>
      <c r="O42" s="153"/>
    </row>
    <row r="43" spans="1:15" x14ac:dyDescent="0.2">
      <c r="A43" s="153"/>
      <c r="B43" s="157">
        <f t="shared" si="1"/>
        <v>2016</v>
      </c>
      <c r="C43" s="483">
        <v>9.1199999999999992</v>
      </c>
      <c r="D43" s="483">
        <v>10.199999999999999</v>
      </c>
      <c r="E43" s="483">
        <v>11.5</v>
      </c>
      <c r="F43" s="483">
        <v>13.26</v>
      </c>
      <c r="G43" s="483">
        <v>14.47</v>
      </c>
      <c r="H43" s="483">
        <v>15.3</v>
      </c>
      <c r="I43" s="483">
        <v>15.11</v>
      </c>
      <c r="J43" s="483">
        <v>14</v>
      </c>
      <c r="K43" s="483">
        <v>12.27</v>
      </c>
      <c r="L43" s="483">
        <v>10.52</v>
      </c>
      <c r="M43" s="483">
        <v>9.31</v>
      </c>
      <c r="N43" s="483">
        <v>8.5</v>
      </c>
      <c r="O43" s="153"/>
    </row>
    <row r="44" spans="1:15" x14ac:dyDescent="0.2">
      <c r="A44" s="153"/>
      <c r="B44" s="157">
        <f t="shared" si="1"/>
        <v>2017</v>
      </c>
      <c r="C44" s="483">
        <v>9.1199999999999992</v>
      </c>
      <c r="D44" s="483">
        <v>10.199999999999999</v>
      </c>
      <c r="E44" s="483">
        <v>11.5</v>
      </c>
      <c r="F44" s="483">
        <v>13.26</v>
      </c>
      <c r="G44" s="483">
        <v>14.47</v>
      </c>
      <c r="H44" s="483">
        <v>15.3</v>
      </c>
      <c r="I44" s="483">
        <v>15.11</v>
      </c>
      <c r="J44" s="483">
        <v>14</v>
      </c>
      <c r="K44" s="483">
        <v>12.27</v>
      </c>
      <c r="L44" s="483">
        <v>10.52</v>
      </c>
      <c r="M44" s="483">
        <v>9.31</v>
      </c>
      <c r="N44" s="483">
        <v>8.5</v>
      </c>
      <c r="O44" s="153"/>
    </row>
    <row r="45" spans="1:15" x14ac:dyDescent="0.2">
      <c r="A45" s="153"/>
      <c r="B45" s="154"/>
      <c r="C45" s="154"/>
      <c r="D45" s="154"/>
      <c r="E45" s="154"/>
      <c r="F45" s="154"/>
      <c r="G45" s="154"/>
      <c r="H45" s="154"/>
      <c r="I45" s="154"/>
      <c r="J45" s="154"/>
      <c r="K45" s="154"/>
      <c r="L45" s="154"/>
      <c r="M45" s="154"/>
      <c r="N45" s="154"/>
      <c r="O45" s="153"/>
    </row>
    <row r="46" spans="1:15" x14ac:dyDescent="0.2">
      <c r="A46" s="153"/>
      <c r="B46" s="154"/>
      <c r="C46" s="154"/>
      <c r="D46" s="154"/>
      <c r="E46" s="154"/>
      <c r="F46" s="154"/>
      <c r="G46" s="154"/>
      <c r="H46" s="154"/>
      <c r="I46" s="154"/>
      <c r="J46" s="154"/>
      <c r="K46" s="154"/>
      <c r="L46" s="154"/>
      <c r="M46" s="154"/>
      <c r="N46" s="154"/>
      <c r="O46" s="153"/>
    </row>
    <row r="47" spans="1:15" x14ac:dyDescent="0.2">
      <c r="A47" s="153"/>
      <c r="B47" s="160" t="s">
        <v>244</v>
      </c>
      <c r="C47" s="154"/>
      <c r="D47" s="154"/>
      <c r="E47" s="154"/>
      <c r="F47" s="154"/>
      <c r="G47" s="154"/>
      <c r="H47" s="154"/>
      <c r="I47" s="154"/>
      <c r="J47" s="154"/>
      <c r="K47" s="154"/>
      <c r="L47" s="154"/>
      <c r="M47" s="154"/>
      <c r="N47" s="154"/>
      <c r="O47" s="153"/>
    </row>
    <row r="48" spans="1:15" x14ac:dyDescent="0.2">
      <c r="A48" s="153"/>
      <c r="B48" s="153"/>
      <c r="C48" s="156" t="s">
        <v>109</v>
      </c>
      <c r="D48" s="156" t="s">
        <v>110</v>
      </c>
      <c r="E48" s="156" t="s">
        <v>111</v>
      </c>
      <c r="F48" s="156" t="s">
        <v>112</v>
      </c>
      <c r="G48" s="156" t="s">
        <v>90</v>
      </c>
      <c r="H48" s="156" t="s">
        <v>113</v>
      </c>
      <c r="I48" s="156" t="s">
        <v>114</v>
      </c>
      <c r="J48" s="156" t="s">
        <v>115</v>
      </c>
      <c r="K48" s="156" t="s">
        <v>116</v>
      </c>
      <c r="L48" s="156" t="s">
        <v>119</v>
      </c>
      <c r="M48" s="156" t="s">
        <v>117</v>
      </c>
      <c r="N48" s="156" t="s">
        <v>118</v>
      </c>
      <c r="O48" s="153"/>
    </row>
    <row r="49" spans="1:15" x14ac:dyDescent="0.2">
      <c r="A49" s="153"/>
      <c r="B49" s="157">
        <f t="shared" ref="B49:B55" si="2">B38</f>
        <v>2011</v>
      </c>
      <c r="C49" s="290">
        <f>+'3. Consumption by Rate Class'!$S$25</f>
        <v>7891</v>
      </c>
      <c r="D49" s="291">
        <f>+'3. Consumption by Rate Class'!$S$26</f>
        <v>7898.5</v>
      </c>
      <c r="E49" s="291">
        <f>+'3. Consumption by Rate Class'!$S$27</f>
        <v>7902</v>
      </c>
      <c r="F49" s="291">
        <f>+'3. Consumption by Rate Class'!$S$28</f>
        <v>7910.5</v>
      </c>
      <c r="G49" s="291">
        <f>+'3. Consumption by Rate Class'!$S$29</f>
        <v>7919</v>
      </c>
      <c r="H49" s="291">
        <f>+'3. Consumption by Rate Class'!$S$30</f>
        <v>7928</v>
      </c>
      <c r="I49" s="291">
        <f>+'3. Consumption by Rate Class'!$S$31</f>
        <v>7942.5</v>
      </c>
      <c r="J49" s="291">
        <f>+'3. Consumption by Rate Class'!$S$32</f>
        <v>7966.5</v>
      </c>
      <c r="K49" s="291">
        <f>+'3. Consumption by Rate Class'!$S$33</f>
        <v>7987</v>
      </c>
      <c r="L49" s="291">
        <f>+'3. Consumption by Rate Class'!$S$34</f>
        <v>7999</v>
      </c>
      <c r="M49" s="291">
        <f>+'3. Consumption by Rate Class'!$S$35</f>
        <v>8013</v>
      </c>
      <c r="N49" s="291">
        <f>+'3. Consumption by Rate Class'!$S$36</f>
        <v>8029</v>
      </c>
      <c r="O49" s="153"/>
    </row>
    <row r="50" spans="1:15" x14ac:dyDescent="0.2">
      <c r="A50" s="153"/>
      <c r="B50" s="157">
        <f t="shared" si="2"/>
        <v>2012</v>
      </c>
      <c r="C50" s="291">
        <f>+'3. Consumption by Rate Class'!$S$37</f>
        <v>8038.5</v>
      </c>
      <c r="D50" s="291">
        <f>+'3. Consumption by Rate Class'!$S$38</f>
        <v>8048.5</v>
      </c>
      <c r="E50" s="291">
        <f>+'3. Consumption by Rate Class'!$S$39</f>
        <v>8061.5</v>
      </c>
      <c r="F50" s="291">
        <f>+'3. Consumption by Rate Class'!$S$40</f>
        <v>8072</v>
      </c>
      <c r="G50" s="291">
        <f>+'3. Consumption by Rate Class'!$S$41</f>
        <v>8082</v>
      </c>
      <c r="H50" s="291">
        <f>+'3. Consumption by Rate Class'!$S$42</f>
        <v>8093.5</v>
      </c>
      <c r="I50" s="291">
        <f>+'3. Consumption by Rate Class'!$S$43</f>
        <v>8105</v>
      </c>
      <c r="J50" s="291">
        <f>+'3. Consumption by Rate Class'!$S$44</f>
        <v>8121.5</v>
      </c>
      <c r="K50" s="291">
        <f>+'3. Consumption by Rate Class'!$S$45</f>
        <v>8133</v>
      </c>
      <c r="L50" s="291">
        <f>+'3. Consumption by Rate Class'!$S$46</f>
        <v>8143.5</v>
      </c>
      <c r="M50" s="291">
        <f>+'3. Consumption by Rate Class'!$S$47</f>
        <v>8160</v>
      </c>
      <c r="N50" s="291">
        <f>+'3. Consumption by Rate Class'!$S$48</f>
        <v>8176</v>
      </c>
      <c r="O50" s="153"/>
    </row>
    <row r="51" spans="1:15" x14ac:dyDescent="0.2">
      <c r="A51" s="153"/>
      <c r="B51" s="157">
        <f t="shared" si="2"/>
        <v>2013</v>
      </c>
      <c r="C51" s="291">
        <f>+'3. Consumption by Rate Class'!$S$49</f>
        <v>8190</v>
      </c>
      <c r="D51" s="291">
        <f>+'3. Consumption by Rate Class'!$S$50</f>
        <v>8195.5</v>
      </c>
      <c r="E51" s="291">
        <f>+'3. Consumption by Rate Class'!$S$51</f>
        <v>8202</v>
      </c>
      <c r="F51" s="291">
        <f>+'3. Consumption by Rate Class'!$S$52</f>
        <v>8210</v>
      </c>
      <c r="G51" s="291">
        <f>+'3. Consumption by Rate Class'!$S$53</f>
        <v>8222.5</v>
      </c>
      <c r="H51" s="291">
        <f>+'3. Consumption by Rate Class'!$S$54</f>
        <v>8239</v>
      </c>
      <c r="I51" s="291">
        <f>+'3. Consumption by Rate Class'!$S$55</f>
        <v>8250.5</v>
      </c>
      <c r="J51" s="291">
        <f>+'3. Consumption by Rate Class'!$S$56</f>
        <v>8267.5</v>
      </c>
      <c r="K51" s="291">
        <f>+'3. Consumption by Rate Class'!$S$57</f>
        <v>8281.5</v>
      </c>
      <c r="L51" s="291">
        <f>+'3. Consumption by Rate Class'!$S$58</f>
        <v>8294.5</v>
      </c>
      <c r="M51" s="291">
        <f>+'3. Consumption by Rate Class'!$S$59</f>
        <v>8314.5</v>
      </c>
      <c r="N51" s="291">
        <f>+'3. Consumption by Rate Class'!$S$60</f>
        <v>8349</v>
      </c>
      <c r="O51" s="153"/>
    </row>
    <row r="52" spans="1:15" x14ac:dyDescent="0.2">
      <c r="A52" s="153"/>
      <c r="B52" s="157">
        <f t="shared" si="2"/>
        <v>2014</v>
      </c>
      <c r="C52" s="291">
        <f>+'3. Consumption by Rate Class'!$S$61</f>
        <v>8419</v>
      </c>
      <c r="D52" s="291">
        <f>+'3. Consumption by Rate Class'!$S$62</f>
        <v>8462</v>
      </c>
      <c r="E52" s="291">
        <f>+'3. Consumption by Rate Class'!$S$63</f>
        <v>8471</v>
      </c>
      <c r="F52" s="291">
        <f>+'3. Consumption by Rate Class'!$S$64</f>
        <v>8495.5</v>
      </c>
      <c r="G52" s="291">
        <f>+'3. Consumption by Rate Class'!$S$65</f>
        <v>8519.5</v>
      </c>
      <c r="H52" s="291">
        <f>+'3. Consumption by Rate Class'!$S$66</f>
        <v>8543.5</v>
      </c>
      <c r="I52" s="291">
        <f>+'3. Consumption by Rate Class'!$S$67</f>
        <v>8567.5</v>
      </c>
      <c r="J52" s="291">
        <f>+'3. Consumption by Rate Class'!$S$68</f>
        <v>8593</v>
      </c>
      <c r="K52" s="291">
        <f>+'3. Consumption by Rate Class'!$S$69</f>
        <v>8611</v>
      </c>
      <c r="L52" s="291">
        <f>+'3. Consumption by Rate Class'!$S$70</f>
        <v>8623</v>
      </c>
      <c r="M52" s="291">
        <f>+'3. Consumption by Rate Class'!$S$71</f>
        <v>8646.5</v>
      </c>
      <c r="N52" s="291">
        <f>+'3. Consumption by Rate Class'!$S$72</f>
        <v>8665.5</v>
      </c>
      <c r="O52" s="153"/>
    </row>
    <row r="53" spans="1:15" x14ac:dyDescent="0.2">
      <c r="A53" s="153"/>
      <c r="B53" s="157">
        <f t="shared" si="2"/>
        <v>2015</v>
      </c>
      <c r="C53" s="291">
        <f>+'3. Consumption by Rate Class'!$S$73</f>
        <v>8688</v>
      </c>
      <c r="D53" s="291">
        <f>+'3. Consumption by Rate Class'!$S$74</f>
        <v>8715.5</v>
      </c>
      <c r="E53" s="291">
        <f>+'3. Consumption by Rate Class'!$S$75</f>
        <v>8739.5</v>
      </c>
      <c r="F53" s="291">
        <f>+'3. Consumption by Rate Class'!$S$76</f>
        <v>8769</v>
      </c>
      <c r="G53" s="291">
        <f>+'3. Consumption by Rate Class'!$S$77</f>
        <v>8801</v>
      </c>
      <c r="H53" s="291">
        <f>+'3. Consumption by Rate Class'!$S$78</f>
        <v>8823.5</v>
      </c>
      <c r="I53" s="291">
        <f>+'3. Consumption by Rate Class'!$S$79</f>
        <v>8848</v>
      </c>
      <c r="J53" s="291">
        <f>+'3. Consumption by Rate Class'!$S$80</f>
        <v>8876.5</v>
      </c>
      <c r="K53" s="291">
        <f>+'3. Consumption by Rate Class'!$S$81</f>
        <v>8906.5</v>
      </c>
      <c r="L53" s="291">
        <f>+'3. Consumption by Rate Class'!$S$82</f>
        <v>8940</v>
      </c>
      <c r="M53" s="291">
        <f>+'3. Consumption by Rate Class'!$S$83</f>
        <v>8965.5</v>
      </c>
      <c r="N53" s="291">
        <f>+'3. Consumption by Rate Class'!$S$84</f>
        <v>8992</v>
      </c>
      <c r="O53" s="153"/>
    </row>
    <row r="54" spans="1:15" x14ac:dyDescent="0.2">
      <c r="A54" s="153"/>
      <c r="B54" s="157">
        <f t="shared" si="2"/>
        <v>2016</v>
      </c>
      <c r="C54" s="291">
        <f>+'3. Consumption by Rate Class'!$S$85</f>
        <v>9020</v>
      </c>
      <c r="D54" s="291">
        <f>+'3. Consumption by Rate Class'!$S$86</f>
        <v>9043.5</v>
      </c>
      <c r="E54" s="291">
        <f>+'3. Consumption by Rate Class'!$S$87</f>
        <v>9066.5</v>
      </c>
      <c r="F54" s="291">
        <f>+'3. Consumption by Rate Class'!$S$88</f>
        <v>9081.5</v>
      </c>
      <c r="G54" s="291">
        <f>+'3. Consumption by Rate Class'!$S$89</f>
        <v>9085.5</v>
      </c>
      <c r="H54" s="291">
        <f>+'3. Consumption by Rate Class'!$S$90</f>
        <v>9094.5</v>
      </c>
      <c r="I54" s="291">
        <f>+'3. Consumption by Rate Class'!$S$91</f>
        <v>9112.5</v>
      </c>
      <c r="J54" s="291">
        <f>+'3. Consumption by Rate Class'!$S$92</f>
        <v>9132.5</v>
      </c>
      <c r="K54" s="291">
        <f>+'3. Consumption by Rate Class'!$S$93</f>
        <v>9150.5</v>
      </c>
      <c r="L54" s="291">
        <f>+'3. Consumption by Rate Class'!$S$94</f>
        <v>9174</v>
      </c>
      <c r="M54" s="291">
        <f>+'3. Consumption by Rate Class'!$S$95</f>
        <v>9198.5</v>
      </c>
      <c r="N54" s="291">
        <f>+'3. Consumption by Rate Class'!$S$96</f>
        <v>9220.5</v>
      </c>
      <c r="O54" s="153"/>
    </row>
    <row r="55" spans="1:15" x14ac:dyDescent="0.2">
      <c r="A55" s="153"/>
      <c r="B55" s="157">
        <f t="shared" si="2"/>
        <v>2017</v>
      </c>
      <c r="C55" s="291">
        <f>+'3. Consumption by Rate Class'!$S$97</f>
        <v>9240</v>
      </c>
      <c r="D55" s="291">
        <f>+'3. Consumption by Rate Class'!$S$98</f>
        <v>9252</v>
      </c>
      <c r="E55" s="291">
        <f>+'3. Consumption by Rate Class'!$S$99</f>
        <v>9264</v>
      </c>
      <c r="F55" s="291">
        <f>+'3. Consumption by Rate Class'!$S$100</f>
        <v>9278</v>
      </c>
      <c r="G55" s="291">
        <f>+'3. Consumption by Rate Class'!$S$101</f>
        <v>9289</v>
      </c>
      <c r="H55" s="291">
        <f>+'3. Consumption by Rate Class'!$S$102</f>
        <v>9295.5</v>
      </c>
      <c r="I55" s="291">
        <f>+'3. Consumption by Rate Class'!$S$103</f>
        <v>9301.5</v>
      </c>
      <c r="J55" s="291">
        <f>+'3. Consumption by Rate Class'!$S$104</f>
        <v>9314.5</v>
      </c>
      <c r="K55" s="291">
        <f>+'3. Consumption by Rate Class'!$S$105</f>
        <v>9325.5</v>
      </c>
      <c r="L55" s="291">
        <f>+'3. Consumption by Rate Class'!$S$106</f>
        <v>9326</v>
      </c>
      <c r="M55" s="291">
        <f>+'3. Consumption by Rate Class'!$S$107</f>
        <v>9338.5</v>
      </c>
      <c r="N55" s="291">
        <f>+'3. Consumption by Rate Class'!$S$108</f>
        <v>9363.5</v>
      </c>
      <c r="O55" s="153"/>
    </row>
    <row r="56" spans="1:15" x14ac:dyDescent="0.2">
      <c r="A56" s="153"/>
      <c r="B56" s="154"/>
      <c r="C56" s="154"/>
      <c r="D56" s="154"/>
      <c r="E56" s="154"/>
      <c r="F56" s="154"/>
      <c r="G56" s="154"/>
      <c r="H56" s="154"/>
      <c r="I56" s="154"/>
      <c r="J56" s="154"/>
      <c r="K56" s="154"/>
      <c r="L56" s="154"/>
      <c r="M56" s="154"/>
      <c r="N56" s="154"/>
      <c r="O56" s="153"/>
    </row>
    <row r="57" spans="1:15" x14ac:dyDescent="0.2">
      <c r="A57" s="153"/>
      <c r="B57" s="154"/>
      <c r="C57" s="154"/>
      <c r="D57" s="154"/>
      <c r="E57" s="154"/>
      <c r="F57" s="154"/>
      <c r="G57" s="154"/>
      <c r="H57" s="154"/>
      <c r="I57" s="154"/>
      <c r="J57" s="154"/>
      <c r="K57" s="154"/>
      <c r="L57" s="154"/>
      <c r="M57" s="154"/>
      <c r="N57" s="154"/>
      <c r="O57" s="153"/>
    </row>
    <row r="58" spans="1:15" x14ac:dyDescent="0.2">
      <c r="A58" s="153"/>
      <c r="B58" s="160" t="s">
        <v>242</v>
      </c>
      <c r="C58" s="154"/>
      <c r="D58" s="154"/>
      <c r="E58" s="154"/>
      <c r="F58" s="154"/>
      <c r="G58" s="154"/>
      <c r="H58" s="154"/>
      <c r="I58" s="154"/>
      <c r="J58" s="154"/>
      <c r="K58" s="154"/>
      <c r="L58" s="154"/>
      <c r="M58" s="154"/>
      <c r="N58" s="154"/>
      <c r="O58" s="153"/>
    </row>
    <row r="59" spans="1:15" x14ac:dyDescent="0.2">
      <c r="A59" s="153"/>
      <c r="B59" s="153"/>
      <c r="C59" s="156" t="s">
        <v>109</v>
      </c>
      <c r="D59" s="156" t="s">
        <v>110</v>
      </c>
      <c r="E59" s="156" t="s">
        <v>111</v>
      </c>
      <c r="F59" s="156" t="s">
        <v>112</v>
      </c>
      <c r="G59" s="156" t="s">
        <v>90</v>
      </c>
      <c r="H59" s="156" t="s">
        <v>113</v>
      </c>
      <c r="I59" s="156" t="s">
        <v>114</v>
      </c>
      <c r="J59" s="156" t="s">
        <v>115</v>
      </c>
      <c r="K59" s="156" t="s">
        <v>116</v>
      </c>
      <c r="L59" s="156" t="s">
        <v>119</v>
      </c>
      <c r="M59" s="156" t="s">
        <v>117</v>
      </c>
      <c r="N59" s="156" t="s">
        <v>118</v>
      </c>
      <c r="O59" s="153"/>
    </row>
    <row r="60" spans="1:15" x14ac:dyDescent="0.2">
      <c r="A60" s="153"/>
      <c r="B60" s="157">
        <f t="shared" ref="B60:B66" si="3">B49</f>
        <v>2011</v>
      </c>
      <c r="C60" s="289">
        <v>31</v>
      </c>
      <c r="D60" s="289">
        <v>28</v>
      </c>
      <c r="E60" s="289">
        <v>31</v>
      </c>
      <c r="F60" s="289">
        <v>30</v>
      </c>
      <c r="G60" s="289">
        <v>31</v>
      </c>
      <c r="H60" s="289">
        <v>30</v>
      </c>
      <c r="I60" s="289">
        <v>31</v>
      </c>
      <c r="J60" s="289">
        <v>31</v>
      </c>
      <c r="K60" s="289">
        <v>30</v>
      </c>
      <c r="L60" s="289">
        <v>31</v>
      </c>
      <c r="M60" s="289">
        <v>30</v>
      </c>
      <c r="N60" s="289">
        <v>31</v>
      </c>
      <c r="O60" s="153"/>
    </row>
    <row r="61" spans="1:15" x14ac:dyDescent="0.2">
      <c r="A61" s="153"/>
      <c r="B61" s="157">
        <f t="shared" si="3"/>
        <v>2012</v>
      </c>
      <c r="C61" s="289">
        <v>31</v>
      </c>
      <c r="D61" s="289">
        <v>29</v>
      </c>
      <c r="E61" s="289">
        <v>31</v>
      </c>
      <c r="F61" s="289">
        <v>30</v>
      </c>
      <c r="G61" s="289">
        <v>31</v>
      </c>
      <c r="H61" s="289">
        <v>30</v>
      </c>
      <c r="I61" s="289">
        <v>31</v>
      </c>
      <c r="J61" s="289">
        <v>31</v>
      </c>
      <c r="K61" s="289">
        <v>30</v>
      </c>
      <c r="L61" s="289">
        <v>31</v>
      </c>
      <c r="M61" s="289">
        <v>30</v>
      </c>
      <c r="N61" s="289">
        <v>31</v>
      </c>
      <c r="O61" s="153"/>
    </row>
    <row r="62" spans="1:15" x14ac:dyDescent="0.2">
      <c r="A62" s="153"/>
      <c r="B62" s="157">
        <f t="shared" si="3"/>
        <v>2013</v>
      </c>
      <c r="C62" s="289">
        <v>31</v>
      </c>
      <c r="D62" s="289">
        <v>28</v>
      </c>
      <c r="E62" s="289">
        <v>31</v>
      </c>
      <c r="F62" s="289">
        <v>30</v>
      </c>
      <c r="G62" s="289">
        <v>31</v>
      </c>
      <c r="H62" s="289">
        <v>30</v>
      </c>
      <c r="I62" s="289">
        <v>31</v>
      </c>
      <c r="J62" s="289">
        <v>31</v>
      </c>
      <c r="K62" s="289">
        <v>30</v>
      </c>
      <c r="L62" s="289">
        <v>31</v>
      </c>
      <c r="M62" s="289">
        <v>30</v>
      </c>
      <c r="N62" s="289">
        <v>31</v>
      </c>
      <c r="O62" s="153"/>
    </row>
    <row r="63" spans="1:15" x14ac:dyDescent="0.2">
      <c r="A63" s="153"/>
      <c r="B63" s="157">
        <f t="shared" si="3"/>
        <v>2014</v>
      </c>
      <c r="C63" s="289">
        <v>31</v>
      </c>
      <c r="D63" s="289">
        <v>28</v>
      </c>
      <c r="E63" s="289">
        <v>31</v>
      </c>
      <c r="F63" s="289">
        <v>30</v>
      </c>
      <c r="G63" s="289">
        <v>31</v>
      </c>
      <c r="H63" s="289">
        <v>30</v>
      </c>
      <c r="I63" s="289">
        <v>31</v>
      </c>
      <c r="J63" s="289">
        <v>31</v>
      </c>
      <c r="K63" s="289">
        <v>30</v>
      </c>
      <c r="L63" s="289">
        <v>31</v>
      </c>
      <c r="M63" s="289">
        <v>30</v>
      </c>
      <c r="N63" s="289">
        <v>31</v>
      </c>
      <c r="O63" s="153"/>
    </row>
    <row r="64" spans="1:15" x14ac:dyDescent="0.2">
      <c r="A64" s="153"/>
      <c r="B64" s="157">
        <f t="shared" si="3"/>
        <v>2015</v>
      </c>
      <c r="C64" s="289">
        <v>31</v>
      </c>
      <c r="D64" s="289">
        <v>28</v>
      </c>
      <c r="E64" s="289">
        <v>31</v>
      </c>
      <c r="F64" s="289">
        <v>30</v>
      </c>
      <c r="G64" s="289">
        <v>31</v>
      </c>
      <c r="H64" s="289">
        <v>30</v>
      </c>
      <c r="I64" s="289">
        <v>31</v>
      </c>
      <c r="J64" s="289">
        <v>31</v>
      </c>
      <c r="K64" s="289">
        <v>30</v>
      </c>
      <c r="L64" s="289">
        <v>31</v>
      </c>
      <c r="M64" s="289">
        <v>30</v>
      </c>
      <c r="N64" s="289">
        <v>31</v>
      </c>
      <c r="O64" s="153"/>
    </row>
    <row r="65" spans="1:15" x14ac:dyDescent="0.2">
      <c r="A65" s="153"/>
      <c r="B65" s="157">
        <f t="shared" si="3"/>
        <v>2016</v>
      </c>
      <c r="C65" s="289">
        <v>31</v>
      </c>
      <c r="D65" s="289">
        <v>29</v>
      </c>
      <c r="E65" s="289">
        <v>31</v>
      </c>
      <c r="F65" s="289">
        <v>30</v>
      </c>
      <c r="G65" s="289">
        <v>31</v>
      </c>
      <c r="H65" s="289">
        <v>30</v>
      </c>
      <c r="I65" s="289">
        <v>31</v>
      </c>
      <c r="J65" s="289">
        <v>31</v>
      </c>
      <c r="K65" s="289">
        <v>30</v>
      </c>
      <c r="L65" s="289">
        <v>31</v>
      </c>
      <c r="M65" s="289">
        <v>30</v>
      </c>
      <c r="N65" s="289">
        <v>31</v>
      </c>
      <c r="O65" s="153"/>
    </row>
    <row r="66" spans="1:15" x14ac:dyDescent="0.2">
      <c r="A66" s="153"/>
      <c r="B66" s="157">
        <f t="shared" si="3"/>
        <v>2017</v>
      </c>
      <c r="C66" s="289">
        <v>31</v>
      </c>
      <c r="D66" s="289">
        <v>28</v>
      </c>
      <c r="E66" s="289">
        <v>31</v>
      </c>
      <c r="F66" s="289">
        <v>30</v>
      </c>
      <c r="G66" s="289">
        <v>31</v>
      </c>
      <c r="H66" s="289">
        <v>30</v>
      </c>
      <c r="I66" s="289">
        <v>31</v>
      </c>
      <c r="J66" s="289">
        <v>31</v>
      </c>
      <c r="K66" s="289">
        <v>30</v>
      </c>
      <c r="L66" s="289">
        <v>31</v>
      </c>
      <c r="M66" s="289">
        <v>30</v>
      </c>
      <c r="N66" s="289">
        <v>31</v>
      </c>
      <c r="O66" s="153"/>
    </row>
    <row r="67" spans="1:15" x14ac:dyDescent="0.2">
      <c r="A67" s="153"/>
      <c r="B67" s="154"/>
      <c r="C67" s="154"/>
      <c r="D67" s="154"/>
      <c r="E67" s="154"/>
      <c r="F67" s="154"/>
      <c r="G67" s="154"/>
      <c r="H67" s="154"/>
      <c r="I67" s="154"/>
      <c r="J67" s="154"/>
      <c r="K67" s="154"/>
      <c r="L67" s="154"/>
      <c r="M67" s="154"/>
      <c r="N67" s="154"/>
      <c r="O67" s="153"/>
    </row>
    <row r="68" spans="1:15" x14ac:dyDescent="0.2">
      <c r="A68" s="153"/>
      <c r="B68" s="154"/>
      <c r="C68" s="154"/>
      <c r="D68" s="154"/>
      <c r="E68" s="154"/>
      <c r="F68" s="154"/>
      <c r="G68" s="154"/>
      <c r="H68" s="154"/>
      <c r="I68" s="154"/>
      <c r="J68" s="154"/>
      <c r="K68" s="154"/>
      <c r="L68" s="154"/>
      <c r="M68" s="154"/>
      <c r="N68" s="154"/>
      <c r="O68" s="153"/>
    </row>
    <row r="69" spans="1:15" x14ac:dyDescent="0.2">
      <c r="A69" s="153"/>
      <c r="B69" s="160" t="s">
        <v>246</v>
      </c>
      <c r="C69" s="154"/>
      <c r="D69" s="154"/>
      <c r="E69" s="154"/>
      <c r="F69" s="154"/>
      <c r="G69" s="154"/>
      <c r="H69" s="154"/>
      <c r="I69" s="154"/>
      <c r="J69" s="154"/>
      <c r="K69" s="154"/>
      <c r="L69" s="154"/>
      <c r="M69" s="154"/>
      <c r="N69" s="154"/>
      <c r="O69" s="153"/>
    </row>
    <row r="70" spans="1:15" x14ac:dyDescent="0.2">
      <c r="A70" s="153"/>
      <c r="B70" s="153"/>
      <c r="C70" s="156" t="s">
        <v>109</v>
      </c>
      <c r="D70" s="156" t="s">
        <v>110</v>
      </c>
      <c r="E70" s="156" t="s">
        <v>111</v>
      </c>
      <c r="F70" s="156" t="s">
        <v>112</v>
      </c>
      <c r="G70" s="156" t="s">
        <v>90</v>
      </c>
      <c r="H70" s="156" t="s">
        <v>113</v>
      </c>
      <c r="I70" s="156" t="s">
        <v>114</v>
      </c>
      <c r="J70" s="156" t="s">
        <v>115</v>
      </c>
      <c r="K70" s="156" t="s">
        <v>116</v>
      </c>
      <c r="L70" s="156" t="s">
        <v>119</v>
      </c>
      <c r="M70" s="156" t="s">
        <v>117</v>
      </c>
      <c r="N70" s="156" t="s">
        <v>118</v>
      </c>
      <c r="O70" s="153"/>
    </row>
    <row r="71" spans="1:15" x14ac:dyDescent="0.2">
      <c r="A71" s="153"/>
      <c r="B71" s="157">
        <f t="shared" ref="B71:B77" si="4">B60</f>
        <v>2011</v>
      </c>
      <c r="C71" s="323">
        <v>1</v>
      </c>
      <c r="D71" s="323">
        <v>1</v>
      </c>
      <c r="E71" s="323">
        <v>0</v>
      </c>
      <c r="F71" s="323">
        <v>0</v>
      </c>
      <c r="G71" s="323">
        <v>0</v>
      </c>
      <c r="H71" s="323">
        <v>1</v>
      </c>
      <c r="I71" s="323">
        <v>1</v>
      </c>
      <c r="J71" s="323">
        <v>1</v>
      </c>
      <c r="K71" s="323">
        <v>0</v>
      </c>
      <c r="L71" s="323">
        <v>0</v>
      </c>
      <c r="M71" s="323">
        <v>0</v>
      </c>
      <c r="N71" s="323">
        <v>1</v>
      </c>
      <c r="O71" s="153"/>
    </row>
    <row r="72" spans="1:15" x14ac:dyDescent="0.2">
      <c r="A72" s="153"/>
      <c r="B72" s="157">
        <f t="shared" si="4"/>
        <v>2012</v>
      </c>
      <c r="C72" s="323">
        <v>1</v>
      </c>
      <c r="D72" s="323">
        <v>1</v>
      </c>
      <c r="E72" s="323">
        <v>0</v>
      </c>
      <c r="F72" s="323">
        <v>0</v>
      </c>
      <c r="G72" s="323">
        <v>0</v>
      </c>
      <c r="H72" s="323">
        <v>1</v>
      </c>
      <c r="I72" s="323">
        <v>1</v>
      </c>
      <c r="J72" s="323">
        <v>1</v>
      </c>
      <c r="K72" s="323">
        <v>0</v>
      </c>
      <c r="L72" s="323">
        <v>0</v>
      </c>
      <c r="M72" s="323">
        <v>0</v>
      </c>
      <c r="N72" s="323">
        <v>1</v>
      </c>
      <c r="O72" s="153"/>
    </row>
    <row r="73" spans="1:15" x14ac:dyDescent="0.2">
      <c r="A73" s="153"/>
      <c r="B73" s="157">
        <f t="shared" si="4"/>
        <v>2013</v>
      </c>
      <c r="C73" s="323">
        <v>1</v>
      </c>
      <c r="D73" s="323">
        <v>1</v>
      </c>
      <c r="E73" s="323">
        <v>0</v>
      </c>
      <c r="F73" s="323">
        <v>0</v>
      </c>
      <c r="G73" s="323">
        <v>0</v>
      </c>
      <c r="H73" s="323">
        <v>1</v>
      </c>
      <c r="I73" s="323">
        <v>1</v>
      </c>
      <c r="J73" s="323">
        <v>1</v>
      </c>
      <c r="K73" s="323">
        <v>0</v>
      </c>
      <c r="L73" s="323">
        <v>0</v>
      </c>
      <c r="M73" s="323">
        <v>0</v>
      </c>
      <c r="N73" s="323">
        <v>1</v>
      </c>
      <c r="O73" s="153"/>
    </row>
    <row r="74" spans="1:15" x14ac:dyDescent="0.2">
      <c r="A74" s="153"/>
      <c r="B74" s="157">
        <f t="shared" si="4"/>
        <v>2014</v>
      </c>
      <c r="C74" s="323">
        <v>1</v>
      </c>
      <c r="D74" s="323">
        <v>1</v>
      </c>
      <c r="E74" s="323">
        <v>0</v>
      </c>
      <c r="F74" s="323">
        <v>0</v>
      </c>
      <c r="G74" s="323">
        <v>0</v>
      </c>
      <c r="H74" s="323">
        <v>1</v>
      </c>
      <c r="I74" s="323">
        <v>1</v>
      </c>
      <c r="J74" s="323">
        <v>1</v>
      </c>
      <c r="K74" s="323">
        <v>0</v>
      </c>
      <c r="L74" s="323">
        <v>0</v>
      </c>
      <c r="M74" s="323">
        <v>0</v>
      </c>
      <c r="N74" s="323">
        <v>1</v>
      </c>
      <c r="O74" s="153"/>
    </row>
    <row r="75" spans="1:15" x14ac:dyDescent="0.2">
      <c r="A75" s="153"/>
      <c r="B75" s="157">
        <f t="shared" si="4"/>
        <v>2015</v>
      </c>
      <c r="C75" s="323">
        <v>1</v>
      </c>
      <c r="D75" s="323">
        <v>1</v>
      </c>
      <c r="E75" s="323">
        <v>0</v>
      </c>
      <c r="F75" s="323">
        <v>0</v>
      </c>
      <c r="G75" s="323">
        <v>0</v>
      </c>
      <c r="H75" s="323">
        <v>1</v>
      </c>
      <c r="I75" s="323">
        <v>1</v>
      </c>
      <c r="J75" s="323">
        <v>1</v>
      </c>
      <c r="K75" s="323">
        <v>0</v>
      </c>
      <c r="L75" s="323">
        <v>0</v>
      </c>
      <c r="M75" s="323">
        <v>0</v>
      </c>
      <c r="N75" s="323">
        <v>1</v>
      </c>
      <c r="O75" s="153"/>
    </row>
    <row r="76" spans="1:15" x14ac:dyDescent="0.2">
      <c r="A76" s="153"/>
      <c r="B76" s="157">
        <f t="shared" si="4"/>
        <v>2016</v>
      </c>
      <c r="C76" s="323">
        <v>1</v>
      </c>
      <c r="D76" s="323">
        <v>1</v>
      </c>
      <c r="E76" s="323">
        <v>0</v>
      </c>
      <c r="F76" s="323">
        <v>0</v>
      </c>
      <c r="G76" s="323">
        <v>0</v>
      </c>
      <c r="H76" s="323">
        <v>1</v>
      </c>
      <c r="I76" s="323">
        <v>1</v>
      </c>
      <c r="J76" s="323">
        <v>1</v>
      </c>
      <c r="K76" s="323">
        <v>0</v>
      </c>
      <c r="L76" s="323">
        <v>0</v>
      </c>
      <c r="M76" s="323">
        <v>0</v>
      </c>
      <c r="N76" s="323">
        <v>1</v>
      </c>
      <c r="O76" s="153"/>
    </row>
    <row r="77" spans="1:15" x14ac:dyDescent="0.2">
      <c r="A77" s="153"/>
      <c r="B77" s="157">
        <f t="shared" si="4"/>
        <v>2017</v>
      </c>
      <c r="C77" s="323">
        <v>1</v>
      </c>
      <c r="D77" s="323">
        <v>1</v>
      </c>
      <c r="E77" s="323">
        <v>0</v>
      </c>
      <c r="F77" s="323">
        <v>0</v>
      </c>
      <c r="G77" s="323">
        <v>0</v>
      </c>
      <c r="H77" s="323">
        <v>1</v>
      </c>
      <c r="I77" s="323">
        <v>1</v>
      </c>
      <c r="J77" s="323">
        <v>1</v>
      </c>
      <c r="K77" s="323">
        <v>0</v>
      </c>
      <c r="L77" s="323">
        <v>0</v>
      </c>
      <c r="M77" s="323">
        <v>0</v>
      </c>
      <c r="N77" s="323">
        <v>1</v>
      </c>
      <c r="O77" s="153"/>
    </row>
    <row r="78" spans="1:15" x14ac:dyDescent="0.2">
      <c r="A78" s="153"/>
      <c r="B78" s="154"/>
      <c r="C78" s="154"/>
      <c r="D78" s="154"/>
      <c r="E78" s="154"/>
      <c r="F78" s="154"/>
      <c r="G78" s="154"/>
      <c r="H78" s="154"/>
      <c r="I78" s="154"/>
      <c r="J78" s="154"/>
      <c r="K78" s="154"/>
      <c r="L78" s="154"/>
      <c r="M78" s="154"/>
      <c r="N78" s="154"/>
      <c r="O78" s="153"/>
    </row>
    <row r="79" spans="1:15" s="296" customFormat="1" x14ac:dyDescent="0.2">
      <c r="A79" s="153"/>
      <c r="B79" s="160" t="s">
        <v>247</v>
      </c>
      <c r="C79" s="154"/>
      <c r="D79" s="154"/>
      <c r="E79" s="154"/>
      <c r="F79" s="154"/>
      <c r="G79" s="154"/>
      <c r="H79" s="154"/>
      <c r="I79" s="154"/>
      <c r="J79" s="154"/>
      <c r="K79" s="154"/>
      <c r="L79" s="154"/>
      <c r="M79" s="154"/>
      <c r="N79" s="154"/>
      <c r="O79" s="153"/>
    </row>
    <row r="80" spans="1:15" s="296" customFormat="1" x14ac:dyDescent="0.2">
      <c r="A80" s="153"/>
      <c r="B80" s="153"/>
      <c r="C80" s="156" t="s">
        <v>109</v>
      </c>
      <c r="D80" s="156" t="s">
        <v>110</v>
      </c>
      <c r="E80" s="156" t="s">
        <v>111</v>
      </c>
      <c r="F80" s="156" t="s">
        <v>112</v>
      </c>
      <c r="G80" s="156" t="s">
        <v>90</v>
      </c>
      <c r="H80" s="156" t="s">
        <v>113</v>
      </c>
      <c r="I80" s="156" t="s">
        <v>114</v>
      </c>
      <c r="J80" s="156" t="s">
        <v>115</v>
      </c>
      <c r="K80" s="156" t="s">
        <v>116</v>
      </c>
      <c r="L80" s="156" t="s">
        <v>119</v>
      </c>
      <c r="M80" s="156" t="s">
        <v>117</v>
      </c>
      <c r="N80" s="156" t="s">
        <v>118</v>
      </c>
      <c r="O80" s="153"/>
    </row>
    <row r="81" spans="1:15" s="296" customFormat="1" x14ac:dyDescent="0.2">
      <c r="A81" s="153"/>
      <c r="B81" s="157">
        <f>B71</f>
        <v>2011</v>
      </c>
      <c r="C81" s="485">
        <v>6.5039999999999996</v>
      </c>
      <c r="D81" s="485">
        <v>6.5039999999999996</v>
      </c>
      <c r="E81" s="485">
        <v>6.5039999999999996</v>
      </c>
      <c r="F81" s="485">
        <v>6.5039999999999996</v>
      </c>
      <c r="G81" s="485">
        <v>7.3040000000000003</v>
      </c>
      <c r="H81" s="485">
        <v>7.3040000000000003</v>
      </c>
      <c r="I81" s="485">
        <v>7.3040000000000003</v>
      </c>
      <c r="J81" s="485">
        <v>7.3040000000000003</v>
      </c>
      <c r="K81" s="485">
        <v>7.3040000000000003</v>
      </c>
      <c r="L81" s="485">
        <v>7.3040000000000003</v>
      </c>
      <c r="M81" s="485">
        <v>7.5679999999999996</v>
      </c>
      <c r="N81" s="485">
        <v>7.5679999999999996</v>
      </c>
      <c r="O81" s="153"/>
    </row>
    <row r="82" spans="1:15" s="296" customFormat="1" x14ac:dyDescent="0.2">
      <c r="A82" s="153"/>
      <c r="B82" s="157">
        <f t="shared" ref="B82:B87" si="5">B72</f>
        <v>2012</v>
      </c>
      <c r="C82" s="485">
        <v>7.5679999999999996</v>
      </c>
      <c r="D82" s="485">
        <v>7.5679999999999996</v>
      </c>
      <c r="E82" s="485">
        <v>7.5679999999999996</v>
      </c>
      <c r="F82" s="485">
        <v>7.5679999999999996</v>
      </c>
      <c r="G82" s="485">
        <v>8.0660000000000007</v>
      </c>
      <c r="H82" s="485">
        <v>8.0660000000000007</v>
      </c>
      <c r="I82" s="485">
        <v>8.0660000000000007</v>
      </c>
      <c r="J82" s="485">
        <v>8.0660000000000007</v>
      </c>
      <c r="K82" s="485">
        <v>8.0660000000000007</v>
      </c>
      <c r="L82" s="485">
        <v>8.0660000000000007</v>
      </c>
      <c r="M82" s="485">
        <v>7.9379999999999997</v>
      </c>
      <c r="N82" s="485">
        <v>7.9379999999999997</v>
      </c>
      <c r="O82" s="153"/>
    </row>
    <row r="83" spans="1:15" s="296" customFormat="1" x14ac:dyDescent="0.2">
      <c r="A83" s="153"/>
      <c r="B83" s="157">
        <f t="shared" si="5"/>
        <v>2013</v>
      </c>
      <c r="C83" s="485">
        <v>7.9379999999999997</v>
      </c>
      <c r="D83" s="485">
        <v>7.9379999999999997</v>
      </c>
      <c r="E83" s="485">
        <v>7.9379999999999997</v>
      </c>
      <c r="F83" s="485">
        <v>7.9379999999999997</v>
      </c>
      <c r="G83" s="485">
        <v>9.0960000000000001</v>
      </c>
      <c r="H83" s="485">
        <v>9.0960000000000001</v>
      </c>
      <c r="I83" s="485">
        <v>9.0960000000000001</v>
      </c>
      <c r="J83" s="485">
        <v>9.0960000000000001</v>
      </c>
      <c r="K83" s="485">
        <v>9.0960000000000001</v>
      </c>
      <c r="L83" s="485">
        <v>9.0960000000000001</v>
      </c>
      <c r="M83" s="485">
        <v>8.8919999999999995</v>
      </c>
      <c r="N83" s="485">
        <v>8.8919999999999995</v>
      </c>
      <c r="O83" s="153"/>
    </row>
    <row r="84" spans="1:15" s="296" customFormat="1" x14ac:dyDescent="0.2">
      <c r="A84" s="153"/>
      <c r="B84" s="157">
        <f t="shared" si="5"/>
        <v>2014</v>
      </c>
      <c r="C84" s="485">
        <v>8.8919999999999995</v>
      </c>
      <c r="D84" s="485">
        <v>8.8919999999999995</v>
      </c>
      <c r="E84" s="485">
        <v>8.8919999999999995</v>
      </c>
      <c r="F84" s="485">
        <v>8.8919999999999995</v>
      </c>
      <c r="G84" s="485">
        <v>9.2460000000000004</v>
      </c>
      <c r="H84" s="485">
        <v>9.2460000000000004</v>
      </c>
      <c r="I84" s="485">
        <v>9.2460000000000004</v>
      </c>
      <c r="J84" s="485">
        <v>9.2460000000000004</v>
      </c>
      <c r="K84" s="485">
        <v>9.2460000000000004</v>
      </c>
      <c r="L84" s="485">
        <v>9.2460000000000004</v>
      </c>
      <c r="M84" s="485">
        <v>9.5</v>
      </c>
      <c r="N84" s="485">
        <v>9.5</v>
      </c>
      <c r="O84" s="153"/>
    </row>
    <row r="85" spans="1:15" s="296" customFormat="1" x14ac:dyDescent="0.2">
      <c r="A85" s="153"/>
      <c r="B85" s="157">
        <f t="shared" si="5"/>
        <v>2015</v>
      </c>
      <c r="C85" s="485">
        <v>9.5</v>
      </c>
      <c r="D85" s="485">
        <v>9.5</v>
      </c>
      <c r="E85" s="485">
        <v>9.5</v>
      </c>
      <c r="F85" s="485">
        <v>9.5</v>
      </c>
      <c r="G85" s="485">
        <v>10.214</v>
      </c>
      <c r="H85" s="485">
        <v>10.214</v>
      </c>
      <c r="I85" s="485">
        <v>10.214</v>
      </c>
      <c r="J85" s="485">
        <v>10.214</v>
      </c>
      <c r="K85" s="485">
        <v>10.214</v>
      </c>
      <c r="L85" s="485">
        <v>10.214</v>
      </c>
      <c r="M85" s="485">
        <v>10.59</v>
      </c>
      <c r="N85" s="485">
        <v>10.59</v>
      </c>
      <c r="O85" s="153"/>
    </row>
    <row r="86" spans="1:15" s="296" customFormat="1" x14ac:dyDescent="0.2">
      <c r="A86" s="153"/>
      <c r="B86" s="157">
        <f t="shared" si="5"/>
        <v>2016</v>
      </c>
      <c r="C86" s="485">
        <v>10.59</v>
      </c>
      <c r="D86" s="485">
        <v>10.59</v>
      </c>
      <c r="E86" s="485">
        <v>10.59</v>
      </c>
      <c r="F86" s="485">
        <v>10.59</v>
      </c>
      <c r="G86" s="485">
        <v>11</v>
      </c>
      <c r="H86" s="485">
        <v>11</v>
      </c>
      <c r="I86" s="485">
        <v>11</v>
      </c>
      <c r="J86" s="485">
        <v>11</v>
      </c>
      <c r="K86" s="485">
        <v>11</v>
      </c>
      <c r="L86" s="485">
        <v>11</v>
      </c>
      <c r="M86" s="485">
        <v>11</v>
      </c>
      <c r="N86" s="485">
        <v>11</v>
      </c>
      <c r="O86" s="153"/>
    </row>
    <row r="87" spans="1:15" x14ac:dyDescent="0.2">
      <c r="B87" s="157">
        <f t="shared" si="5"/>
        <v>2017</v>
      </c>
      <c r="C87" s="485">
        <v>11</v>
      </c>
      <c r="D87" s="485">
        <v>11</v>
      </c>
      <c r="E87" s="485">
        <v>11</v>
      </c>
      <c r="F87" s="485">
        <v>11</v>
      </c>
      <c r="G87" s="485">
        <v>9.8000000000000007</v>
      </c>
      <c r="H87" s="485">
        <v>9.8000000000000007</v>
      </c>
      <c r="I87" s="485">
        <v>9.8000000000000007</v>
      </c>
      <c r="J87" s="485">
        <v>9.8000000000000007</v>
      </c>
      <c r="K87" s="485">
        <v>9.8000000000000007</v>
      </c>
      <c r="L87" s="485">
        <v>9.8000000000000007</v>
      </c>
      <c r="M87" s="485">
        <v>8</v>
      </c>
      <c r="N87" s="485">
        <v>8</v>
      </c>
    </row>
  </sheetData>
  <pageMargins left="0.7" right="0.7" top="0.75" bottom="0.75" header="0.3" footer="0.3"/>
  <pageSetup scale="60" fitToWidth="0" orientation="portrait"/>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5:H68"/>
  <sheetViews>
    <sheetView workbookViewId="0">
      <selection activeCell="I31" sqref="I31"/>
    </sheetView>
  </sheetViews>
  <sheetFormatPr defaultRowHeight="12.75" x14ac:dyDescent="0.2"/>
  <cols>
    <col min="1" max="16384" width="9.33203125" style="296"/>
  </cols>
  <sheetData>
    <row r="5" spans="1:8" x14ac:dyDescent="0.2">
      <c r="B5" s="863" t="s">
        <v>300</v>
      </c>
      <c r="C5" s="864"/>
      <c r="D5" s="864"/>
      <c r="E5" s="864"/>
      <c r="F5" s="864"/>
      <c r="G5" s="864"/>
      <c r="H5" s="865"/>
    </row>
    <row r="6" spans="1:8" x14ac:dyDescent="0.2">
      <c r="B6" s="662" t="s">
        <v>294</v>
      </c>
      <c r="C6" s="663" t="s">
        <v>295</v>
      </c>
      <c r="D6" s="663" t="s">
        <v>296</v>
      </c>
      <c r="E6" s="663" t="s">
        <v>196</v>
      </c>
      <c r="F6" s="663" t="s">
        <v>297</v>
      </c>
      <c r="G6" s="663" t="s">
        <v>298</v>
      </c>
      <c r="H6" s="664" t="s">
        <v>299</v>
      </c>
    </row>
    <row r="7" spans="1:8" x14ac:dyDescent="0.2">
      <c r="A7" s="660" t="s">
        <v>109</v>
      </c>
      <c r="B7" s="652">
        <v>678.00000000000011</v>
      </c>
      <c r="C7" s="653">
        <v>554.40000000000009</v>
      </c>
      <c r="D7" s="653">
        <v>556.39999999999986</v>
      </c>
      <c r="E7" s="653">
        <v>727.8</v>
      </c>
      <c r="F7" s="653">
        <v>696.24999999999989</v>
      </c>
      <c r="G7" s="653">
        <v>597.25000000000011</v>
      </c>
      <c r="H7" s="654">
        <v>556.5</v>
      </c>
    </row>
    <row r="8" spans="1:8" x14ac:dyDescent="0.2">
      <c r="A8" s="661" t="s">
        <v>110</v>
      </c>
      <c r="B8" s="655">
        <v>578.5</v>
      </c>
      <c r="C8" s="651">
        <v>482.39999999999992</v>
      </c>
      <c r="D8" s="651">
        <v>565.9</v>
      </c>
      <c r="E8" s="651">
        <v>648.10000000000014</v>
      </c>
      <c r="F8" s="651">
        <v>776.40000000000009</v>
      </c>
      <c r="G8" s="651">
        <v>537.4</v>
      </c>
      <c r="H8" s="656">
        <v>468.50000000000006</v>
      </c>
    </row>
    <row r="9" spans="1:8" x14ac:dyDescent="0.2">
      <c r="A9" s="661" t="s">
        <v>111</v>
      </c>
      <c r="B9" s="655">
        <v>527.44999999999993</v>
      </c>
      <c r="C9" s="651">
        <v>366.69999999999993</v>
      </c>
      <c r="D9" s="651">
        <v>508.7000000000001</v>
      </c>
      <c r="E9" s="651">
        <v>636.19999999999993</v>
      </c>
      <c r="F9" s="651">
        <v>596.9</v>
      </c>
      <c r="G9" s="651">
        <v>444.59999999999997</v>
      </c>
      <c r="H9" s="656">
        <v>528.4</v>
      </c>
    </row>
    <row r="10" spans="1:8" x14ac:dyDescent="0.2">
      <c r="A10" s="661" t="s">
        <v>112</v>
      </c>
      <c r="B10" s="655">
        <v>342.59999999999997</v>
      </c>
      <c r="C10" s="651">
        <v>296.29999999999995</v>
      </c>
      <c r="D10" s="651">
        <v>341.29999999999995</v>
      </c>
      <c r="E10" s="651">
        <v>356.6</v>
      </c>
      <c r="F10" s="651">
        <v>325.89999999999998</v>
      </c>
      <c r="G10" s="651">
        <v>373.25000000000006</v>
      </c>
      <c r="H10" s="656">
        <v>273.05</v>
      </c>
    </row>
    <row r="11" spans="1:8" x14ac:dyDescent="0.2">
      <c r="A11" s="661" t="s">
        <v>90</v>
      </c>
      <c r="B11" s="655">
        <v>187.09999999999997</v>
      </c>
      <c r="C11" s="651">
        <v>99.499999999999957</v>
      </c>
      <c r="D11" s="651">
        <v>150.35</v>
      </c>
      <c r="E11" s="651">
        <v>174.7</v>
      </c>
      <c r="F11" s="651">
        <v>131.80000000000004</v>
      </c>
      <c r="G11" s="651">
        <v>157.94999999999996</v>
      </c>
      <c r="H11" s="656">
        <v>181.8</v>
      </c>
    </row>
    <row r="12" spans="1:8" x14ac:dyDescent="0.2">
      <c r="A12" s="661" t="s">
        <v>113</v>
      </c>
      <c r="B12" s="655">
        <v>21.9</v>
      </c>
      <c r="C12" s="651">
        <v>18.899999999999999</v>
      </c>
      <c r="D12" s="651">
        <v>44.300000000000011</v>
      </c>
      <c r="E12" s="651">
        <v>26.999999999999996</v>
      </c>
      <c r="F12" s="651">
        <v>61.199999999999996</v>
      </c>
      <c r="G12" s="651">
        <v>19.100000000000001</v>
      </c>
      <c r="H12" s="656">
        <v>27.000000000000004</v>
      </c>
    </row>
    <row r="13" spans="1:8" x14ac:dyDescent="0.2">
      <c r="A13" s="661" t="s">
        <v>114</v>
      </c>
      <c r="B13" s="655">
        <v>0</v>
      </c>
      <c r="C13" s="651">
        <v>0</v>
      </c>
      <c r="D13" s="651">
        <v>3.2</v>
      </c>
      <c r="E13" s="651">
        <v>0.6</v>
      </c>
      <c r="F13" s="651">
        <v>2.6</v>
      </c>
      <c r="G13" s="651">
        <v>0</v>
      </c>
      <c r="H13" s="656">
        <v>0</v>
      </c>
    </row>
    <row r="14" spans="1:8" x14ac:dyDescent="0.2">
      <c r="A14" s="661" t="s">
        <v>115</v>
      </c>
      <c r="B14" s="655">
        <v>0</v>
      </c>
      <c r="C14" s="651">
        <v>0</v>
      </c>
      <c r="D14" s="651">
        <v>0</v>
      </c>
      <c r="E14" s="651">
        <v>0.89999999999999991</v>
      </c>
      <c r="F14" s="651">
        <v>2.2000000000000002</v>
      </c>
      <c r="G14" s="651">
        <v>0</v>
      </c>
      <c r="H14" s="656">
        <v>0.3</v>
      </c>
    </row>
    <row r="15" spans="1:8" x14ac:dyDescent="0.2">
      <c r="A15" s="661" t="s">
        <v>293</v>
      </c>
      <c r="B15" s="655">
        <v>26.900000000000002</v>
      </c>
      <c r="C15" s="651">
        <v>37.9</v>
      </c>
      <c r="D15" s="651">
        <v>51.6</v>
      </c>
      <c r="E15" s="651">
        <v>46.400000000000006</v>
      </c>
      <c r="F15" s="651">
        <v>17.099999999999998</v>
      </c>
      <c r="G15" s="651">
        <v>14.400000000000002</v>
      </c>
      <c r="H15" s="656">
        <v>25.099999999999994</v>
      </c>
    </row>
    <row r="16" spans="1:8" x14ac:dyDescent="0.2">
      <c r="A16" s="661" t="s">
        <v>119</v>
      </c>
      <c r="B16" s="655">
        <v>185.7</v>
      </c>
      <c r="C16" s="651">
        <v>191.9</v>
      </c>
      <c r="D16" s="651">
        <v>159.94999999999999</v>
      </c>
      <c r="E16" s="651">
        <v>173.7</v>
      </c>
      <c r="F16" s="651">
        <v>186.04999999999998</v>
      </c>
      <c r="G16" s="651">
        <v>141.90000000000003</v>
      </c>
      <c r="H16" s="656">
        <v>94.7</v>
      </c>
    </row>
    <row r="17" spans="1:8" x14ac:dyDescent="0.2">
      <c r="A17" s="661" t="s">
        <v>117</v>
      </c>
      <c r="B17" s="655">
        <v>284.90000000000009</v>
      </c>
      <c r="C17" s="651">
        <v>381.9</v>
      </c>
      <c r="D17" s="651">
        <v>416.30000000000007</v>
      </c>
      <c r="E17" s="651">
        <v>416</v>
      </c>
      <c r="F17" s="651">
        <v>284.45</v>
      </c>
      <c r="G17" s="651">
        <v>270.5</v>
      </c>
      <c r="H17" s="656">
        <v>383.84999999999991</v>
      </c>
    </row>
    <row r="18" spans="1:8" x14ac:dyDescent="0.2">
      <c r="A18" s="62" t="s">
        <v>118</v>
      </c>
      <c r="B18" s="657">
        <v>463.7</v>
      </c>
      <c r="C18" s="658">
        <v>462.50000000000006</v>
      </c>
      <c r="D18" s="658">
        <v>608.49999999999989</v>
      </c>
      <c r="E18" s="658">
        <v>509.75000000000011</v>
      </c>
      <c r="F18" s="658">
        <v>372.95000000000005</v>
      </c>
      <c r="G18" s="658">
        <v>540.9</v>
      </c>
      <c r="H18" s="659">
        <v>617.19999999999993</v>
      </c>
    </row>
    <row r="21" spans="1:8" x14ac:dyDescent="0.2">
      <c r="B21" s="863" t="s">
        <v>301</v>
      </c>
      <c r="C21" s="864"/>
      <c r="D21" s="864"/>
      <c r="E21" s="864"/>
      <c r="F21" s="864"/>
      <c r="G21" s="864"/>
      <c r="H21" s="865"/>
    </row>
    <row r="22" spans="1:8" x14ac:dyDescent="0.2">
      <c r="B22" s="662" t="s">
        <v>294</v>
      </c>
      <c r="C22" s="663" t="s">
        <v>295</v>
      </c>
      <c r="D22" s="663" t="s">
        <v>296</v>
      </c>
      <c r="E22" s="663" t="s">
        <v>196</v>
      </c>
      <c r="F22" s="663" t="s">
        <v>297</v>
      </c>
      <c r="G22" s="663" t="s">
        <v>298</v>
      </c>
      <c r="H22" s="664" t="s">
        <v>299</v>
      </c>
    </row>
    <row r="23" spans="1:8" x14ac:dyDescent="0.2">
      <c r="A23" s="660" t="s">
        <v>109</v>
      </c>
      <c r="B23" s="652">
        <v>0</v>
      </c>
      <c r="C23" s="653">
        <v>0</v>
      </c>
      <c r="D23" s="653">
        <v>0</v>
      </c>
      <c r="E23" s="653">
        <v>0</v>
      </c>
      <c r="F23" s="653">
        <v>0</v>
      </c>
      <c r="G23" s="653">
        <v>0</v>
      </c>
      <c r="H23" s="654">
        <v>0</v>
      </c>
    </row>
    <row r="24" spans="1:8" x14ac:dyDescent="0.2">
      <c r="A24" s="661" t="s">
        <v>110</v>
      </c>
      <c r="B24" s="655">
        <v>0</v>
      </c>
      <c r="C24" s="651">
        <v>0</v>
      </c>
      <c r="D24" s="651">
        <v>0</v>
      </c>
      <c r="E24" s="651">
        <v>0</v>
      </c>
      <c r="F24" s="651">
        <v>0</v>
      </c>
      <c r="G24" s="651">
        <v>0</v>
      </c>
      <c r="H24" s="656">
        <v>0</v>
      </c>
    </row>
    <row r="25" spans="1:8" x14ac:dyDescent="0.2">
      <c r="A25" s="661" t="s">
        <v>111</v>
      </c>
      <c r="B25" s="655">
        <v>0</v>
      </c>
      <c r="C25" s="651">
        <v>0</v>
      </c>
      <c r="D25" s="651">
        <v>0</v>
      </c>
      <c r="E25" s="651">
        <v>0</v>
      </c>
      <c r="F25" s="651">
        <v>0</v>
      </c>
      <c r="G25" s="651">
        <v>0</v>
      </c>
      <c r="H25" s="656">
        <v>0</v>
      </c>
    </row>
    <row r="26" spans="1:8" x14ac:dyDescent="0.2">
      <c r="A26" s="661" t="s">
        <v>112</v>
      </c>
      <c r="B26" s="655">
        <v>0</v>
      </c>
      <c r="C26" s="651">
        <v>0</v>
      </c>
      <c r="D26" s="651">
        <v>0</v>
      </c>
      <c r="E26" s="651">
        <v>0</v>
      </c>
      <c r="F26" s="651">
        <v>0</v>
      </c>
      <c r="G26" s="651">
        <v>0</v>
      </c>
      <c r="H26" s="656">
        <v>0</v>
      </c>
    </row>
    <row r="27" spans="1:8" x14ac:dyDescent="0.2">
      <c r="A27" s="661" t="s">
        <v>90</v>
      </c>
      <c r="B27" s="655">
        <v>4.0999999999999996</v>
      </c>
      <c r="C27" s="651">
        <v>22.400000000000002</v>
      </c>
      <c r="D27" s="651">
        <v>12.15</v>
      </c>
      <c r="E27" s="651">
        <v>3</v>
      </c>
      <c r="F27" s="651">
        <v>9.75</v>
      </c>
      <c r="G27" s="651">
        <v>31</v>
      </c>
      <c r="H27" s="656">
        <v>2.8000000000000003</v>
      </c>
    </row>
    <row r="28" spans="1:8" x14ac:dyDescent="0.2">
      <c r="A28" s="661" t="s">
        <v>113</v>
      </c>
      <c r="B28" s="655">
        <v>41.8</v>
      </c>
      <c r="C28" s="651">
        <v>105.60000000000001</v>
      </c>
      <c r="D28" s="651">
        <v>47.499999999999993</v>
      </c>
      <c r="E28" s="651">
        <v>39.099999999999994</v>
      </c>
      <c r="F28" s="651">
        <v>19.499999999999996</v>
      </c>
      <c r="G28" s="651">
        <v>67.100000000000009</v>
      </c>
      <c r="H28" s="656">
        <v>62.800000000000004</v>
      </c>
    </row>
    <row r="29" spans="1:8" x14ac:dyDescent="0.2">
      <c r="A29" s="661" t="s">
        <v>114</v>
      </c>
      <c r="B29" s="655">
        <v>196.89999999999998</v>
      </c>
      <c r="C29" s="651">
        <v>203.49999999999997</v>
      </c>
      <c r="D29" s="651">
        <v>139.5</v>
      </c>
      <c r="E29" s="651">
        <v>78.399999999999991</v>
      </c>
      <c r="F29" s="651">
        <v>121.2</v>
      </c>
      <c r="G29" s="651">
        <v>166.6</v>
      </c>
      <c r="H29" s="656">
        <v>111.60000000000002</v>
      </c>
    </row>
    <row r="30" spans="1:8" x14ac:dyDescent="0.2">
      <c r="A30" s="661" t="s">
        <v>115</v>
      </c>
      <c r="B30" s="655">
        <v>146.29999999999995</v>
      </c>
      <c r="C30" s="651">
        <v>148.69999999999999</v>
      </c>
      <c r="D30" s="651">
        <v>106.4</v>
      </c>
      <c r="E30" s="651">
        <v>88.100000000000023</v>
      </c>
      <c r="F30" s="651">
        <v>104.30000000000001</v>
      </c>
      <c r="G30" s="651">
        <v>198.84999999999997</v>
      </c>
      <c r="H30" s="656">
        <v>102</v>
      </c>
    </row>
    <row r="31" spans="1:8" x14ac:dyDescent="0.2">
      <c r="A31" s="661" t="s">
        <v>293</v>
      </c>
      <c r="B31" s="655">
        <v>39.9</v>
      </c>
      <c r="C31" s="651">
        <v>50.29999999999999</v>
      </c>
      <c r="D31" s="651">
        <v>34.399999999999991</v>
      </c>
      <c r="E31" s="651">
        <v>42.300000000000004</v>
      </c>
      <c r="F31" s="651">
        <v>83.999999999999986</v>
      </c>
      <c r="G31" s="651">
        <v>88.799999999999983</v>
      </c>
      <c r="H31" s="656">
        <v>59.5</v>
      </c>
    </row>
    <row r="32" spans="1:8" x14ac:dyDescent="0.2">
      <c r="A32" s="661" t="s">
        <v>119</v>
      </c>
      <c r="B32" s="655">
        <v>4.2</v>
      </c>
      <c r="C32" s="651">
        <v>2.6</v>
      </c>
      <c r="D32" s="651">
        <v>4.8</v>
      </c>
      <c r="E32" s="651">
        <v>5.6999999999999993</v>
      </c>
      <c r="F32" s="651">
        <v>1.8</v>
      </c>
      <c r="G32" s="651">
        <v>12.350000000000001</v>
      </c>
      <c r="H32" s="656">
        <v>14.9</v>
      </c>
    </row>
    <row r="33" spans="1:8" x14ac:dyDescent="0.2">
      <c r="A33" s="661" t="s">
        <v>117</v>
      </c>
      <c r="B33" s="655">
        <v>0</v>
      </c>
      <c r="C33" s="651">
        <v>0</v>
      </c>
      <c r="D33" s="651">
        <v>0</v>
      </c>
      <c r="E33" s="651">
        <v>0</v>
      </c>
      <c r="F33" s="651">
        <v>0</v>
      </c>
      <c r="G33" s="651">
        <v>0</v>
      </c>
      <c r="H33" s="656">
        <v>0</v>
      </c>
    </row>
    <row r="34" spans="1:8" x14ac:dyDescent="0.2">
      <c r="A34" s="62" t="s">
        <v>118</v>
      </c>
      <c r="B34" s="657">
        <v>0</v>
      </c>
      <c r="C34" s="658">
        <v>0</v>
      </c>
      <c r="D34" s="658">
        <v>0</v>
      </c>
      <c r="E34" s="658">
        <v>0</v>
      </c>
      <c r="F34" s="658">
        <v>0</v>
      </c>
      <c r="G34" s="658">
        <v>0</v>
      </c>
      <c r="H34" s="659">
        <v>0</v>
      </c>
    </row>
    <row r="38" spans="1:8" x14ac:dyDescent="0.2">
      <c r="B38" s="863" t="s">
        <v>243</v>
      </c>
      <c r="C38" s="864"/>
      <c r="D38" s="864"/>
      <c r="E38" s="864"/>
      <c r="F38" s="864"/>
      <c r="G38" s="864"/>
      <c r="H38" s="865"/>
    </row>
    <row r="39" spans="1:8" x14ac:dyDescent="0.2">
      <c r="B39" s="662" t="s">
        <v>294</v>
      </c>
      <c r="C39" s="663" t="s">
        <v>295</v>
      </c>
      <c r="D39" s="663" t="s">
        <v>296</v>
      </c>
      <c r="E39" s="663" t="s">
        <v>196</v>
      </c>
      <c r="F39" s="663" t="s">
        <v>297</v>
      </c>
      <c r="G39" s="663" t="s">
        <v>298</v>
      </c>
      <c r="H39" s="664" t="s">
        <v>299</v>
      </c>
    </row>
    <row r="40" spans="1:8" x14ac:dyDescent="0.2">
      <c r="A40" s="660" t="s">
        <v>109</v>
      </c>
      <c r="B40" s="666">
        <v>9.1199999999999992</v>
      </c>
      <c r="C40" s="667">
        <v>9.1199999999999992</v>
      </c>
      <c r="D40" s="667">
        <v>9.1199999999999992</v>
      </c>
      <c r="E40" s="667">
        <v>9.1199999999999992</v>
      </c>
      <c r="F40" s="667">
        <v>9.1199999999999992</v>
      </c>
      <c r="G40" s="667">
        <v>9.1199999999999992</v>
      </c>
      <c r="H40" s="668">
        <v>9.1199999999999992</v>
      </c>
    </row>
    <row r="41" spans="1:8" x14ac:dyDescent="0.2">
      <c r="A41" s="661" t="s">
        <v>110</v>
      </c>
      <c r="B41" s="669">
        <v>10.199999999999999</v>
      </c>
      <c r="C41" s="665">
        <v>10.199999999999999</v>
      </c>
      <c r="D41" s="665">
        <v>10.199999999999999</v>
      </c>
      <c r="E41" s="665">
        <v>10.199999999999999</v>
      </c>
      <c r="F41" s="665">
        <v>10.199999999999999</v>
      </c>
      <c r="G41" s="665">
        <v>10.199999999999999</v>
      </c>
      <c r="H41" s="670">
        <v>10.199999999999999</v>
      </c>
    </row>
    <row r="42" spans="1:8" x14ac:dyDescent="0.2">
      <c r="A42" s="661" t="s">
        <v>111</v>
      </c>
      <c r="B42" s="669">
        <v>11.5</v>
      </c>
      <c r="C42" s="665">
        <v>11.5</v>
      </c>
      <c r="D42" s="665">
        <v>11.5</v>
      </c>
      <c r="E42" s="665">
        <v>11.5</v>
      </c>
      <c r="F42" s="665">
        <v>11.5</v>
      </c>
      <c r="G42" s="665">
        <v>11.5</v>
      </c>
      <c r="H42" s="670">
        <v>11.5</v>
      </c>
    </row>
    <row r="43" spans="1:8" x14ac:dyDescent="0.2">
      <c r="A43" s="661" t="s">
        <v>112</v>
      </c>
      <c r="B43" s="669">
        <v>13.26</v>
      </c>
      <c r="C43" s="665">
        <v>13.26</v>
      </c>
      <c r="D43" s="665">
        <v>13.26</v>
      </c>
      <c r="E43" s="665">
        <v>13.26</v>
      </c>
      <c r="F43" s="665">
        <v>13.26</v>
      </c>
      <c r="G43" s="665">
        <v>13.26</v>
      </c>
      <c r="H43" s="670">
        <v>13.26</v>
      </c>
    </row>
    <row r="44" spans="1:8" x14ac:dyDescent="0.2">
      <c r="A44" s="661" t="s">
        <v>90</v>
      </c>
      <c r="B44" s="669">
        <v>14.47</v>
      </c>
      <c r="C44" s="665">
        <v>14.47</v>
      </c>
      <c r="D44" s="665">
        <v>14.47</v>
      </c>
      <c r="E44" s="665">
        <v>14.47</v>
      </c>
      <c r="F44" s="665">
        <v>14.47</v>
      </c>
      <c r="G44" s="665">
        <v>14.47</v>
      </c>
      <c r="H44" s="670">
        <v>14.47</v>
      </c>
    </row>
    <row r="45" spans="1:8" x14ac:dyDescent="0.2">
      <c r="A45" s="661" t="s">
        <v>113</v>
      </c>
      <c r="B45" s="669">
        <v>15.3</v>
      </c>
      <c r="C45" s="665">
        <v>15.3</v>
      </c>
      <c r="D45" s="665">
        <v>15.3</v>
      </c>
      <c r="E45" s="665">
        <v>15.3</v>
      </c>
      <c r="F45" s="665">
        <v>15.3</v>
      </c>
      <c r="G45" s="665">
        <v>15.3</v>
      </c>
      <c r="H45" s="670">
        <v>15.3</v>
      </c>
    </row>
    <row r="46" spans="1:8" x14ac:dyDescent="0.2">
      <c r="A46" s="661" t="s">
        <v>114</v>
      </c>
      <c r="B46" s="669">
        <v>15.11</v>
      </c>
      <c r="C46" s="665">
        <v>15.11</v>
      </c>
      <c r="D46" s="665">
        <v>15.11</v>
      </c>
      <c r="E46" s="665">
        <v>15.11</v>
      </c>
      <c r="F46" s="665">
        <v>15.11</v>
      </c>
      <c r="G46" s="665">
        <v>15.11</v>
      </c>
      <c r="H46" s="670">
        <v>15.11</v>
      </c>
    </row>
    <row r="47" spans="1:8" x14ac:dyDescent="0.2">
      <c r="A47" s="661" t="s">
        <v>115</v>
      </c>
      <c r="B47" s="669">
        <v>14</v>
      </c>
      <c r="C47" s="665">
        <v>14</v>
      </c>
      <c r="D47" s="665">
        <v>14</v>
      </c>
      <c r="E47" s="665">
        <v>14</v>
      </c>
      <c r="F47" s="665">
        <v>14</v>
      </c>
      <c r="G47" s="665">
        <v>14</v>
      </c>
      <c r="H47" s="670">
        <v>14</v>
      </c>
    </row>
    <row r="48" spans="1:8" x14ac:dyDescent="0.2">
      <c r="A48" s="661" t="s">
        <v>293</v>
      </c>
      <c r="B48" s="669">
        <v>12.27</v>
      </c>
      <c r="C48" s="665">
        <v>12.27</v>
      </c>
      <c r="D48" s="665">
        <v>12.27</v>
      </c>
      <c r="E48" s="665">
        <v>12.27</v>
      </c>
      <c r="F48" s="665">
        <v>12.27</v>
      </c>
      <c r="G48" s="665">
        <v>12.27</v>
      </c>
      <c r="H48" s="670">
        <v>12.27</v>
      </c>
    </row>
    <row r="49" spans="1:8" x14ac:dyDescent="0.2">
      <c r="A49" s="661" t="s">
        <v>119</v>
      </c>
      <c r="B49" s="669">
        <v>10.52</v>
      </c>
      <c r="C49" s="665">
        <v>10.52</v>
      </c>
      <c r="D49" s="665">
        <v>10.52</v>
      </c>
      <c r="E49" s="665">
        <v>10.52</v>
      </c>
      <c r="F49" s="665">
        <v>10.52</v>
      </c>
      <c r="G49" s="665">
        <v>10.52</v>
      </c>
      <c r="H49" s="670">
        <v>10.52</v>
      </c>
    </row>
    <row r="50" spans="1:8" x14ac:dyDescent="0.2">
      <c r="A50" s="661" t="s">
        <v>117</v>
      </c>
      <c r="B50" s="669">
        <v>9.31</v>
      </c>
      <c r="C50" s="665">
        <v>9.31</v>
      </c>
      <c r="D50" s="665">
        <v>9.31</v>
      </c>
      <c r="E50" s="665">
        <v>9.31</v>
      </c>
      <c r="F50" s="665">
        <v>9.31</v>
      </c>
      <c r="G50" s="665">
        <v>9.31</v>
      </c>
      <c r="H50" s="670">
        <v>9.31</v>
      </c>
    </row>
    <row r="51" spans="1:8" x14ac:dyDescent="0.2">
      <c r="A51" s="62" t="s">
        <v>118</v>
      </c>
      <c r="B51" s="671">
        <v>8.5</v>
      </c>
      <c r="C51" s="672">
        <v>8.5</v>
      </c>
      <c r="D51" s="672">
        <v>8.5</v>
      </c>
      <c r="E51" s="672">
        <v>8.5</v>
      </c>
      <c r="F51" s="672">
        <v>8.5</v>
      </c>
      <c r="G51" s="672">
        <v>8.5</v>
      </c>
      <c r="H51" s="673">
        <v>8.5</v>
      </c>
    </row>
    <row r="55" spans="1:8" x14ac:dyDescent="0.2">
      <c r="B55" s="863" t="s">
        <v>302</v>
      </c>
      <c r="C55" s="864"/>
      <c r="D55" s="864"/>
      <c r="E55" s="864"/>
      <c r="F55" s="864"/>
      <c r="G55" s="864"/>
      <c r="H55" s="865"/>
    </row>
    <row r="56" spans="1:8" x14ac:dyDescent="0.2">
      <c r="B56" s="662" t="s">
        <v>294</v>
      </c>
      <c r="C56" s="663" t="s">
        <v>295</v>
      </c>
      <c r="D56" s="663" t="s">
        <v>296</v>
      </c>
      <c r="E56" s="663" t="s">
        <v>196</v>
      </c>
      <c r="F56" s="663" t="s">
        <v>297</v>
      </c>
      <c r="G56" s="663" t="s">
        <v>298</v>
      </c>
      <c r="H56" s="664" t="s">
        <v>299</v>
      </c>
    </row>
    <row r="57" spans="1:8" x14ac:dyDescent="0.2">
      <c r="A57" s="660" t="s">
        <v>109</v>
      </c>
      <c r="B57" s="675">
        <v>6.5039999999999996</v>
      </c>
      <c r="C57" s="676">
        <v>7.5679999999999996</v>
      </c>
      <c r="D57" s="676">
        <v>7.9379999999999997</v>
      </c>
      <c r="E57" s="676">
        <v>8.8919999999999995</v>
      </c>
      <c r="F57" s="676">
        <v>9.5</v>
      </c>
      <c r="G57" s="676">
        <v>10.59</v>
      </c>
      <c r="H57" s="677">
        <v>11</v>
      </c>
    </row>
    <row r="58" spans="1:8" x14ac:dyDescent="0.2">
      <c r="A58" s="661" t="s">
        <v>110</v>
      </c>
      <c r="B58" s="678">
        <v>6.5039999999999996</v>
      </c>
      <c r="C58" s="674">
        <v>7.5679999999999996</v>
      </c>
      <c r="D58" s="674">
        <v>7.9379999999999997</v>
      </c>
      <c r="E58" s="674">
        <v>8.8919999999999995</v>
      </c>
      <c r="F58" s="674">
        <v>9.5</v>
      </c>
      <c r="G58" s="674">
        <v>10.59</v>
      </c>
      <c r="H58" s="679">
        <v>11</v>
      </c>
    </row>
    <row r="59" spans="1:8" x14ac:dyDescent="0.2">
      <c r="A59" s="661" t="s">
        <v>111</v>
      </c>
      <c r="B59" s="678">
        <v>6.5039999999999996</v>
      </c>
      <c r="C59" s="674">
        <v>7.5679999999999996</v>
      </c>
      <c r="D59" s="674">
        <v>7.9379999999999997</v>
      </c>
      <c r="E59" s="674">
        <v>8.8919999999999995</v>
      </c>
      <c r="F59" s="674">
        <v>9.5</v>
      </c>
      <c r="G59" s="674">
        <v>10.59</v>
      </c>
      <c r="H59" s="679">
        <v>11</v>
      </c>
    </row>
    <row r="60" spans="1:8" x14ac:dyDescent="0.2">
      <c r="A60" s="661" t="s">
        <v>112</v>
      </c>
      <c r="B60" s="678">
        <v>6.5039999999999996</v>
      </c>
      <c r="C60" s="674">
        <v>7.5679999999999996</v>
      </c>
      <c r="D60" s="674">
        <v>7.9379999999999997</v>
      </c>
      <c r="E60" s="674">
        <v>8.8919999999999995</v>
      </c>
      <c r="F60" s="674">
        <v>9.5</v>
      </c>
      <c r="G60" s="674">
        <v>10.59</v>
      </c>
      <c r="H60" s="679">
        <v>11</v>
      </c>
    </row>
    <row r="61" spans="1:8" x14ac:dyDescent="0.2">
      <c r="A61" s="661" t="s">
        <v>90</v>
      </c>
      <c r="B61" s="678">
        <v>7.3040000000000003</v>
      </c>
      <c r="C61" s="674">
        <v>8.0660000000000007</v>
      </c>
      <c r="D61" s="674">
        <v>9.0960000000000001</v>
      </c>
      <c r="E61" s="674">
        <v>9.2460000000000004</v>
      </c>
      <c r="F61" s="674">
        <v>10.214</v>
      </c>
      <c r="G61" s="674">
        <v>11</v>
      </c>
      <c r="H61" s="679">
        <v>9.8000000000000007</v>
      </c>
    </row>
    <row r="62" spans="1:8" x14ac:dyDescent="0.2">
      <c r="A62" s="661" t="s">
        <v>113</v>
      </c>
      <c r="B62" s="678">
        <v>7.3040000000000003</v>
      </c>
      <c r="C62" s="674">
        <v>8.0660000000000007</v>
      </c>
      <c r="D62" s="674">
        <v>9.0960000000000001</v>
      </c>
      <c r="E62" s="674">
        <v>9.2460000000000004</v>
      </c>
      <c r="F62" s="674">
        <v>10.214</v>
      </c>
      <c r="G62" s="674">
        <v>11</v>
      </c>
      <c r="H62" s="679">
        <v>9.8000000000000007</v>
      </c>
    </row>
    <row r="63" spans="1:8" x14ac:dyDescent="0.2">
      <c r="A63" s="661" t="s">
        <v>114</v>
      </c>
      <c r="B63" s="678">
        <v>7.3040000000000003</v>
      </c>
      <c r="C63" s="674">
        <v>8.0660000000000007</v>
      </c>
      <c r="D63" s="674">
        <v>9.0960000000000001</v>
      </c>
      <c r="E63" s="674">
        <v>9.2460000000000004</v>
      </c>
      <c r="F63" s="674">
        <v>10.214</v>
      </c>
      <c r="G63" s="674">
        <v>11</v>
      </c>
      <c r="H63" s="679">
        <v>9.8000000000000007</v>
      </c>
    </row>
    <row r="64" spans="1:8" x14ac:dyDescent="0.2">
      <c r="A64" s="661" t="s">
        <v>115</v>
      </c>
      <c r="B64" s="678">
        <v>7.3040000000000003</v>
      </c>
      <c r="C64" s="674">
        <v>8.0660000000000007</v>
      </c>
      <c r="D64" s="674">
        <v>9.0960000000000001</v>
      </c>
      <c r="E64" s="674">
        <v>9.2460000000000004</v>
      </c>
      <c r="F64" s="674">
        <v>10.214</v>
      </c>
      <c r="G64" s="674">
        <v>11</v>
      </c>
      <c r="H64" s="679">
        <v>9.8000000000000007</v>
      </c>
    </row>
    <row r="65" spans="1:8" x14ac:dyDescent="0.2">
      <c r="A65" s="661" t="s">
        <v>293</v>
      </c>
      <c r="B65" s="678">
        <v>7.3040000000000003</v>
      </c>
      <c r="C65" s="674">
        <v>8.0660000000000007</v>
      </c>
      <c r="D65" s="674">
        <v>9.0960000000000001</v>
      </c>
      <c r="E65" s="674">
        <v>9.2460000000000004</v>
      </c>
      <c r="F65" s="674">
        <v>10.214</v>
      </c>
      <c r="G65" s="674">
        <v>11</v>
      </c>
      <c r="H65" s="679">
        <v>9.8000000000000007</v>
      </c>
    </row>
    <row r="66" spans="1:8" x14ac:dyDescent="0.2">
      <c r="A66" s="661" t="s">
        <v>119</v>
      </c>
      <c r="B66" s="678">
        <v>7.3040000000000003</v>
      </c>
      <c r="C66" s="674">
        <v>8.0660000000000007</v>
      </c>
      <c r="D66" s="674">
        <v>9.0960000000000001</v>
      </c>
      <c r="E66" s="674">
        <v>9.2460000000000004</v>
      </c>
      <c r="F66" s="674">
        <v>10.214</v>
      </c>
      <c r="G66" s="674">
        <v>11</v>
      </c>
      <c r="H66" s="679">
        <v>9.8000000000000007</v>
      </c>
    </row>
    <row r="67" spans="1:8" x14ac:dyDescent="0.2">
      <c r="A67" s="661" t="s">
        <v>117</v>
      </c>
      <c r="B67" s="678">
        <v>7.5679999999999996</v>
      </c>
      <c r="C67" s="674">
        <v>7.9379999999999997</v>
      </c>
      <c r="D67" s="674">
        <v>8.8919999999999995</v>
      </c>
      <c r="E67" s="674">
        <v>9.5</v>
      </c>
      <c r="F67" s="674">
        <v>10.59</v>
      </c>
      <c r="G67" s="674">
        <v>11</v>
      </c>
      <c r="H67" s="679">
        <v>8</v>
      </c>
    </row>
    <row r="68" spans="1:8" x14ac:dyDescent="0.2">
      <c r="A68" s="62" t="s">
        <v>118</v>
      </c>
      <c r="B68" s="680">
        <v>7.5679999999999996</v>
      </c>
      <c r="C68" s="681">
        <v>7.9379999999999997</v>
      </c>
      <c r="D68" s="681">
        <v>8.8919999999999995</v>
      </c>
      <c r="E68" s="681">
        <v>9.5</v>
      </c>
      <c r="F68" s="681">
        <v>10.59</v>
      </c>
      <c r="G68" s="681">
        <v>11</v>
      </c>
      <c r="H68" s="682">
        <v>8</v>
      </c>
    </row>
  </sheetData>
  <mergeCells count="4">
    <mergeCell ref="B5:H5"/>
    <mergeCell ref="B21:H21"/>
    <mergeCell ref="B38:H38"/>
    <mergeCell ref="B55:H55"/>
  </mergeCells>
  <pageMargins left="0.7" right="0.7" top="0.75" bottom="0.75" header="0.3" footer="0.3"/>
  <ignoredErrors>
    <ignoredError sqref="B6:H6 B22 C22:H22 B39:H39 B56:H56" numberStoredAsText="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6" tint="0.79998168889431442"/>
  </sheetPr>
  <dimension ref="A1:AN141"/>
  <sheetViews>
    <sheetView showGridLines="0" topLeftCell="I97" zoomScaleNormal="100" workbookViewId="0">
      <selection activeCell="Y52" sqref="Y52"/>
    </sheetView>
  </sheetViews>
  <sheetFormatPr defaultRowHeight="12.75" x14ac:dyDescent="0.2"/>
  <cols>
    <col min="1" max="1" width="13.6640625" customWidth="1"/>
    <col min="2" max="2" width="25.33203125" style="38" customWidth="1"/>
    <col min="3" max="3" width="16.83203125" style="332" customWidth="1"/>
    <col min="4" max="10" width="16.83203125" style="38" customWidth="1"/>
    <col min="11" max="17" width="16.83203125" style="346" customWidth="1"/>
    <col min="18" max="18" width="4.1640625" style="1" customWidth="1"/>
    <col min="19" max="19" width="20.33203125" style="38" bestFit="1" customWidth="1"/>
    <col min="20" max="20" width="21.6640625" style="1" customWidth="1"/>
    <col min="21" max="21" width="19.1640625" style="1" customWidth="1"/>
    <col min="22" max="22" width="21.5" style="1" customWidth="1"/>
    <col min="23" max="23" width="33.6640625" style="1" bestFit="1" customWidth="1"/>
    <col min="24" max="25" width="21" style="1" bestFit="1" customWidth="1"/>
    <col min="26" max="26" width="14.83203125" style="1" bestFit="1" customWidth="1"/>
    <col min="27" max="27" width="15.83203125" style="1" bestFit="1" customWidth="1"/>
    <col min="28" max="28" width="12.83203125" style="1" bestFit="1" customWidth="1"/>
    <col min="29" max="30" width="14" style="1" bestFit="1" customWidth="1"/>
    <col min="31" max="16384" width="9.33203125" style="1"/>
  </cols>
  <sheetData>
    <row r="1" spans="1:40" s="296" customFormat="1" x14ac:dyDescent="0.2">
      <c r="A1" s="366" t="s">
        <v>198</v>
      </c>
      <c r="B1" s="38"/>
      <c r="C1" s="332"/>
      <c r="D1" s="38"/>
      <c r="E1" s="38"/>
      <c r="F1" s="38"/>
      <c r="G1" s="38"/>
      <c r="H1" s="38"/>
      <c r="I1" s="38"/>
      <c r="J1" s="38"/>
      <c r="K1" s="346"/>
      <c r="L1" s="346"/>
      <c r="M1" s="346"/>
      <c r="N1" s="346"/>
      <c r="O1" s="346"/>
      <c r="P1" s="346"/>
      <c r="Q1" s="346"/>
      <c r="S1" s="38"/>
    </row>
    <row r="2" spans="1:40" s="296" customFormat="1" x14ac:dyDescent="0.2">
      <c r="A2"/>
      <c r="B2" s="38"/>
      <c r="C2" s="332"/>
      <c r="D2" s="38"/>
      <c r="E2" s="38"/>
      <c r="F2" s="38"/>
      <c r="G2" s="38"/>
      <c r="H2" s="38"/>
      <c r="I2" s="38"/>
      <c r="J2" s="38"/>
      <c r="K2" s="346"/>
      <c r="L2" s="346"/>
      <c r="M2" s="346"/>
      <c r="N2" s="346"/>
      <c r="O2" s="346"/>
      <c r="P2" s="346"/>
      <c r="Q2" s="346"/>
      <c r="S2" s="38"/>
    </row>
    <row r="3" spans="1:40" s="296" customFormat="1" x14ac:dyDescent="0.2">
      <c r="A3"/>
      <c r="B3" s="38"/>
      <c r="C3" s="332"/>
      <c r="D3" s="38"/>
      <c r="E3" s="38"/>
      <c r="F3" s="38"/>
      <c r="G3" s="38"/>
      <c r="H3" s="38"/>
      <c r="I3" s="38"/>
      <c r="J3" s="38"/>
      <c r="K3" s="346"/>
      <c r="L3" s="346"/>
      <c r="M3" s="346"/>
      <c r="N3" s="346"/>
      <c r="O3" s="346"/>
      <c r="P3" s="346"/>
      <c r="Q3" s="346"/>
      <c r="S3" s="38"/>
    </row>
    <row r="4" spans="1:40" s="296" customFormat="1" x14ac:dyDescent="0.2">
      <c r="A4"/>
      <c r="B4" s="38"/>
      <c r="C4" s="332"/>
      <c r="D4" s="38"/>
      <c r="E4" s="38"/>
      <c r="F4" s="38"/>
      <c r="G4" s="38"/>
      <c r="H4" s="38"/>
      <c r="I4" s="38"/>
      <c r="J4" s="38"/>
      <c r="K4" s="346"/>
      <c r="L4" s="346"/>
      <c r="M4" s="346"/>
      <c r="N4" s="346"/>
      <c r="O4" s="346"/>
      <c r="P4" s="346"/>
      <c r="Q4" s="346"/>
      <c r="S4" s="38"/>
    </row>
    <row r="5" spans="1:40" s="296" customFormat="1" x14ac:dyDescent="0.2">
      <c r="A5"/>
      <c r="B5" s="38"/>
      <c r="C5" s="332"/>
      <c r="D5" s="38"/>
      <c r="E5" s="38"/>
      <c r="F5" s="38"/>
      <c r="G5" s="38"/>
      <c r="H5" s="38"/>
      <c r="I5" s="38"/>
      <c r="J5" s="38"/>
      <c r="K5" s="346"/>
      <c r="L5" s="346"/>
      <c r="M5" s="346"/>
      <c r="N5" s="346"/>
      <c r="O5" s="346"/>
      <c r="P5" s="346"/>
      <c r="Q5" s="346"/>
      <c r="S5" s="38"/>
    </row>
    <row r="6" spans="1:40" s="296" customFormat="1" x14ac:dyDescent="0.2">
      <c r="A6"/>
      <c r="B6" s="38"/>
      <c r="C6" s="332"/>
      <c r="D6" s="38"/>
      <c r="E6" s="38"/>
      <c r="F6" s="38"/>
      <c r="G6" s="38"/>
      <c r="H6" s="38"/>
      <c r="I6" s="38"/>
      <c r="J6" s="38"/>
      <c r="K6" s="346"/>
      <c r="L6" s="346"/>
      <c r="M6" s="346"/>
      <c r="N6" s="346"/>
      <c r="O6" s="346"/>
      <c r="P6" s="346"/>
      <c r="Q6" s="346"/>
      <c r="S6" s="38"/>
    </row>
    <row r="7" spans="1:40" s="296" customFormat="1" x14ac:dyDescent="0.2">
      <c r="A7"/>
      <c r="B7" s="38"/>
      <c r="C7" s="332"/>
      <c r="D7" s="38"/>
      <c r="E7" s="38"/>
      <c r="F7" s="38"/>
      <c r="G7" s="38"/>
      <c r="H7" s="38"/>
      <c r="I7" s="38"/>
      <c r="J7" s="38"/>
      <c r="K7" s="346"/>
      <c r="L7" s="346"/>
      <c r="M7" s="346"/>
      <c r="N7" s="346"/>
      <c r="O7" s="346"/>
      <c r="P7" s="346"/>
      <c r="Q7" s="346"/>
      <c r="S7" s="38"/>
    </row>
    <row r="8" spans="1:40" s="296" customFormat="1" x14ac:dyDescent="0.2">
      <c r="A8"/>
      <c r="B8" s="38"/>
      <c r="C8" s="332"/>
      <c r="D8" s="38"/>
      <c r="E8" s="38"/>
      <c r="F8" s="38"/>
      <c r="G8" s="38"/>
      <c r="H8" s="38"/>
      <c r="I8" s="38"/>
      <c r="J8" s="38"/>
      <c r="K8" s="346"/>
      <c r="L8" s="346"/>
      <c r="M8" s="346"/>
      <c r="N8" s="346"/>
      <c r="O8" s="346"/>
      <c r="P8" s="346"/>
      <c r="Q8" s="346"/>
      <c r="S8" s="38"/>
    </row>
    <row r="9" spans="1:40" s="296" customFormat="1" x14ac:dyDescent="0.2">
      <c r="A9"/>
      <c r="B9" s="38"/>
      <c r="C9" s="332"/>
      <c r="D9" s="38"/>
      <c r="E9" s="38"/>
      <c r="F9" s="38"/>
      <c r="G9" s="38"/>
      <c r="H9" s="38"/>
      <c r="I9" s="38"/>
      <c r="J9" s="38"/>
      <c r="K9" s="346"/>
      <c r="L9" s="346"/>
      <c r="M9" s="346"/>
      <c r="N9" s="346"/>
      <c r="O9" s="346"/>
      <c r="P9" s="346"/>
      <c r="Q9" s="346"/>
      <c r="S9" s="38"/>
    </row>
    <row r="10" spans="1:40" s="296" customFormat="1" x14ac:dyDescent="0.2">
      <c r="A10"/>
      <c r="B10" s="38"/>
      <c r="C10" s="332"/>
      <c r="D10" s="38"/>
      <c r="E10" s="38"/>
      <c r="F10" s="38"/>
      <c r="G10" s="38"/>
      <c r="H10" s="38"/>
      <c r="I10" s="38"/>
      <c r="J10" s="38"/>
      <c r="K10" s="346"/>
      <c r="L10" s="346"/>
      <c r="M10" s="346"/>
      <c r="N10" s="346"/>
      <c r="O10" s="346"/>
      <c r="P10" s="346"/>
      <c r="Q10" s="346"/>
      <c r="S10" s="38"/>
    </row>
    <row r="11" spans="1:40" ht="23.25" x14ac:dyDescent="0.2">
      <c r="A11" s="163"/>
      <c r="B11" s="164" t="s">
        <v>74</v>
      </c>
      <c r="C11" s="333"/>
      <c r="D11" s="154"/>
      <c r="E11" s="154"/>
      <c r="F11" s="154"/>
      <c r="G11" s="154"/>
      <c r="H11" s="154"/>
      <c r="I11" s="154"/>
      <c r="J11" s="154"/>
      <c r="K11" s="347"/>
      <c r="L11" s="347"/>
      <c r="M11" s="347"/>
      <c r="N11" s="347"/>
      <c r="O11" s="347"/>
      <c r="P11" s="347"/>
      <c r="Q11" s="347"/>
      <c r="R11" s="153"/>
      <c r="S11" s="154"/>
      <c r="T11" s="153"/>
      <c r="U11" s="153"/>
      <c r="V11" s="153"/>
      <c r="W11" s="153"/>
      <c r="X11" s="153"/>
      <c r="Y11" s="153"/>
      <c r="Z11" s="153"/>
      <c r="AA11" s="153"/>
      <c r="AB11" s="153"/>
      <c r="AC11" s="153"/>
      <c r="AD11" s="153"/>
      <c r="AE11" s="153"/>
      <c r="AF11" s="153"/>
      <c r="AG11" s="153"/>
      <c r="AH11" s="153"/>
      <c r="AI11" s="153"/>
      <c r="AJ11" s="153"/>
      <c r="AK11" s="153"/>
      <c r="AL11" s="153"/>
      <c r="AM11" s="153"/>
      <c r="AN11" s="153"/>
    </row>
    <row r="12" spans="1:40" ht="15" x14ac:dyDescent="0.2">
      <c r="A12" s="163"/>
      <c r="B12" s="42" t="s">
        <v>55</v>
      </c>
      <c r="C12" s="333"/>
      <c r="D12" s="154"/>
      <c r="E12" s="154"/>
      <c r="F12" s="154"/>
      <c r="G12" s="154"/>
      <c r="H12" s="154"/>
      <c r="I12" s="154"/>
      <c r="J12" s="154"/>
      <c r="K12" s="347"/>
      <c r="L12" s="347"/>
      <c r="M12" s="347"/>
      <c r="N12" s="347"/>
      <c r="O12" s="347"/>
      <c r="P12" s="347"/>
      <c r="Q12" s="347"/>
      <c r="R12" s="153"/>
      <c r="S12" s="153"/>
      <c r="T12" s="153"/>
      <c r="U12" s="153"/>
      <c r="V12" s="153"/>
      <c r="W12" s="153"/>
      <c r="X12" s="153"/>
      <c r="Y12" s="153"/>
      <c r="Z12" s="153"/>
      <c r="AA12" s="153"/>
      <c r="AB12" s="153"/>
      <c r="AC12" s="153"/>
      <c r="AD12" s="153"/>
      <c r="AE12" s="153"/>
      <c r="AF12" s="153"/>
      <c r="AG12" s="153"/>
      <c r="AH12" s="153"/>
      <c r="AI12" s="153"/>
      <c r="AJ12" s="153"/>
      <c r="AK12" s="153"/>
      <c r="AL12" s="153"/>
    </row>
    <row r="13" spans="1:40" ht="14.25" x14ac:dyDescent="0.2">
      <c r="A13" s="163"/>
      <c r="B13" s="71" t="s">
        <v>184</v>
      </c>
      <c r="C13" s="333"/>
      <c r="D13" s="154"/>
      <c r="E13" s="154"/>
      <c r="F13" s="154"/>
      <c r="G13" s="154"/>
      <c r="H13" s="154"/>
      <c r="I13" s="154"/>
      <c r="J13" s="154"/>
      <c r="K13" s="347"/>
      <c r="L13" s="347"/>
      <c r="M13" s="347"/>
      <c r="N13" s="347"/>
      <c r="O13" s="347"/>
      <c r="P13" s="347"/>
      <c r="Q13" s="347"/>
      <c r="R13" s="153"/>
      <c r="S13" s="154"/>
      <c r="T13" s="153"/>
      <c r="U13" s="153"/>
      <c r="V13" s="153"/>
      <c r="W13" s="153"/>
      <c r="X13" s="153"/>
      <c r="Y13" s="153"/>
      <c r="Z13" s="153"/>
      <c r="AA13" s="153"/>
      <c r="AB13" s="153"/>
      <c r="AC13" s="153"/>
      <c r="AD13" s="153"/>
      <c r="AE13" s="153"/>
      <c r="AF13" s="153"/>
      <c r="AG13" s="153"/>
      <c r="AH13" s="153"/>
      <c r="AI13" s="153"/>
      <c r="AJ13" s="153"/>
      <c r="AK13" s="153"/>
      <c r="AL13" s="153"/>
      <c r="AM13" s="153"/>
      <c r="AN13" s="153"/>
    </row>
    <row r="14" spans="1:40" ht="14.25" x14ac:dyDescent="0.2">
      <c r="A14" s="163"/>
      <c r="B14" s="71" t="s">
        <v>185</v>
      </c>
      <c r="C14" s="333"/>
      <c r="D14" s="154"/>
      <c r="E14" s="154"/>
      <c r="F14" s="154"/>
      <c r="G14" s="154"/>
      <c r="H14" s="154"/>
      <c r="I14" s="154"/>
      <c r="J14" s="154"/>
      <c r="K14" s="347"/>
      <c r="L14" s="347"/>
      <c r="M14" s="347"/>
      <c r="N14" s="347"/>
      <c r="O14" s="347"/>
      <c r="P14" s="347"/>
      <c r="Q14" s="347"/>
      <c r="R14" s="153"/>
      <c r="S14" s="154"/>
      <c r="T14" s="153"/>
      <c r="U14" s="153"/>
      <c r="V14" s="153"/>
      <c r="W14" s="153"/>
      <c r="X14" s="153"/>
      <c r="Y14" s="153"/>
      <c r="Z14" s="153"/>
      <c r="AA14" s="153"/>
      <c r="AB14" s="153"/>
      <c r="AC14" s="153"/>
      <c r="AD14" s="153"/>
      <c r="AE14" s="153"/>
      <c r="AF14" s="153"/>
      <c r="AG14" s="153"/>
      <c r="AH14" s="153"/>
      <c r="AI14" s="153"/>
      <c r="AJ14" s="153"/>
      <c r="AK14" s="153"/>
      <c r="AL14" s="153"/>
      <c r="AM14" s="153"/>
      <c r="AN14" s="153"/>
    </row>
    <row r="15" spans="1:40" ht="15" customHeight="1" x14ac:dyDescent="0.2">
      <c r="A15" s="163"/>
      <c r="B15" s="71" t="s">
        <v>186</v>
      </c>
      <c r="C15" s="334"/>
      <c r="D15" s="164"/>
      <c r="E15" s="164"/>
      <c r="F15" s="164"/>
      <c r="G15" s="164"/>
      <c r="H15" s="164"/>
      <c r="I15" s="164"/>
      <c r="J15" s="154"/>
      <c r="K15" s="347"/>
      <c r="L15" s="347"/>
      <c r="M15" s="347"/>
      <c r="N15" s="347"/>
      <c r="O15" s="347"/>
      <c r="P15" s="347"/>
      <c r="Q15" s="347"/>
      <c r="R15" s="153"/>
      <c r="S15" s="154"/>
      <c r="T15" s="153"/>
      <c r="U15" s="153"/>
      <c r="V15" s="153"/>
      <c r="W15" s="153"/>
      <c r="X15" s="153"/>
      <c r="Y15" s="153"/>
      <c r="Z15" s="153"/>
      <c r="AA15" s="153"/>
      <c r="AB15" s="153"/>
      <c r="AC15" s="153"/>
      <c r="AD15" s="153"/>
      <c r="AE15" s="153"/>
      <c r="AF15" s="153"/>
      <c r="AG15" s="153"/>
      <c r="AH15" s="153"/>
      <c r="AI15" s="153"/>
      <c r="AJ15" s="153"/>
      <c r="AK15" s="153"/>
      <c r="AL15" s="153"/>
      <c r="AM15" s="153"/>
      <c r="AN15" s="153"/>
    </row>
    <row r="16" spans="1:40" ht="13.5" customHeight="1" x14ac:dyDescent="0.2">
      <c r="A16" s="163"/>
      <c r="C16" s="334"/>
      <c r="D16" s="164"/>
      <c r="E16" s="164"/>
      <c r="F16" s="164"/>
      <c r="G16" s="164"/>
      <c r="H16" s="164"/>
      <c r="I16" s="164"/>
      <c r="J16" s="154"/>
      <c r="K16" s="347"/>
      <c r="L16" s="347"/>
      <c r="M16" s="347"/>
      <c r="N16" s="347"/>
      <c r="O16" s="347"/>
      <c r="P16" s="347"/>
      <c r="Q16" s="347"/>
      <c r="R16" s="153"/>
      <c r="S16" s="154"/>
      <c r="T16" s="153"/>
      <c r="U16" s="153"/>
      <c r="V16" s="153"/>
      <c r="W16" s="153"/>
      <c r="X16" s="153"/>
      <c r="Y16" s="153"/>
      <c r="Z16" s="153"/>
      <c r="AA16" s="153"/>
      <c r="AB16" s="153"/>
      <c r="AC16" s="153"/>
      <c r="AD16" s="153"/>
      <c r="AE16" s="153"/>
      <c r="AF16" s="153"/>
      <c r="AG16" s="153"/>
      <c r="AH16" s="153"/>
      <c r="AI16" s="153"/>
      <c r="AJ16" s="153"/>
      <c r="AK16" s="153"/>
      <c r="AL16" s="153"/>
      <c r="AM16" s="153"/>
      <c r="AN16" s="153"/>
    </row>
    <row r="17" spans="1:40" s="118" customFormat="1" x14ac:dyDescent="0.2">
      <c r="A17" s="313"/>
      <c r="B17" s="319"/>
      <c r="C17" s="335"/>
      <c r="D17" s="866" t="s">
        <v>108</v>
      </c>
      <c r="E17" s="866"/>
      <c r="F17" s="866"/>
      <c r="G17" s="866"/>
      <c r="H17" s="866"/>
      <c r="I17" s="866"/>
      <c r="J17" s="319"/>
      <c r="K17" s="866" t="s">
        <v>98</v>
      </c>
      <c r="L17" s="866"/>
      <c r="M17" s="866"/>
      <c r="N17" s="866"/>
      <c r="O17" s="866"/>
      <c r="P17" s="866"/>
      <c r="Q17" s="866"/>
      <c r="R17" s="173"/>
      <c r="S17" s="319"/>
      <c r="T17" s="173"/>
      <c r="U17" s="173"/>
      <c r="V17" s="173"/>
      <c r="W17" s="173"/>
      <c r="X17" s="173"/>
      <c r="Y17" s="173"/>
      <c r="Z17" s="173"/>
      <c r="AA17" s="173"/>
      <c r="AB17" s="173"/>
      <c r="AC17" s="173"/>
      <c r="AD17" s="173"/>
      <c r="AE17" s="173"/>
      <c r="AF17" s="173"/>
      <c r="AG17" s="173"/>
      <c r="AH17" s="173"/>
      <c r="AI17" s="173"/>
      <c r="AJ17" s="173"/>
      <c r="AK17" s="173"/>
      <c r="AL17" s="173"/>
      <c r="AM17" s="173"/>
      <c r="AN17" s="173"/>
    </row>
    <row r="18" spans="1:40" s="118" customFormat="1" ht="75" customHeight="1" x14ac:dyDescent="0.2">
      <c r="A18" s="314" t="s">
        <v>252</v>
      </c>
      <c r="B18" s="314" t="s">
        <v>240</v>
      </c>
      <c r="C18" s="336" t="s">
        <v>96</v>
      </c>
      <c r="D18" s="315" t="s">
        <v>248</v>
      </c>
      <c r="E18" s="315" t="s">
        <v>249</v>
      </c>
      <c r="F18" s="315" t="s">
        <v>250</v>
      </c>
      <c r="G18" s="315" t="s">
        <v>180</v>
      </c>
      <c r="H18" s="316" t="s">
        <v>180</v>
      </c>
      <c r="I18" s="316" t="s">
        <v>180</v>
      </c>
      <c r="J18" s="309" t="s">
        <v>97</v>
      </c>
      <c r="K18" s="381" t="e">
        <f>+Variable1</f>
        <v>#NAME?</v>
      </c>
      <c r="L18" s="381" t="e">
        <f>+Variable2</f>
        <v>#NAME?</v>
      </c>
      <c r="M18" s="381" t="e">
        <f>+Variable3</f>
        <v>#NAME?</v>
      </c>
      <c r="N18" s="381" t="str">
        <f>+'5.Variables'!B47</f>
        <v># Customers</v>
      </c>
      <c r="O18" s="381" t="e">
        <f>+Variable5</f>
        <v>#NAME?</v>
      </c>
      <c r="P18" s="381" t="e">
        <f>+Variable6</f>
        <v>#NAME?</v>
      </c>
      <c r="Q18" s="381" t="str">
        <f>+'5.Variables'!B79</f>
        <v>Blended Rate</v>
      </c>
      <c r="R18" s="317"/>
      <c r="S18" s="649" t="s">
        <v>120</v>
      </c>
      <c r="T18" s="152" t="s">
        <v>31</v>
      </c>
      <c r="U18" s="152" t="s">
        <v>254</v>
      </c>
      <c r="V18" s="487" t="s">
        <v>128</v>
      </c>
      <c r="W18" s="487"/>
      <c r="X18" s="487"/>
      <c r="Y18" s="487"/>
      <c r="Z18" s="487"/>
      <c r="AA18" s="487"/>
      <c r="AB18" s="487"/>
      <c r="AC18" s="487"/>
      <c r="AD18" s="487"/>
      <c r="AE18" s="318"/>
      <c r="AF18" s="173"/>
      <c r="AG18" s="173"/>
      <c r="AH18" s="173"/>
      <c r="AI18" s="173"/>
      <c r="AJ18" s="173"/>
      <c r="AK18" s="173"/>
      <c r="AL18" s="173"/>
      <c r="AM18" s="173"/>
      <c r="AN18" s="173"/>
    </row>
    <row r="19" spans="1:40" ht="51.75" customHeight="1" thickBot="1" x14ac:dyDescent="0.25">
      <c r="A19" s="311"/>
      <c r="B19" s="310"/>
      <c r="C19" s="337"/>
      <c r="D19" s="305"/>
      <c r="E19" s="306"/>
      <c r="F19" s="306"/>
      <c r="G19" s="307"/>
      <c r="I19" s="364" t="s">
        <v>135</v>
      </c>
      <c r="J19" s="331"/>
      <c r="K19" s="380" t="s">
        <v>137</v>
      </c>
      <c r="L19" s="380" t="s">
        <v>137</v>
      </c>
      <c r="M19" s="380" t="s">
        <v>137</v>
      </c>
      <c r="N19" s="380" t="s">
        <v>253</v>
      </c>
      <c r="O19" s="380" t="s">
        <v>137</v>
      </c>
      <c r="P19" s="380" t="s">
        <v>137</v>
      </c>
      <c r="Q19" s="380" t="s">
        <v>251</v>
      </c>
      <c r="R19" s="867"/>
      <c r="S19" s="867"/>
      <c r="T19" s="867"/>
      <c r="U19" s="153"/>
      <c r="V19" s="488"/>
      <c r="W19" s="488"/>
      <c r="X19" s="488"/>
      <c r="Y19" s="488"/>
      <c r="Z19" s="488"/>
      <c r="AA19" s="488"/>
      <c r="AB19" s="488"/>
      <c r="AC19" s="488"/>
      <c r="AD19" s="488"/>
      <c r="AE19" s="165"/>
      <c r="AF19" s="153"/>
      <c r="AG19" s="153"/>
      <c r="AH19" s="153"/>
      <c r="AI19" s="153"/>
      <c r="AJ19" s="153"/>
      <c r="AK19" s="153"/>
      <c r="AL19" s="153"/>
      <c r="AM19" s="153"/>
      <c r="AN19" s="153"/>
    </row>
    <row r="20" spans="1:40" x14ac:dyDescent="0.2">
      <c r="A20" s="493">
        <v>1</v>
      </c>
      <c r="B20" s="308" t="str">
        <f>CONCATENATE('3. Consumption by Rate Class'!B25,"-",'3. Consumption by Rate Class'!C25)</f>
        <v>2011-January</v>
      </c>
      <c r="C20" s="473">
        <v>15867080.4934</v>
      </c>
      <c r="D20" s="338">
        <v>4689.5659999999998</v>
      </c>
      <c r="E20" s="486">
        <v>0</v>
      </c>
      <c r="F20" s="338">
        <v>340619.94060000003</v>
      </c>
      <c r="G20" s="325"/>
      <c r="H20" s="326"/>
      <c r="I20" s="326"/>
      <c r="J20" s="312">
        <f t="shared" ref="J20:J48" si="0">SUM(C20:I20)</f>
        <v>16212390</v>
      </c>
      <c r="K20" s="348">
        <f>+'5.Variables'!$C$17</f>
        <v>678.00000000000011</v>
      </c>
      <c r="L20" s="348">
        <f>+'5.Variables'!$C$27</f>
        <v>0</v>
      </c>
      <c r="M20" s="348">
        <f>+'5.Variables'!$C$38</f>
        <v>9.1199999999999992</v>
      </c>
      <c r="N20" s="348">
        <f>+'5.Variables'!$C$49</f>
        <v>7891</v>
      </c>
      <c r="O20" s="348">
        <f>+'5.Variables'!$C$60</f>
        <v>31</v>
      </c>
      <c r="P20" s="348">
        <f>+'5.Variables'!$C$71</f>
        <v>1</v>
      </c>
      <c r="Q20" s="348">
        <f>+'5.Variables'!$C$81</f>
        <v>6.5039999999999996</v>
      </c>
      <c r="R20" s="153"/>
      <c r="S20" s="167">
        <f>$W$34+(K20*$W$35)+(L20*$W$36)+(M20*$W$37)+(N20*$W$38)+(O20*$W$39)+(P20*$W$40)+(P20*$W$40)</f>
        <v>16758803.975905843</v>
      </c>
      <c r="T20" s="168"/>
      <c r="U20" s="153"/>
      <c r="V20" s="683" t="s">
        <v>7</v>
      </c>
      <c r="W20" s="683"/>
      <c r="X20" s="488"/>
      <c r="Y20" s="488"/>
      <c r="Z20" s="488"/>
      <c r="AA20" s="488"/>
      <c r="AB20" s="488"/>
      <c r="AC20" s="488"/>
      <c r="AD20" s="488"/>
      <c r="AE20" s="153"/>
      <c r="AF20" s="153"/>
      <c r="AG20" s="153"/>
      <c r="AH20" s="153"/>
      <c r="AI20" s="153"/>
      <c r="AJ20" s="153"/>
      <c r="AK20" s="153"/>
      <c r="AL20" s="153"/>
      <c r="AM20" s="153"/>
      <c r="AN20" s="153"/>
    </row>
    <row r="21" spans="1:40" x14ac:dyDescent="0.2">
      <c r="A21" s="493">
        <f t="shared" ref="A21:A49" si="1">+A20+1</f>
        <v>2</v>
      </c>
      <c r="B21" s="166" t="str">
        <f>CONCATENATE('3. Consumption by Rate Class'!B26,"-",'3. Consumption by Rate Class'!C26)</f>
        <v>2011-February</v>
      </c>
      <c r="C21" s="473">
        <v>14293680.9386</v>
      </c>
      <c r="D21" s="338">
        <v>4834.96</v>
      </c>
      <c r="E21" s="486">
        <v>0</v>
      </c>
      <c r="F21" s="338">
        <v>205698.10140000004</v>
      </c>
      <c r="G21" s="327"/>
      <c r="H21" s="328"/>
      <c r="I21" s="328"/>
      <c r="J21" s="167">
        <f t="shared" si="0"/>
        <v>14504214</v>
      </c>
      <c r="K21" s="348">
        <f>+'5.Variables'!$D$17</f>
        <v>578.5</v>
      </c>
      <c r="L21" s="348">
        <f>+'5.Variables'!$D$27</f>
        <v>0</v>
      </c>
      <c r="M21" s="348">
        <f>+'5.Variables'!$D$38</f>
        <v>10.199999999999999</v>
      </c>
      <c r="N21" s="348">
        <f>+'5.Variables'!$D$49</f>
        <v>7898.5</v>
      </c>
      <c r="O21" s="348">
        <f>+'5.Variables'!$D$60</f>
        <v>28</v>
      </c>
      <c r="P21" s="348">
        <f>+'5.Variables'!$D$71</f>
        <v>1</v>
      </c>
      <c r="Q21" s="348">
        <f>+'5.Variables'!$D$81</f>
        <v>6.5039999999999996</v>
      </c>
      <c r="R21" s="153"/>
      <c r="S21" s="167">
        <f t="shared" ref="S21:S84" si="2">$W$34+(K21*$W$35)+(L21*$W$36)+(M21*$W$37)+(N21*$W$38)+(O21*$W$39)+(P21*$W$40)+(P21*$W$40)</f>
        <v>15090503.423931403</v>
      </c>
      <c r="T21" s="168"/>
      <c r="U21" s="153"/>
      <c r="V21" s="303" t="s">
        <v>8</v>
      </c>
      <c r="W21" s="303">
        <v>0.97475894209254221</v>
      </c>
      <c r="X21" s="488"/>
      <c r="Y21" s="488"/>
      <c r="Z21" s="488"/>
      <c r="AA21" s="488"/>
      <c r="AB21" s="488"/>
      <c r="AC21" s="488"/>
      <c r="AD21" s="488"/>
      <c r="AE21" s="153"/>
      <c r="AF21" s="153"/>
      <c r="AG21" s="153"/>
      <c r="AH21" s="153"/>
      <c r="AI21" s="153"/>
      <c r="AJ21" s="153"/>
      <c r="AK21" s="153"/>
      <c r="AL21" s="153"/>
      <c r="AM21" s="153"/>
      <c r="AN21" s="153"/>
    </row>
    <row r="22" spans="1:40" x14ac:dyDescent="0.2">
      <c r="A22" s="493">
        <f t="shared" si="1"/>
        <v>3</v>
      </c>
      <c r="B22" s="166" t="str">
        <f>CONCATENATE('3. Consumption by Rate Class'!B27,"-",'3. Consumption by Rate Class'!C27)</f>
        <v>2011-March</v>
      </c>
      <c r="C22" s="473">
        <v>14071879.7762</v>
      </c>
      <c r="D22" s="338">
        <v>10279.700000000001</v>
      </c>
      <c r="E22" s="486">
        <v>0</v>
      </c>
      <c r="F22" s="338">
        <v>929670.5238000002</v>
      </c>
      <c r="G22" s="327"/>
      <c r="H22" s="328"/>
      <c r="I22" s="328"/>
      <c r="J22" s="167">
        <f t="shared" si="0"/>
        <v>15011830</v>
      </c>
      <c r="K22" s="348">
        <f>+'5.Variables'!$E$17</f>
        <v>527.44999999999993</v>
      </c>
      <c r="L22" s="348">
        <f>+'5.Variables'!$E$27</f>
        <v>0</v>
      </c>
      <c r="M22" s="348">
        <f>+'5.Variables'!$E$38</f>
        <v>11.5</v>
      </c>
      <c r="N22" s="348">
        <f>+'5.Variables'!$E$49</f>
        <v>7902</v>
      </c>
      <c r="O22" s="348">
        <f>+'5.Variables'!$E$60</f>
        <v>31</v>
      </c>
      <c r="P22" s="348">
        <f>+'5.Variables'!$E$71</f>
        <v>0</v>
      </c>
      <c r="Q22" s="348">
        <f>+'5.Variables'!$E$81</f>
        <v>6.5039999999999996</v>
      </c>
      <c r="R22" s="153"/>
      <c r="S22" s="167">
        <f t="shared" si="2"/>
        <v>14643349.809633533</v>
      </c>
      <c r="T22" s="168"/>
      <c r="U22" s="153"/>
      <c r="V22" s="303" t="s">
        <v>9</v>
      </c>
      <c r="W22" s="303">
        <v>0.95015499518937208</v>
      </c>
      <c r="X22" s="488"/>
      <c r="Y22" s="488"/>
      <c r="Z22" s="488"/>
      <c r="AA22" s="488"/>
      <c r="AB22" s="488"/>
      <c r="AC22" s="488"/>
      <c r="AD22" s="488"/>
      <c r="AE22" s="153"/>
      <c r="AF22" s="153"/>
      <c r="AG22" s="153"/>
      <c r="AH22" s="153"/>
      <c r="AI22" s="153"/>
      <c r="AJ22" s="153"/>
      <c r="AK22" s="153"/>
      <c r="AL22" s="153"/>
      <c r="AM22" s="153"/>
      <c r="AN22" s="153"/>
    </row>
    <row r="23" spans="1:40" x14ac:dyDescent="0.2">
      <c r="A23" s="493">
        <f t="shared" si="1"/>
        <v>4</v>
      </c>
      <c r="B23" s="166" t="str">
        <f>CONCATENATE('3. Consumption by Rate Class'!B28,"-",'3. Consumption by Rate Class'!C28)</f>
        <v>2011-April</v>
      </c>
      <c r="C23" s="473">
        <v>11999599.952</v>
      </c>
      <c r="D23" s="338">
        <v>10578.06</v>
      </c>
      <c r="E23" s="486">
        <v>0</v>
      </c>
      <c r="F23" s="338">
        <v>1567509.9880000001</v>
      </c>
      <c r="G23" s="327"/>
      <c r="H23" s="328"/>
      <c r="I23" s="328"/>
      <c r="J23" s="167">
        <f t="shared" si="0"/>
        <v>13577688</v>
      </c>
      <c r="K23" s="348">
        <f>+'5.Variables'!$F$17</f>
        <v>342.59999999999997</v>
      </c>
      <c r="L23" s="348">
        <f>+'5.Variables'!$F$27</f>
        <v>0</v>
      </c>
      <c r="M23" s="348">
        <f>+'5.Variables'!$F$38</f>
        <v>13.26</v>
      </c>
      <c r="N23" s="348">
        <f>+'5.Variables'!$F$49</f>
        <v>7910.5</v>
      </c>
      <c r="O23" s="348">
        <f>+'5.Variables'!$F$60</f>
        <v>30</v>
      </c>
      <c r="P23" s="348">
        <f>+'5.Variables'!$F$71</f>
        <v>0</v>
      </c>
      <c r="Q23" s="348">
        <f>+'5.Variables'!$F$81</f>
        <v>6.5039999999999996</v>
      </c>
      <c r="R23" s="153"/>
      <c r="S23" s="167">
        <f t="shared" si="2"/>
        <v>13590989.249475755</v>
      </c>
      <c r="T23" s="168"/>
      <c r="U23" s="153"/>
      <c r="V23" s="303" t="s">
        <v>10</v>
      </c>
      <c r="W23" s="303">
        <v>0.94556400790418271</v>
      </c>
      <c r="X23" s="488"/>
      <c r="Y23" s="488"/>
      <c r="Z23" s="488"/>
      <c r="AA23" s="488"/>
      <c r="AB23" s="488"/>
      <c r="AC23" s="488"/>
      <c r="AD23" s="488"/>
      <c r="AE23" s="153"/>
      <c r="AF23" s="153"/>
      <c r="AG23" s="153"/>
      <c r="AH23" s="153"/>
      <c r="AI23" s="153"/>
      <c r="AJ23" s="153"/>
      <c r="AK23" s="153"/>
      <c r="AL23" s="153"/>
      <c r="AM23" s="153"/>
      <c r="AN23" s="153"/>
    </row>
    <row r="24" spans="1:40" x14ac:dyDescent="0.2">
      <c r="A24" s="493">
        <f t="shared" si="1"/>
        <v>5</v>
      </c>
      <c r="B24" s="166" t="str">
        <f>CONCATENATE('3. Consumption by Rate Class'!B29,"-",'3. Consumption by Rate Class'!C29)</f>
        <v>2011-May</v>
      </c>
      <c r="C24" s="473">
        <v>12392697.657199999</v>
      </c>
      <c r="D24" s="338">
        <v>12163.730000000001</v>
      </c>
      <c r="E24" s="486">
        <v>0</v>
      </c>
      <c r="F24" s="338">
        <v>1574424.6128000002</v>
      </c>
      <c r="G24" s="327"/>
      <c r="H24" s="328"/>
      <c r="I24" s="328"/>
      <c r="J24" s="167">
        <f t="shared" si="0"/>
        <v>13979286</v>
      </c>
      <c r="K24" s="348">
        <f>+'5.Variables'!$G$17</f>
        <v>187.09999999999997</v>
      </c>
      <c r="L24" s="348">
        <f>+'5.Variables'!$G$27</f>
        <v>4.0999999999999996</v>
      </c>
      <c r="M24" s="348">
        <f>+'5.Variables'!$G$38</f>
        <v>14.47</v>
      </c>
      <c r="N24" s="348">
        <f>+'5.Variables'!$G$49</f>
        <v>7919</v>
      </c>
      <c r="O24" s="348">
        <f>+'5.Variables'!$G$60</f>
        <v>31</v>
      </c>
      <c r="P24" s="348">
        <f>+'5.Variables'!$G$71</f>
        <v>0</v>
      </c>
      <c r="Q24" s="348">
        <f>+'5.Variables'!$G$81</f>
        <v>7.3040000000000003</v>
      </c>
      <c r="R24" s="153"/>
      <c r="S24" s="167">
        <f t="shared" si="2"/>
        <v>13700822.690819787</v>
      </c>
      <c r="T24" s="168"/>
      <c r="U24" s="153"/>
      <c r="V24" s="303" t="s">
        <v>11</v>
      </c>
      <c r="W24" s="303">
        <v>496748.12325117236</v>
      </c>
      <c r="X24" s="488"/>
      <c r="Y24" s="488"/>
      <c r="Z24" s="488"/>
      <c r="AA24" s="488"/>
      <c r="AB24" s="488"/>
      <c r="AC24" s="488"/>
      <c r="AD24" s="488"/>
      <c r="AE24" s="153"/>
      <c r="AF24" s="153"/>
      <c r="AG24" s="153"/>
      <c r="AH24" s="153"/>
      <c r="AI24" s="153"/>
      <c r="AJ24" s="153"/>
      <c r="AK24" s="153"/>
      <c r="AL24" s="153"/>
      <c r="AM24" s="153"/>
      <c r="AN24" s="153"/>
    </row>
    <row r="25" spans="1:40" ht="13.5" thickBot="1" x14ac:dyDescent="0.25">
      <c r="A25" s="493">
        <f t="shared" si="1"/>
        <v>6</v>
      </c>
      <c r="B25" s="166" t="str">
        <f>CONCATENATE('3. Consumption by Rate Class'!B30,"-",'3. Consumption by Rate Class'!C30)</f>
        <v>2011-June</v>
      </c>
      <c r="C25" s="473">
        <v>14159950.011948386</v>
      </c>
      <c r="D25" s="338">
        <v>15161.401451612901</v>
      </c>
      <c r="E25" s="486">
        <v>0</v>
      </c>
      <c r="F25" s="338">
        <v>1470199.5866</v>
      </c>
      <c r="G25" s="327"/>
      <c r="H25" s="328"/>
      <c r="I25" s="328"/>
      <c r="J25" s="167">
        <f t="shared" si="0"/>
        <v>15645311</v>
      </c>
      <c r="K25" s="348">
        <f>+'5.Variables'!$H$17</f>
        <v>21.9</v>
      </c>
      <c r="L25" s="348">
        <f>+'5.Variables'!$H$27</f>
        <v>41.8</v>
      </c>
      <c r="M25" s="348">
        <f>+'5.Variables'!$H$38</f>
        <v>15.3</v>
      </c>
      <c r="N25" s="348">
        <f>+'5.Variables'!$H$49</f>
        <v>7928</v>
      </c>
      <c r="O25" s="348">
        <f>+'5.Variables'!$H$60</f>
        <v>30</v>
      </c>
      <c r="P25" s="348">
        <f>+'5.Variables'!$H$71</f>
        <v>1</v>
      </c>
      <c r="Q25" s="348">
        <f>+'5.Variables'!$H$81</f>
        <v>7.3040000000000003</v>
      </c>
      <c r="R25" s="153"/>
      <c r="S25" s="167">
        <f t="shared" si="2"/>
        <v>15800981.521945652</v>
      </c>
      <c r="T25" s="168"/>
      <c r="U25" s="153"/>
      <c r="V25" s="304" t="s">
        <v>12</v>
      </c>
      <c r="W25" s="304">
        <v>84</v>
      </c>
      <c r="X25" s="488"/>
      <c r="Y25" s="488"/>
      <c r="Z25" s="488"/>
      <c r="AA25" s="488"/>
      <c r="AB25" s="488"/>
      <c r="AC25" s="488"/>
      <c r="AD25" s="488"/>
      <c r="AE25" s="153"/>
      <c r="AF25" s="153"/>
      <c r="AG25" s="153"/>
      <c r="AH25" s="153"/>
      <c r="AI25" s="153"/>
      <c r="AJ25" s="153"/>
      <c r="AK25" s="153"/>
      <c r="AL25" s="153"/>
      <c r="AM25" s="153"/>
      <c r="AN25" s="153"/>
    </row>
    <row r="26" spans="1:40" x14ac:dyDescent="0.2">
      <c r="A26" s="493">
        <f t="shared" si="1"/>
        <v>7</v>
      </c>
      <c r="B26" s="166" t="str">
        <f>CONCATENATE('3. Consumption by Rate Class'!B31,"-",'3. Consumption by Rate Class'!C31)</f>
        <v>2011-July</v>
      </c>
      <c r="C26" s="473">
        <v>19649509.694399998</v>
      </c>
      <c r="D26" s="338">
        <v>42755.670000000006</v>
      </c>
      <c r="E26" s="486">
        <v>0</v>
      </c>
      <c r="F26" s="338">
        <v>1589080.6355999997</v>
      </c>
      <c r="G26" s="327"/>
      <c r="H26" s="328"/>
      <c r="I26" s="328"/>
      <c r="J26" s="167">
        <f t="shared" si="0"/>
        <v>21281346</v>
      </c>
      <c r="K26" s="348">
        <f>+'5.Variables'!$I$17</f>
        <v>0</v>
      </c>
      <c r="L26" s="348">
        <f>+'5.Variables'!$I$27</f>
        <v>196.89999999999998</v>
      </c>
      <c r="M26" s="348">
        <f>+'5.Variables'!$I$38</f>
        <v>15.11</v>
      </c>
      <c r="N26" s="348">
        <f>+'5.Variables'!$I$49</f>
        <v>7942.5</v>
      </c>
      <c r="O26" s="348">
        <f>+'5.Variables'!$I$60</f>
        <v>31</v>
      </c>
      <c r="P26" s="348">
        <f>+'5.Variables'!$I$71</f>
        <v>1</v>
      </c>
      <c r="Q26" s="348">
        <f>+'5.Variables'!$I$81</f>
        <v>7.3040000000000003</v>
      </c>
      <c r="R26" s="153"/>
      <c r="S26" s="167">
        <f t="shared" si="2"/>
        <v>22246193.906012304</v>
      </c>
      <c r="T26" s="168"/>
      <c r="U26" s="153"/>
      <c r="V26" s="488"/>
      <c r="W26" s="488"/>
      <c r="X26" s="488"/>
      <c r="Y26" s="488"/>
      <c r="Z26" s="488"/>
      <c r="AA26" s="488"/>
      <c r="AB26" s="488"/>
      <c r="AC26" s="488"/>
      <c r="AD26" s="488"/>
      <c r="AE26" s="153"/>
      <c r="AF26" s="153"/>
      <c r="AG26" s="153"/>
      <c r="AH26" s="153"/>
      <c r="AI26" s="153"/>
      <c r="AJ26" s="153"/>
      <c r="AK26" s="153"/>
      <c r="AL26" s="153"/>
      <c r="AM26" s="153"/>
      <c r="AN26" s="153"/>
    </row>
    <row r="27" spans="1:40" ht="13.5" thickBot="1" x14ac:dyDescent="0.25">
      <c r="A27" s="493">
        <f t="shared" si="1"/>
        <v>8</v>
      </c>
      <c r="B27" s="166" t="str">
        <f>CONCATENATE('3. Consumption by Rate Class'!B32,"-",'3. Consumption by Rate Class'!C32)</f>
        <v>2011-August</v>
      </c>
      <c r="C27" s="473">
        <v>17403161.6886</v>
      </c>
      <c r="D27" s="338">
        <v>33814.69</v>
      </c>
      <c r="E27" s="486">
        <v>0</v>
      </c>
      <c r="F27" s="338">
        <v>1575857.6213999998</v>
      </c>
      <c r="G27" s="327"/>
      <c r="H27" s="328"/>
      <c r="I27" s="328"/>
      <c r="J27" s="167">
        <f t="shared" si="0"/>
        <v>19012834</v>
      </c>
      <c r="K27" s="348">
        <f>+'5.Variables'!$J$17</f>
        <v>0</v>
      </c>
      <c r="L27" s="348">
        <f>+'5.Variables'!$J$27</f>
        <v>146.29999999999995</v>
      </c>
      <c r="M27" s="348">
        <f>+'5.Variables'!$J$38</f>
        <v>14</v>
      </c>
      <c r="N27" s="348">
        <f>+'5.Variables'!$J$49</f>
        <v>7966.5</v>
      </c>
      <c r="O27" s="348">
        <f>+'5.Variables'!$J$60</f>
        <v>31</v>
      </c>
      <c r="P27" s="348">
        <f>+'5.Variables'!$J$71</f>
        <v>1</v>
      </c>
      <c r="Q27" s="348">
        <f>+'5.Variables'!$J$81</f>
        <v>7.3040000000000003</v>
      </c>
      <c r="R27" s="153"/>
      <c r="S27" s="167">
        <f t="shared" si="2"/>
        <v>20351882.093747571</v>
      </c>
      <c r="T27" s="168"/>
      <c r="U27" s="153"/>
      <c r="V27" s="488" t="s">
        <v>13</v>
      </c>
      <c r="W27" s="488"/>
      <c r="X27" s="488"/>
      <c r="Y27" s="488"/>
      <c r="Z27" s="488"/>
      <c r="AA27" s="488"/>
      <c r="AB27" s="488"/>
      <c r="AC27" s="488"/>
      <c r="AD27" s="488"/>
      <c r="AE27" s="153"/>
      <c r="AF27" s="153"/>
      <c r="AG27" s="153"/>
      <c r="AH27" s="153"/>
      <c r="AI27" s="153"/>
      <c r="AJ27" s="153"/>
      <c r="AK27" s="153"/>
      <c r="AL27" s="153"/>
      <c r="AM27" s="153"/>
      <c r="AN27" s="153"/>
    </row>
    <row r="28" spans="1:40" x14ac:dyDescent="0.2">
      <c r="A28" s="493">
        <f t="shared" si="1"/>
        <v>9</v>
      </c>
      <c r="B28" s="166" t="str">
        <f>CONCATENATE('3. Consumption by Rate Class'!B33,"-",'3. Consumption by Rate Class'!C33)</f>
        <v>2011-September</v>
      </c>
      <c r="C28" s="473">
        <v>14102512.7334</v>
      </c>
      <c r="D28" s="338">
        <v>37995.159999999996</v>
      </c>
      <c r="E28" s="486">
        <v>0</v>
      </c>
      <c r="F28" s="338">
        <v>1541652.1066000003</v>
      </c>
      <c r="G28" s="327"/>
      <c r="H28" s="328"/>
      <c r="I28" s="328"/>
      <c r="J28" s="167">
        <f t="shared" si="0"/>
        <v>15682160</v>
      </c>
      <c r="K28" s="348">
        <f>+'5.Variables'!$K$17</f>
        <v>26.900000000000002</v>
      </c>
      <c r="L28" s="348">
        <f>+'5.Variables'!$K$27</f>
        <v>39.9</v>
      </c>
      <c r="M28" s="348">
        <f>+'5.Variables'!$K$38</f>
        <v>12.27</v>
      </c>
      <c r="N28" s="348">
        <f>+'5.Variables'!$K$49</f>
        <v>7987</v>
      </c>
      <c r="O28" s="348">
        <f>+'5.Variables'!$K$60</f>
        <v>30</v>
      </c>
      <c r="P28" s="348">
        <f>+'5.Variables'!$K$71</f>
        <v>0</v>
      </c>
      <c r="Q28" s="348">
        <f>+'5.Variables'!$K$81</f>
        <v>7.3040000000000003</v>
      </c>
      <c r="R28" s="153"/>
      <c r="S28" s="167">
        <f t="shared" si="2"/>
        <v>14350490.662213618</v>
      </c>
      <c r="T28" s="168"/>
      <c r="U28" s="153"/>
      <c r="V28" s="684"/>
      <c r="W28" s="684" t="s">
        <v>17</v>
      </c>
      <c r="X28" s="684" t="s">
        <v>18</v>
      </c>
      <c r="Y28" s="684" t="s">
        <v>19</v>
      </c>
      <c r="Z28" s="684" t="s">
        <v>20</v>
      </c>
      <c r="AA28" s="684" t="s">
        <v>21</v>
      </c>
      <c r="AB28" s="488"/>
      <c r="AC28" s="488"/>
      <c r="AD28" s="488"/>
      <c r="AE28" s="153"/>
      <c r="AF28" s="153"/>
      <c r="AG28" s="153"/>
      <c r="AH28" s="153"/>
      <c r="AI28" s="153"/>
      <c r="AJ28" s="153"/>
      <c r="AK28" s="153"/>
      <c r="AL28" s="153"/>
      <c r="AM28" s="153"/>
      <c r="AN28" s="153"/>
    </row>
    <row r="29" spans="1:40" x14ac:dyDescent="0.2">
      <c r="A29" s="493">
        <f t="shared" si="1"/>
        <v>10</v>
      </c>
      <c r="B29" s="166" t="str">
        <f>CONCATENATE('3. Consumption by Rate Class'!B34,"-",'3. Consumption by Rate Class'!C34)</f>
        <v>2011-October</v>
      </c>
      <c r="C29" s="473">
        <v>12832548.705399999</v>
      </c>
      <c r="D29" s="338">
        <v>25061.99</v>
      </c>
      <c r="E29" s="486">
        <v>0</v>
      </c>
      <c r="F29" s="338">
        <v>1499763.3045999999</v>
      </c>
      <c r="G29" s="327"/>
      <c r="H29" s="327"/>
      <c r="I29" s="328"/>
      <c r="J29" s="167">
        <f t="shared" si="0"/>
        <v>14357374</v>
      </c>
      <c r="K29" s="348">
        <f>+'5.Variables'!$L$17</f>
        <v>185.7</v>
      </c>
      <c r="L29" s="348">
        <f>+'5.Variables'!$L$27</f>
        <v>4.2</v>
      </c>
      <c r="M29" s="348">
        <f>+'5.Variables'!$L$38</f>
        <v>10.52</v>
      </c>
      <c r="N29" s="348">
        <f>+'5.Variables'!$L$49</f>
        <v>7999</v>
      </c>
      <c r="O29" s="348">
        <f>+'5.Variables'!$L$60</f>
        <v>31</v>
      </c>
      <c r="P29" s="348">
        <f>+'5.Variables'!$L$71</f>
        <v>0</v>
      </c>
      <c r="Q29" s="348">
        <f>+'5.Variables'!$L$81</f>
        <v>7.3040000000000003</v>
      </c>
      <c r="R29" s="153"/>
      <c r="S29" s="167">
        <f t="shared" si="2"/>
        <v>13961596.775224585</v>
      </c>
      <c r="T29" s="168"/>
      <c r="U29" s="153"/>
      <c r="V29" s="303" t="s">
        <v>14</v>
      </c>
      <c r="W29" s="303">
        <v>7</v>
      </c>
      <c r="X29" s="303">
        <v>357485866180372.75</v>
      </c>
      <c r="Y29" s="303">
        <v>51069409454338.961</v>
      </c>
      <c r="Z29" s="303">
        <v>206.96092935273077</v>
      </c>
      <c r="AA29" s="303">
        <v>8.5543239642335043E-47</v>
      </c>
      <c r="AB29" s="488"/>
      <c r="AC29" s="488"/>
      <c r="AD29" s="488"/>
      <c r="AE29" s="153"/>
      <c r="AF29" s="153"/>
      <c r="AG29" s="153"/>
      <c r="AH29" s="153"/>
      <c r="AI29" s="153"/>
      <c r="AJ29" s="153"/>
      <c r="AK29" s="153"/>
      <c r="AL29" s="153"/>
      <c r="AM29" s="153"/>
      <c r="AN29" s="153"/>
    </row>
    <row r="30" spans="1:40" x14ac:dyDescent="0.2">
      <c r="A30" s="493">
        <f t="shared" si="1"/>
        <v>11</v>
      </c>
      <c r="B30" s="166" t="str">
        <f>CONCATENATE('3. Consumption by Rate Class'!B35,"-",'3. Consumption by Rate Class'!C35)</f>
        <v>2011-November</v>
      </c>
      <c r="C30" s="473">
        <v>12467338.5276</v>
      </c>
      <c r="D30" s="338">
        <v>20757.39</v>
      </c>
      <c r="E30" s="486">
        <v>0</v>
      </c>
      <c r="F30" s="338">
        <v>1221548.0824</v>
      </c>
      <c r="G30" s="327"/>
      <c r="H30" s="327"/>
      <c r="I30" s="328"/>
      <c r="J30" s="167">
        <f t="shared" si="0"/>
        <v>13709644</v>
      </c>
      <c r="K30" s="348">
        <f>+'5.Variables'!$M$17</f>
        <v>284.90000000000009</v>
      </c>
      <c r="L30" s="348">
        <f>+'5.Variables'!$M$27</f>
        <v>0</v>
      </c>
      <c r="M30" s="348">
        <f>+'5.Variables'!$M$38</f>
        <v>9.31</v>
      </c>
      <c r="N30" s="348">
        <f>+'5.Variables'!$M$49</f>
        <v>8013</v>
      </c>
      <c r="O30" s="348">
        <f>+'5.Variables'!$M$60</f>
        <v>30</v>
      </c>
      <c r="P30" s="348">
        <f>+'5.Variables'!$M$71</f>
        <v>0</v>
      </c>
      <c r="Q30" s="348">
        <f>+'5.Variables'!$M$81</f>
        <v>7.5679999999999996</v>
      </c>
      <c r="R30" s="153"/>
      <c r="S30" s="167">
        <f t="shared" si="2"/>
        <v>13710076.297745587</v>
      </c>
      <c r="T30" s="168"/>
      <c r="U30" s="153"/>
      <c r="V30" s="303" t="s">
        <v>15</v>
      </c>
      <c r="W30" s="303">
        <v>76</v>
      </c>
      <c r="X30" s="303">
        <v>18753661044470.707</v>
      </c>
      <c r="Y30" s="303">
        <v>246758697953.56192</v>
      </c>
      <c r="Z30" s="303"/>
      <c r="AA30" s="303"/>
      <c r="AB30" s="488"/>
      <c r="AC30" s="488"/>
      <c r="AD30" s="488"/>
      <c r="AE30" s="153"/>
      <c r="AF30" s="153"/>
      <c r="AG30" s="153"/>
      <c r="AH30" s="153"/>
      <c r="AI30" s="153"/>
      <c r="AJ30" s="153"/>
      <c r="AK30" s="153"/>
      <c r="AL30" s="153"/>
      <c r="AM30" s="153"/>
      <c r="AN30" s="153"/>
    </row>
    <row r="31" spans="1:40" ht="13.5" thickBot="1" x14ac:dyDescent="0.25">
      <c r="A31" s="493">
        <f t="shared" si="1"/>
        <v>12</v>
      </c>
      <c r="B31" s="286" t="str">
        <f>CONCATENATE('3. Consumption by Rate Class'!B36,"-",'3. Consumption by Rate Class'!C36)</f>
        <v>2011-December</v>
      </c>
      <c r="C31" s="324">
        <v>13712938.004466666</v>
      </c>
      <c r="D31" s="324">
        <v>27730.219999999998</v>
      </c>
      <c r="E31" s="324">
        <v>3911.11</v>
      </c>
      <c r="F31" s="324">
        <v>1579864.6655333336</v>
      </c>
      <c r="G31" s="329"/>
      <c r="H31" s="329"/>
      <c r="I31" s="330"/>
      <c r="J31" s="167">
        <f t="shared" si="0"/>
        <v>15324444</v>
      </c>
      <c r="K31" s="348">
        <f>+'5.Variables'!$N$17</f>
        <v>463.7</v>
      </c>
      <c r="L31" s="348">
        <f>+'5.Variables'!$N$27</f>
        <v>0</v>
      </c>
      <c r="M31" s="348">
        <f>+'5.Variables'!$N$38</f>
        <v>8.5</v>
      </c>
      <c r="N31" s="348">
        <f>+'5.Variables'!$N$49</f>
        <v>8029</v>
      </c>
      <c r="O31" s="348">
        <f>+'5.Variables'!$N$60</f>
        <v>31</v>
      </c>
      <c r="P31" s="348">
        <f>+'5.Variables'!$N$71</f>
        <v>1</v>
      </c>
      <c r="Q31" s="348">
        <f>+'5.Variables'!$N$81</f>
        <v>7.5679999999999996</v>
      </c>
      <c r="R31" s="153"/>
      <c r="S31" s="167">
        <f t="shared" si="2"/>
        <v>16324528.967583608</v>
      </c>
      <c r="T31" s="168">
        <f>SUM(S20:S31)</f>
        <v>190530219.37423924</v>
      </c>
      <c r="U31" s="153"/>
      <c r="V31" s="304" t="s">
        <v>16</v>
      </c>
      <c r="W31" s="304">
        <v>83</v>
      </c>
      <c r="X31" s="304">
        <v>376239527224843.44</v>
      </c>
      <c r="Y31" s="304"/>
      <c r="Z31" s="304"/>
      <c r="AA31" s="304"/>
      <c r="AB31" s="488"/>
      <c r="AC31" s="488"/>
      <c r="AD31" s="488"/>
      <c r="AE31" s="153"/>
      <c r="AF31" s="153"/>
      <c r="AG31" s="153"/>
      <c r="AH31" s="153"/>
      <c r="AI31" s="153"/>
      <c r="AJ31" s="153"/>
      <c r="AK31" s="153"/>
      <c r="AL31" s="153"/>
      <c r="AM31" s="153"/>
      <c r="AN31" s="153"/>
    </row>
    <row r="32" spans="1:40" ht="13.5" thickBot="1" x14ac:dyDescent="0.25">
      <c r="A32" s="493">
        <f t="shared" si="1"/>
        <v>13</v>
      </c>
      <c r="B32" s="166" t="str">
        <f>CONCATENATE('3. Consumption by Rate Class'!B37,"-",'3. Consumption by Rate Class'!C37)</f>
        <v>2012-January</v>
      </c>
      <c r="C32" s="473">
        <v>15498934</v>
      </c>
      <c r="D32" s="338">
        <v>21094.42</v>
      </c>
      <c r="E32" s="486">
        <v>13065.16</v>
      </c>
      <c r="F32" s="338">
        <v>150948.54479999995</v>
      </c>
      <c r="G32" s="327"/>
      <c r="H32" s="327"/>
      <c r="I32" s="328"/>
      <c r="J32" s="167">
        <f t="shared" si="0"/>
        <v>15684042.1248</v>
      </c>
      <c r="K32" s="348">
        <f>+'5.Variables'!$C$18</f>
        <v>554.40000000000009</v>
      </c>
      <c r="L32" s="348">
        <f>+'5.Variables'!$C$28</f>
        <v>0</v>
      </c>
      <c r="M32" s="348">
        <f>+'5.Variables'!$C$39</f>
        <v>9.1199999999999992</v>
      </c>
      <c r="N32" s="348">
        <f>+'5.Variables'!$C$50</f>
        <v>8038.5</v>
      </c>
      <c r="O32" s="348">
        <f>+'5.Variables'!$C$61</f>
        <v>31</v>
      </c>
      <c r="P32" s="348">
        <f>+'5.Variables'!$C$72</f>
        <v>1</v>
      </c>
      <c r="Q32" s="348">
        <f>+'5.Variables'!$C$82</f>
        <v>7.5679999999999996</v>
      </c>
      <c r="R32" s="153"/>
      <c r="S32" s="167">
        <f t="shared" si="2"/>
        <v>16577713.330533374</v>
      </c>
      <c r="T32" s="168"/>
      <c r="U32" s="153"/>
      <c r="V32" s="488"/>
      <c r="W32" s="488"/>
      <c r="X32" s="488"/>
      <c r="Y32" s="488"/>
      <c r="Z32" s="488"/>
      <c r="AA32" s="488"/>
      <c r="AB32" s="488"/>
      <c r="AC32" s="488"/>
      <c r="AD32" s="488"/>
      <c r="AE32" s="153"/>
      <c r="AF32" s="153"/>
      <c r="AG32" s="153"/>
      <c r="AH32" s="153"/>
      <c r="AI32" s="153"/>
      <c r="AJ32" s="153"/>
      <c r="AK32" s="153"/>
      <c r="AL32" s="153"/>
      <c r="AM32" s="153"/>
      <c r="AN32" s="153"/>
    </row>
    <row r="33" spans="1:40" x14ac:dyDescent="0.2">
      <c r="A33" s="493">
        <f t="shared" si="1"/>
        <v>14</v>
      </c>
      <c r="B33" s="166" t="str">
        <f>CONCATENATE('3. Consumption by Rate Class'!B38,"-",'3. Consumption by Rate Class'!C38)</f>
        <v>2012-February</v>
      </c>
      <c r="C33" s="473">
        <v>14102894</v>
      </c>
      <c r="D33" s="338">
        <v>27625.249999999996</v>
      </c>
      <c r="E33" s="486">
        <v>22411.87</v>
      </c>
      <c r="F33" s="338">
        <v>170081.20799999998</v>
      </c>
      <c r="G33" s="327"/>
      <c r="H33" s="327"/>
      <c r="I33" s="328"/>
      <c r="J33" s="167">
        <f t="shared" si="0"/>
        <v>14323012.328</v>
      </c>
      <c r="K33" s="348">
        <f>+'5.Variables'!$D$18</f>
        <v>482.39999999999992</v>
      </c>
      <c r="L33" s="348">
        <f>+'5.Variables'!$D$28</f>
        <v>0</v>
      </c>
      <c r="M33" s="348">
        <f>+'5.Variables'!$D$39</f>
        <v>10.199999999999999</v>
      </c>
      <c r="N33" s="348">
        <f>+'5.Variables'!$D$50</f>
        <v>8048.5</v>
      </c>
      <c r="O33" s="348">
        <f>+'5.Variables'!$D$61</f>
        <v>29</v>
      </c>
      <c r="P33" s="348">
        <f>+'5.Variables'!$D$72</f>
        <v>1</v>
      </c>
      <c r="Q33" s="348">
        <f>+'5.Variables'!$D$82</f>
        <v>7.5679999999999996</v>
      </c>
      <c r="R33" s="153"/>
      <c r="S33" s="167">
        <f t="shared" si="2"/>
        <v>15440265.930799814</v>
      </c>
      <c r="T33" s="168"/>
      <c r="U33" s="153"/>
      <c r="V33" s="684"/>
      <c r="W33" s="684" t="s">
        <v>22</v>
      </c>
      <c r="X33" s="684" t="s">
        <v>11</v>
      </c>
      <c r="Y33" s="684" t="s">
        <v>23</v>
      </c>
      <c r="Z33" s="684" t="s">
        <v>24</v>
      </c>
      <c r="AA33" s="684" t="s">
        <v>25</v>
      </c>
      <c r="AB33" s="684" t="s">
        <v>26</v>
      </c>
      <c r="AC33" s="684" t="s">
        <v>27</v>
      </c>
      <c r="AD33" s="684" t="s">
        <v>28</v>
      </c>
      <c r="AE33" s="153"/>
      <c r="AF33" s="153"/>
      <c r="AG33" s="153"/>
      <c r="AH33" s="153"/>
      <c r="AI33" s="153"/>
      <c r="AJ33" s="153"/>
      <c r="AK33" s="153"/>
      <c r="AL33" s="153"/>
      <c r="AM33" s="153"/>
      <c r="AN33" s="153"/>
    </row>
    <row r="34" spans="1:40" x14ac:dyDescent="0.2">
      <c r="A34" s="493">
        <f t="shared" si="1"/>
        <v>15</v>
      </c>
      <c r="B34" s="166" t="str">
        <f>CONCATENATE('3. Consumption by Rate Class'!B39,"-",'3. Consumption by Rate Class'!C39)</f>
        <v>2012-March</v>
      </c>
      <c r="C34" s="473">
        <v>12935100</v>
      </c>
      <c r="D34" s="338">
        <v>72172.409999999989</v>
      </c>
      <c r="E34" s="486">
        <v>54180.060000000012</v>
      </c>
      <c r="F34" s="338">
        <v>972831.20700000017</v>
      </c>
      <c r="G34" s="327"/>
      <c r="H34" s="327"/>
      <c r="I34" s="328"/>
      <c r="J34" s="167">
        <f t="shared" si="0"/>
        <v>14034283.677000001</v>
      </c>
      <c r="K34" s="348">
        <f>+'5.Variables'!$E$18</f>
        <v>366.69999999999993</v>
      </c>
      <c r="L34" s="348">
        <f>+'5.Variables'!$E$28</f>
        <v>0</v>
      </c>
      <c r="M34" s="348">
        <f>+'5.Variables'!$E$39</f>
        <v>11.5</v>
      </c>
      <c r="N34" s="348">
        <f>+'5.Variables'!$E$50</f>
        <v>8061.5</v>
      </c>
      <c r="O34" s="348">
        <f>+'5.Variables'!$E$61</f>
        <v>31</v>
      </c>
      <c r="P34" s="348">
        <f>+'5.Variables'!$E$72</f>
        <v>0</v>
      </c>
      <c r="Q34" s="348">
        <f>+'5.Variables'!$E$82</f>
        <v>7.5679999999999996</v>
      </c>
      <c r="R34" s="153"/>
      <c r="S34" s="167">
        <f t="shared" si="2"/>
        <v>14367810.828918135</v>
      </c>
      <c r="T34" s="168"/>
      <c r="U34" s="153"/>
      <c r="V34" s="303" t="s">
        <v>348</v>
      </c>
      <c r="W34" s="303">
        <v>-10069379.724681905</v>
      </c>
      <c r="X34" s="303">
        <v>2636179.5154026491</v>
      </c>
      <c r="Y34" s="303">
        <v>-3.8196866586090255</v>
      </c>
      <c r="Z34" s="303">
        <v>2.7110472750107857E-4</v>
      </c>
      <c r="AA34" s="303">
        <v>-15319786.259615699</v>
      </c>
      <c r="AB34" s="303">
        <v>-4818973.1897481102</v>
      </c>
      <c r="AC34" s="303">
        <v>-15319786.259615699</v>
      </c>
      <c r="AD34" s="303">
        <v>-4818973.1897481102</v>
      </c>
      <c r="AE34" s="153"/>
      <c r="AF34" s="153"/>
      <c r="AG34" s="153"/>
      <c r="AH34" s="153"/>
      <c r="AI34" s="153"/>
      <c r="AJ34" s="153"/>
      <c r="AK34" s="153"/>
      <c r="AL34" s="153"/>
      <c r="AM34" s="153"/>
      <c r="AN34" s="153"/>
    </row>
    <row r="35" spans="1:40" x14ac:dyDescent="0.2">
      <c r="A35" s="493">
        <f t="shared" si="1"/>
        <v>16</v>
      </c>
      <c r="B35" s="166" t="str">
        <f>CONCATENATE('3. Consumption by Rate Class'!B40,"-",'3. Consumption by Rate Class'!C40)</f>
        <v>2012-April</v>
      </c>
      <c r="C35" s="473">
        <v>11683162</v>
      </c>
      <c r="D35" s="338">
        <v>92376.120000000024</v>
      </c>
      <c r="E35" s="486">
        <v>64422.51</v>
      </c>
      <c r="F35" s="338">
        <v>1437021.8891999999</v>
      </c>
      <c r="G35" s="327"/>
      <c r="H35" s="327"/>
      <c r="I35" s="328"/>
      <c r="J35" s="167">
        <f t="shared" si="0"/>
        <v>13276982.519199999</v>
      </c>
      <c r="K35" s="348">
        <f>+'5.Variables'!$F$18</f>
        <v>296.29999999999995</v>
      </c>
      <c r="L35" s="348">
        <f>+'5.Variables'!$F$28</f>
        <v>0</v>
      </c>
      <c r="M35" s="348">
        <f>+'5.Variables'!$F$39</f>
        <v>13.26</v>
      </c>
      <c r="N35" s="348">
        <f>+'5.Variables'!$F$50</f>
        <v>8072</v>
      </c>
      <c r="O35" s="348">
        <f>+'5.Variables'!$F$61</f>
        <v>30</v>
      </c>
      <c r="P35" s="348">
        <f>+'5.Variables'!$F$72</f>
        <v>0</v>
      </c>
      <c r="Q35" s="348">
        <f>+'5.Variables'!$F$82</f>
        <v>7.5679999999999996</v>
      </c>
      <c r="R35" s="153"/>
      <c r="S35" s="167">
        <f t="shared" si="2"/>
        <v>13654653.548752045</v>
      </c>
      <c r="T35" s="168"/>
      <c r="U35" s="153"/>
      <c r="V35" s="303" t="s">
        <v>1</v>
      </c>
      <c r="W35" s="303">
        <v>2942.139967248841</v>
      </c>
      <c r="X35" s="303">
        <v>438.88228238719944</v>
      </c>
      <c r="Y35" s="303">
        <v>6.7037109615037229</v>
      </c>
      <c r="Z35" s="303">
        <v>3.1579274069111516E-9</v>
      </c>
      <c r="AA35" s="303">
        <v>2068.0301465599223</v>
      </c>
      <c r="AB35" s="303">
        <v>3816.2497879377597</v>
      </c>
      <c r="AC35" s="303">
        <v>2068.0301465599223</v>
      </c>
      <c r="AD35" s="303">
        <v>3816.2497879377597</v>
      </c>
      <c r="AE35" s="153"/>
      <c r="AF35" s="153"/>
      <c r="AG35" s="153"/>
      <c r="AH35" s="153"/>
      <c r="AI35" s="153"/>
      <c r="AJ35" s="153"/>
      <c r="AK35" s="153"/>
      <c r="AL35" s="153"/>
      <c r="AM35" s="153"/>
      <c r="AN35" s="153"/>
    </row>
    <row r="36" spans="1:40" x14ac:dyDescent="0.2">
      <c r="A36" s="493">
        <f t="shared" si="1"/>
        <v>17</v>
      </c>
      <c r="B36" s="166" t="str">
        <f>CONCATENATE('3. Consumption by Rate Class'!B41,"-",'3. Consumption by Rate Class'!C41)</f>
        <v>2012-May</v>
      </c>
      <c r="C36" s="473">
        <v>13184475</v>
      </c>
      <c r="D36" s="338">
        <v>119561.85999999996</v>
      </c>
      <c r="E36" s="486">
        <v>75701.570000000007</v>
      </c>
      <c r="F36" s="338">
        <v>1428675.6967999998</v>
      </c>
      <c r="G36" s="327"/>
      <c r="H36" s="327"/>
      <c r="I36" s="328"/>
      <c r="J36" s="167">
        <f t="shared" si="0"/>
        <v>14808414.126799999</v>
      </c>
      <c r="K36" s="348">
        <f>+'5.Variables'!$G$18</f>
        <v>99.499999999999957</v>
      </c>
      <c r="L36" s="348">
        <f>+'5.Variables'!$G$28</f>
        <v>22.400000000000002</v>
      </c>
      <c r="M36" s="348">
        <f>+'5.Variables'!$G$39</f>
        <v>14.47</v>
      </c>
      <c r="N36" s="348">
        <f>+'5.Variables'!$G$50</f>
        <v>8082</v>
      </c>
      <c r="O36" s="348">
        <f>+'5.Variables'!$G$61</f>
        <v>31</v>
      </c>
      <c r="P36" s="348">
        <f>+'5.Variables'!$G$72</f>
        <v>0</v>
      </c>
      <c r="Q36" s="348">
        <f>+'5.Variables'!$G$82</f>
        <v>8.0660000000000007</v>
      </c>
      <c r="R36" s="153"/>
      <c r="S36" s="167">
        <f t="shared" si="2"/>
        <v>14357135.797734765</v>
      </c>
      <c r="T36" s="168"/>
      <c r="U36" s="153"/>
      <c r="V36" s="303" t="s">
        <v>2</v>
      </c>
      <c r="W36" s="303">
        <v>38923.643045410849</v>
      </c>
      <c r="X36" s="303">
        <v>1817.7018810626544</v>
      </c>
      <c r="Y36" s="303">
        <v>21.413656139617093</v>
      </c>
      <c r="Z36" s="303">
        <v>6.3097500835881062E-34</v>
      </c>
      <c r="AA36" s="303">
        <v>35303.375996398783</v>
      </c>
      <c r="AB36" s="303">
        <v>42543.910094422914</v>
      </c>
      <c r="AC36" s="303">
        <v>35303.375996398783</v>
      </c>
      <c r="AD36" s="303">
        <v>42543.910094422914</v>
      </c>
      <c r="AE36" s="153"/>
      <c r="AF36" s="153"/>
      <c r="AG36" s="153"/>
      <c r="AH36" s="153"/>
      <c r="AI36" s="153"/>
      <c r="AJ36" s="153"/>
      <c r="AK36" s="153"/>
      <c r="AL36" s="153"/>
      <c r="AM36" s="153"/>
      <c r="AN36" s="153"/>
    </row>
    <row r="37" spans="1:40" x14ac:dyDescent="0.2">
      <c r="A37" s="493">
        <f t="shared" si="1"/>
        <v>18</v>
      </c>
      <c r="B37" s="166" t="str">
        <f>CONCATENATE('3. Consumption by Rate Class'!B42,"-",'3. Consumption by Rate Class'!C42)</f>
        <v>2012-June</v>
      </c>
      <c r="C37" s="473">
        <v>15507309</v>
      </c>
      <c r="D37" s="338">
        <v>114984.84000000001</v>
      </c>
      <c r="E37" s="486">
        <v>79761.84</v>
      </c>
      <c r="F37" s="338">
        <v>1312050.7078</v>
      </c>
      <c r="G37" s="327"/>
      <c r="H37" s="327"/>
      <c r="I37" s="328"/>
      <c r="J37" s="167">
        <f t="shared" si="0"/>
        <v>17014106.387800001</v>
      </c>
      <c r="K37" s="348">
        <f>+'5.Variables'!$H$18</f>
        <v>18.899999999999999</v>
      </c>
      <c r="L37" s="348">
        <f>+'5.Variables'!$H$28</f>
        <v>105.60000000000001</v>
      </c>
      <c r="M37" s="348">
        <f>+'5.Variables'!$H$39</f>
        <v>15.3</v>
      </c>
      <c r="N37" s="348">
        <f>+'5.Variables'!$H$50</f>
        <v>8093.5</v>
      </c>
      <c r="O37" s="348">
        <f>+'5.Variables'!$H$61</f>
        <v>30</v>
      </c>
      <c r="P37" s="348">
        <f>+'5.Variables'!$H$72</f>
        <v>1</v>
      </c>
      <c r="Q37" s="348">
        <f>+'5.Variables'!$H$82</f>
        <v>8.0660000000000007</v>
      </c>
      <c r="R37" s="153"/>
      <c r="S37" s="167">
        <f t="shared" si="2"/>
        <v>18480319.629581153</v>
      </c>
      <c r="T37" s="168"/>
      <c r="U37" s="153"/>
      <c r="V37" s="303" t="s">
        <v>243</v>
      </c>
      <c r="W37" s="303">
        <v>-41009.186443537605</v>
      </c>
      <c r="X37" s="303">
        <v>36754.52069918246</v>
      </c>
      <c r="Y37" s="303">
        <v>-1.1157589777643266</v>
      </c>
      <c r="Z37" s="303">
        <v>0.26804081709885003</v>
      </c>
      <c r="AA37" s="303">
        <v>-114212.15860071708</v>
      </c>
      <c r="AB37" s="303">
        <v>32193.785713641875</v>
      </c>
      <c r="AC37" s="303">
        <v>-114212.15860071708</v>
      </c>
      <c r="AD37" s="303">
        <v>32193.785713641875</v>
      </c>
      <c r="AE37" s="153"/>
      <c r="AF37" s="153"/>
      <c r="AG37" s="153"/>
      <c r="AH37" s="153"/>
      <c r="AI37" s="153"/>
      <c r="AJ37" s="153"/>
      <c r="AK37" s="153"/>
      <c r="AL37" s="153"/>
      <c r="AM37" s="153"/>
      <c r="AN37" s="153"/>
    </row>
    <row r="38" spans="1:40" x14ac:dyDescent="0.2">
      <c r="A38" s="493">
        <f t="shared" si="1"/>
        <v>19</v>
      </c>
      <c r="B38" s="166" t="str">
        <f>CONCATENATE('3. Consumption by Rate Class'!B43,"-",'3. Consumption by Rate Class'!C43)</f>
        <v>2012-July</v>
      </c>
      <c r="C38" s="473">
        <v>19772339</v>
      </c>
      <c r="D38" s="338">
        <v>117029.86999999998</v>
      </c>
      <c r="E38" s="486">
        <v>81423.789999999994</v>
      </c>
      <c r="F38" s="338">
        <v>1419338.0071999999</v>
      </c>
      <c r="G38" s="327"/>
      <c r="H38" s="327"/>
      <c r="I38" s="328"/>
      <c r="J38" s="167">
        <f t="shared" si="0"/>
        <v>21390130.667199999</v>
      </c>
      <c r="K38" s="348">
        <f>+'5.Variables'!$I$18</f>
        <v>0</v>
      </c>
      <c r="L38" s="348">
        <f>+'5.Variables'!$I$28</f>
        <v>203.49999999999997</v>
      </c>
      <c r="M38" s="348">
        <f>+'5.Variables'!$I$39</f>
        <v>15.11</v>
      </c>
      <c r="N38" s="348">
        <f>+'5.Variables'!$I$50</f>
        <v>8105</v>
      </c>
      <c r="O38" s="348">
        <f>+'5.Variables'!$I$61</f>
        <v>31</v>
      </c>
      <c r="P38" s="348">
        <f>+'5.Variables'!$I$72</f>
        <v>1</v>
      </c>
      <c r="Q38" s="348">
        <f>+'5.Variables'!$I$82</f>
        <v>8.0660000000000007</v>
      </c>
      <c r="R38" s="153"/>
      <c r="S38" s="167">
        <f t="shared" si="2"/>
        <v>22704213.010241963</v>
      </c>
      <c r="T38" s="168"/>
      <c r="U38" s="153"/>
      <c r="V38" s="303" t="s">
        <v>244</v>
      </c>
      <c r="W38" s="303">
        <v>1237.6803700304206</v>
      </c>
      <c r="X38" s="303">
        <v>222.56863415735342</v>
      </c>
      <c r="Y38" s="303">
        <v>5.5608930463912314</v>
      </c>
      <c r="Z38" s="303">
        <v>3.8270265300119013E-7</v>
      </c>
      <c r="AA38" s="303">
        <v>794.39651761319647</v>
      </c>
      <c r="AB38" s="303">
        <v>1680.9642224476447</v>
      </c>
      <c r="AC38" s="303">
        <v>794.39651761319647</v>
      </c>
      <c r="AD38" s="303">
        <v>1680.9642224476447</v>
      </c>
      <c r="AE38" s="153"/>
      <c r="AF38" s="153"/>
      <c r="AG38" s="153"/>
      <c r="AH38" s="153"/>
      <c r="AI38" s="153"/>
      <c r="AJ38" s="153"/>
      <c r="AK38" s="153"/>
      <c r="AL38" s="153"/>
      <c r="AM38" s="153"/>
      <c r="AN38" s="153"/>
    </row>
    <row r="39" spans="1:40" x14ac:dyDescent="0.2">
      <c r="A39" s="493">
        <f t="shared" si="1"/>
        <v>20</v>
      </c>
      <c r="B39" s="166" t="str">
        <f>CONCATENATE('3. Consumption by Rate Class'!B44,"-",'3. Consumption by Rate Class'!C44)</f>
        <v>2012-August</v>
      </c>
      <c r="C39" s="473">
        <v>17960624</v>
      </c>
      <c r="D39" s="338">
        <v>102971.62000000001</v>
      </c>
      <c r="E39" s="486">
        <v>69336.19</v>
      </c>
      <c r="F39" s="338">
        <v>1429827.9299999995</v>
      </c>
      <c r="G39" s="327"/>
      <c r="H39" s="327"/>
      <c r="I39" s="328"/>
      <c r="J39" s="167">
        <f t="shared" si="0"/>
        <v>19562759.740000002</v>
      </c>
      <c r="K39" s="348">
        <f>+'5.Variables'!$J$18</f>
        <v>0</v>
      </c>
      <c r="L39" s="348">
        <f>+'5.Variables'!$J$28</f>
        <v>148.69999999999999</v>
      </c>
      <c r="M39" s="348">
        <f>+'5.Variables'!$J$39</f>
        <v>14</v>
      </c>
      <c r="N39" s="348">
        <f>+'5.Variables'!$J$50</f>
        <v>8121.5</v>
      </c>
      <c r="O39" s="348">
        <f>+'5.Variables'!$J$61</f>
        <v>31</v>
      </c>
      <c r="P39" s="348">
        <f>+'5.Variables'!$J$72</f>
        <v>1</v>
      </c>
      <c r="Q39" s="348">
        <f>+'5.Variables'!$J$82</f>
        <v>8.0660000000000007</v>
      </c>
      <c r="R39" s="153"/>
      <c r="S39" s="167">
        <f t="shared" si="2"/>
        <v>20637139.294411276</v>
      </c>
      <c r="T39" s="168"/>
      <c r="U39" s="153"/>
      <c r="V39" s="303" t="s">
        <v>242</v>
      </c>
      <c r="W39" s="303">
        <v>446850.10221646243</v>
      </c>
      <c r="X39" s="303">
        <v>70391.691017841527</v>
      </c>
      <c r="Y39" s="303">
        <v>6.34805181911603</v>
      </c>
      <c r="Z39" s="303">
        <v>1.4438084229503592E-8</v>
      </c>
      <c r="AA39" s="303">
        <v>306652.89926965733</v>
      </c>
      <c r="AB39" s="303">
        <v>587047.30516326753</v>
      </c>
      <c r="AC39" s="303">
        <v>306652.89926965733</v>
      </c>
      <c r="AD39" s="303">
        <v>587047.30516326753</v>
      </c>
      <c r="AE39" s="153"/>
      <c r="AF39" s="153"/>
      <c r="AG39" s="153"/>
      <c r="AH39" s="153"/>
      <c r="AI39" s="153"/>
      <c r="AJ39" s="153"/>
      <c r="AK39" s="153"/>
      <c r="AL39" s="153"/>
      <c r="AM39" s="153"/>
      <c r="AN39" s="153"/>
    </row>
    <row r="40" spans="1:40" x14ac:dyDescent="0.2">
      <c r="A40" s="493">
        <f t="shared" si="1"/>
        <v>21</v>
      </c>
      <c r="B40" s="166" t="str">
        <f>CONCATENATE('3. Consumption by Rate Class'!B45,"-",'3. Consumption by Rate Class'!C45)</f>
        <v>2012-September</v>
      </c>
      <c r="C40" s="473">
        <v>13948856</v>
      </c>
      <c r="D40" s="338">
        <v>88852.150000000009</v>
      </c>
      <c r="E40" s="486">
        <v>62535.7</v>
      </c>
      <c r="F40" s="338">
        <v>1266055.0790000001</v>
      </c>
      <c r="G40" s="327"/>
      <c r="H40" s="328"/>
      <c r="I40" s="328"/>
      <c r="J40" s="167">
        <f t="shared" si="0"/>
        <v>15366298.929</v>
      </c>
      <c r="K40" s="348">
        <f>+'5.Variables'!$K$18</f>
        <v>37.9</v>
      </c>
      <c r="L40" s="348">
        <f>+'5.Variables'!$K$28</f>
        <v>50.29999999999999</v>
      </c>
      <c r="M40" s="348">
        <f>+'5.Variables'!$K$39</f>
        <v>12.27</v>
      </c>
      <c r="N40" s="348">
        <f>+'5.Variables'!$K$50</f>
        <v>8133</v>
      </c>
      <c r="O40" s="348">
        <f>+'5.Variables'!$K$61</f>
        <v>30</v>
      </c>
      <c r="P40" s="348">
        <f>+'5.Variables'!$K$72</f>
        <v>0</v>
      </c>
      <c r="Q40" s="348">
        <f>+'5.Variables'!$K$82</f>
        <v>8.0660000000000007</v>
      </c>
      <c r="R40" s="153"/>
      <c r="S40" s="167">
        <f t="shared" si="2"/>
        <v>14968361.423550067</v>
      </c>
      <c r="T40" s="168"/>
      <c r="U40" s="153"/>
      <c r="V40" s="303" t="s">
        <v>246</v>
      </c>
      <c r="W40" s="303">
        <v>794263.80726885644</v>
      </c>
      <c r="X40" s="303">
        <v>139065.0508472253</v>
      </c>
      <c r="Y40" s="303">
        <v>5.7114551961831319</v>
      </c>
      <c r="Z40" s="303">
        <v>2.0673135953900855E-7</v>
      </c>
      <c r="AA40" s="303">
        <v>517291.75453759561</v>
      </c>
      <c r="AB40" s="303">
        <v>1071235.8600001172</v>
      </c>
      <c r="AC40" s="303">
        <v>517291.75453759561</v>
      </c>
      <c r="AD40" s="303">
        <v>1071235.8600001172</v>
      </c>
      <c r="AE40" s="153"/>
      <c r="AF40" s="153"/>
      <c r="AG40" s="153"/>
      <c r="AH40" s="153"/>
      <c r="AI40" s="153"/>
      <c r="AJ40" s="153"/>
      <c r="AK40" s="153"/>
      <c r="AL40" s="153"/>
      <c r="AM40" s="153"/>
      <c r="AN40" s="153"/>
    </row>
    <row r="41" spans="1:40" x14ac:dyDescent="0.2">
      <c r="A41" s="493">
        <f t="shared" si="1"/>
        <v>22</v>
      </c>
      <c r="B41" s="166" t="str">
        <f>CONCATENATE('3. Consumption by Rate Class'!B46,"-",'3. Consumption by Rate Class'!C46)</f>
        <v>2012-October</v>
      </c>
      <c r="C41" s="473">
        <v>12836472</v>
      </c>
      <c r="D41" s="338">
        <v>56871.079999999987</v>
      </c>
      <c r="E41" s="486">
        <v>34161.86</v>
      </c>
      <c r="F41" s="338">
        <v>1156662.1843999999</v>
      </c>
      <c r="G41" s="327"/>
      <c r="H41" s="328"/>
      <c r="I41" s="328"/>
      <c r="J41" s="167">
        <f t="shared" si="0"/>
        <v>14084167.124399999</v>
      </c>
      <c r="K41" s="348">
        <f>+'5.Variables'!$L$18</f>
        <v>191.9</v>
      </c>
      <c r="L41" s="348">
        <f>+'5.Variables'!$L$28</f>
        <v>2.6</v>
      </c>
      <c r="M41" s="348">
        <f>+'5.Variables'!$L$39</f>
        <v>10.52</v>
      </c>
      <c r="N41" s="348">
        <f>+'5.Variables'!$L$50</f>
        <v>8143.5</v>
      </c>
      <c r="O41" s="348">
        <f>+'5.Variables'!$L$61</f>
        <v>31</v>
      </c>
      <c r="P41" s="348">
        <f>+'5.Variables'!$L$72</f>
        <v>0</v>
      </c>
      <c r="Q41" s="348">
        <f>+'5.Variables'!$L$82</f>
        <v>8.0660000000000007</v>
      </c>
      <c r="R41" s="153"/>
      <c r="S41" s="167">
        <f t="shared" si="2"/>
        <v>14096405.027618269</v>
      </c>
      <c r="T41" s="168"/>
      <c r="U41" s="153"/>
      <c r="V41" s="303" t="s">
        <v>247</v>
      </c>
      <c r="W41" s="303">
        <v>25419.383425595999</v>
      </c>
      <c r="X41" s="303">
        <v>82044.095364117413</v>
      </c>
      <c r="Y41" s="303">
        <v>0.3098258724504549</v>
      </c>
      <c r="Z41" s="303">
        <v>0.75754131775518929</v>
      </c>
      <c r="AA41" s="303">
        <v>-137985.59409419124</v>
      </c>
      <c r="AB41" s="303">
        <v>188824.36094538323</v>
      </c>
      <c r="AC41" s="303">
        <v>-137985.59409419124</v>
      </c>
      <c r="AD41" s="303">
        <v>188824.36094538323</v>
      </c>
      <c r="AE41" s="153"/>
      <c r="AF41" s="153"/>
      <c r="AG41" s="153"/>
      <c r="AH41" s="153"/>
      <c r="AI41" s="153"/>
      <c r="AJ41" s="153"/>
      <c r="AK41" s="153"/>
      <c r="AL41" s="153"/>
      <c r="AM41" s="153"/>
      <c r="AN41" s="153"/>
    </row>
    <row r="42" spans="1:40" x14ac:dyDescent="0.2">
      <c r="A42" s="493">
        <f t="shared" si="1"/>
        <v>23</v>
      </c>
      <c r="B42" s="166" t="str">
        <f>CONCATENATE('3. Consumption by Rate Class'!B47,"-",'3. Consumption by Rate Class'!C47)</f>
        <v>2012-November</v>
      </c>
      <c r="C42" s="473">
        <v>13296539</v>
      </c>
      <c r="D42" s="338">
        <v>46729.250000000007</v>
      </c>
      <c r="E42" s="486">
        <v>24568.03</v>
      </c>
      <c r="F42" s="338">
        <v>867787.76399999985</v>
      </c>
      <c r="G42" s="327"/>
      <c r="H42" s="328"/>
      <c r="I42" s="328"/>
      <c r="J42" s="167">
        <f t="shared" si="0"/>
        <v>14235624.044</v>
      </c>
      <c r="K42" s="348">
        <f>+'5.Variables'!$M$18</f>
        <v>381.9</v>
      </c>
      <c r="L42" s="348">
        <f>+'5.Variables'!$M$28</f>
        <v>0</v>
      </c>
      <c r="M42" s="348">
        <f>+'5.Variables'!$M$39</f>
        <v>9.31</v>
      </c>
      <c r="N42" s="348">
        <f>+'5.Variables'!$M$50</f>
        <v>8160</v>
      </c>
      <c r="O42" s="348">
        <f>+'5.Variables'!$M$61</f>
        <v>30</v>
      </c>
      <c r="P42" s="348">
        <f>+'5.Variables'!$M$72</f>
        <v>0</v>
      </c>
      <c r="Q42" s="348">
        <f>+'5.Variables'!$M$82</f>
        <v>7.9379999999999997</v>
      </c>
      <c r="R42" s="153"/>
      <c r="S42" s="167">
        <f t="shared" si="2"/>
        <v>14177402.888963198</v>
      </c>
      <c r="T42" s="168"/>
      <c r="U42" s="153"/>
      <c r="V42" s="488"/>
      <c r="W42" s="488"/>
      <c r="X42" s="488"/>
      <c r="Y42" s="488"/>
      <c r="Z42" s="488"/>
      <c r="AA42" s="488"/>
      <c r="AB42" s="488"/>
      <c r="AC42" s="488"/>
      <c r="AD42" s="488"/>
      <c r="AE42" s="153"/>
      <c r="AF42" s="153"/>
      <c r="AG42" s="153"/>
      <c r="AH42" s="153"/>
      <c r="AI42" s="153"/>
      <c r="AJ42" s="153"/>
      <c r="AK42" s="153"/>
      <c r="AL42" s="153"/>
      <c r="AM42" s="153"/>
      <c r="AN42" s="153"/>
    </row>
    <row r="43" spans="1:40" x14ac:dyDescent="0.2">
      <c r="A43" s="493">
        <f t="shared" si="1"/>
        <v>24</v>
      </c>
      <c r="B43" s="286" t="str">
        <f>CONCATENATE('3. Consumption by Rate Class'!B48,"-",'3. Consumption by Rate Class'!C48)</f>
        <v>2012-December</v>
      </c>
      <c r="C43" s="324">
        <v>14288574</v>
      </c>
      <c r="D43" s="324">
        <v>26182.609999999997</v>
      </c>
      <c r="E43" s="324">
        <v>16866.46</v>
      </c>
      <c r="F43" s="324">
        <v>1057628.1942</v>
      </c>
      <c r="G43" s="329"/>
      <c r="H43" s="330"/>
      <c r="I43" s="330"/>
      <c r="J43" s="167">
        <f t="shared" si="0"/>
        <v>15389251.2642</v>
      </c>
      <c r="K43" s="348">
        <f>+'5.Variables'!$N$18</f>
        <v>462.50000000000006</v>
      </c>
      <c r="L43" s="348">
        <f>+'5.Variables'!$N$28</f>
        <v>0</v>
      </c>
      <c r="M43" s="348">
        <f>+'5.Variables'!$N$39</f>
        <v>8.5</v>
      </c>
      <c r="N43" s="348">
        <f>+'5.Variables'!$N$50</f>
        <v>8176</v>
      </c>
      <c r="O43" s="348">
        <f>+'5.Variables'!$N$61</f>
        <v>31</v>
      </c>
      <c r="P43" s="348">
        <f>+'5.Variables'!$N$72</f>
        <v>1</v>
      </c>
      <c r="Q43" s="348">
        <f>+'5.Variables'!$N$82</f>
        <v>7.9379999999999997</v>
      </c>
      <c r="R43" s="153"/>
      <c r="S43" s="167">
        <f t="shared" si="2"/>
        <v>16502937.414017381</v>
      </c>
      <c r="T43" s="168">
        <f>SUM(S32:S43)</f>
        <v>195964358.12512141</v>
      </c>
      <c r="U43" s="153"/>
      <c r="V43"/>
      <c r="W43"/>
      <c r="X43"/>
      <c r="Y43"/>
      <c r="Z43"/>
      <c r="AA43"/>
      <c r="AB43"/>
      <c r="AC43"/>
      <c r="AD43"/>
      <c r="AE43" s="153"/>
      <c r="AF43" s="153"/>
      <c r="AG43" s="153"/>
      <c r="AH43" s="153"/>
      <c r="AI43" s="153"/>
      <c r="AJ43" s="153"/>
      <c r="AK43" s="153"/>
      <c r="AL43" s="153"/>
      <c r="AM43" s="153"/>
      <c r="AN43" s="153"/>
    </row>
    <row r="44" spans="1:40" x14ac:dyDescent="0.2">
      <c r="A44" s="493">
        <f t="shared" si="1"/>
        <v>25</v>
      </c>
      <c r="B44" s="166" t="str">
        <f>CONCATENATE('3. Consumption by Rate Class'!B49,"-",'3. Consumption by Rate Class'!C49)</f>
        <v>2013-January</v>
      </c>
      <c r="C44" s="473">
        <v>15903018</v>
      </c>
      <c r="D44" s="338">
        <v>32474.69999999999</v>
      </c>
      <c r="E44" s="486">
        <v>16218.59</v>
      </c>
      <c r="F44" s="338">
        <v>69393.932799999995</v>
      </c>
      <c r="G44" s="327"/>
      <c r="H44" s="328"/>
      <c r="I44" s="328"/>
      <c r="J44" s="167">
        <f t="shared" si="0"/>
        <v>16021105.2228</v>
      </c>
      <c r="K44" s="348">
        <f>+'5.Variables'!$C$19</f>
        <v>556.39999999999986</v>
      </c>
      <c r="L44" s="348">
        <f>+'5.Variables'!$C$29</f>
        <v>0</v>
      </c>
      <c r="M44" s="348">
        <f>+'5.Variables'!$C$40</f>
        <v>9.1199999999999992</v>
      </c>
      <c r="N44" s="348">
        <f>+'5.Variables'!$C$51</f>
        <v>8190</v>
      </c>
      <c r="O44" s="348">
        <f>+'5.Variables'!$C$62</f>
        <v>31</v>
      </c>
      <c r="P44" s="348">
        <f>+'5.Variables'!$C$73</f>
        <v>1</v>
      </c>
      <c r="Q44" s="348">
        <f>+'5.Variables'!$C$83</f>
        <v>7.9379999999999997</v>
      </c>
      <c r="R44" s="153"/>
      <c r="S44" s="167">
        <f t="shared" si="2"/>
        <v>16771106.186527481</v>
      </c>
      <c r="T44" s="168"/>
      <c r="U44" s="153"/>
      <c r="V44"/>
      <c r="W44"/>
      <c r="X44"/>
      <c r="Y44"/>
      <c r="Z44"/>
      <c r="AA44"/>
      <c r="AB44"/>
      <c r="AC44"/>
      <c r="AD44"/>
      <c r="AE44" s="153"/>
      <c r="AF44" s="153"/>
      <c r="AG44" s="153"/>
      <c r="AH44" s="153"/>
      <c r="AI44" s="153"/>
      <c r="AJ44" s="153"/>
      <c r="AK44" s="153"/>
      <c r="AL44" s="153"/>
      <c r="AM44" s="153"/>
      <c r="AN44" s="153"/>
    </row>
    <row r="45" spans="1:40" x14ac:dyDescent="0.2">
      <c r="A45" s="493">
        <f t="shared" si="1"/>
        <v>26</v>
      </c>
      <c r="B45" s="166" t="str">
        <f>CONCATENATE('3. Consumption by Rate Class'!B50,"-",'3. Consumption by Rate Class'!C50)</f>
        <v>2013-February</v>
      </c>
      <c r="C45" s="473">
        <v>14500205</v>
      </c>
      <c r="D45" s="338">
        <v>35354.290000000008</v>
      </c>
      <c r="E45" s="486">
        <v>27897.850000000002</v>
      </c>
      <c r="F45" s="338">
        <v>134753.88960000002</v>
      </c>
      <c r="G45" s="327"/>
      <c r="H45" s="328"/>
      <c r="I45" s="328"/>
      <c r="J45" s="167">
        <f t="shared" si="0"/>
        <v>14698211.029599998</v>
      </c>
      <c r="K45" s="348">
        <f>+'5.Variables'!$D$19</f>
        <v>565.9</v>
      </c>
      <c r="L45" s="348">
        <f>+'5.Variables'!$D$29</f>
        <v>0</v>
      </c>
      <c r="M45" s="348">
        <f>+'5.Variables'!$D$40</f>
        <v>10.199999999999999</v>
      </c>
      <c r="N45" s="348">
        <f>+'5.Variables'!$D$51</f>
        <v>8195.5</v>
      </c>
      <c r="O45" s="348">
        <f>+'5.Variables'!$D$62</f>
        <v>28</v>
      </c>
      <c r="P45" s="348">
        <f>+'5.Variables'!$D$73</f>
        <v>1</v>
      </c>
      <c r="Q45" s="348">
        <f>+'5.Variables'!$D$83</f>
        <v>7.9379999999999997</v>
      </c>
      <c r="R45" s="153"/>
      <c r="S45" s="167">
        <f t="shared" si="2"/>
        <v>15421023.530243102</v>
      </c>
      <c r="T45" s="168"/>
      <c r="U45" s="153"/>
      <c r="V45" s="169" t="s">
        <v>134</v>
      </c>
      <c r="W45" s="163"/>
      <c r="X45" s="163"/>
      <c r="Y45" s="163"/>
      <c r="Z45" s="163"/>
      <c r="AA45" s="163"/>
      <c r="AB45" s="163"/>
      <c r="AC45" s="163"/>
      <c r="AD45" s="163"/>
      <c r="AE45" s="153"/>
      <c r="AF45" s="153"/>
      <c r="AG45" s="153"/>
      <c r="AH45" s="153"/>
      <c r="AI45" s="153"/>
      <c r="AJ45" s="153"/>
      <c r="AK45" s="153"/>
      <c r="AL45" s="153"/>
      <c r="AM45" s="153"/>
      <c r="AN45" s="153"/>
    </row>
    <row r="46" spans="1:40" x14ac:dyDescent="0.2">
      <c r="A46" s="493">
        <f t="shared" si="1"/>
        <v>27</v>
      </c>
      <c r="B46" s="166" t="str">
        <f>CONCATENATE('3. Consumption by Rate Class'!B51,"-",'3. Consumption by Rate Class'!C51)</f>
        <v>2013-March</v>
      </c>
      <c r="C46" s="473">
        <v>14041657</v>
      </c>
      <c r="D46" s="338">
        <v>82699.779999999955</v>
      </c>
      <c r="E46" s="486">
        <v>49100.170000000006</v>
      </c>
      <c r="F46" s="338">
        <v>1036687.4996</v>
      </c>
      <c r="G46" s="327"/>
      <c r="H46" s="328"/>
      <c r="I46" s="328"/>
      <c r="J46" s="167">
        <f t="shared" si="0"/>
        <v>15210144.4496</v>
      </c>
      <c r="K46" s="348">
        <f>+'5.Variables'!$E$19</f>
        <v>508.7000000000001</v>
      </c>
      <c r="L46" s="348">
        <f>+'5.Variables'!$E$29</f>
        <v>0</v>
      </c>
      <c r="M46" s="348">
        <f>+'5.Variables'!$E$40</f>
        <v>11.5</v>
      </c>
      <c r="N46" s="348">
        <f>+'5.Variables'!$E$51</f>
        <v>8202</v>
      </c>
      <c r="O46" s="348">
        <f>+'5.Variables'!$E$62</f>
        <v>31</v>
      </c>
      <c r="P46" s="348">
        <f>+'5.Variables'!$E$73</f>
        <v>0</v>
      </c>
      <c r="Q46" s="348">
        <f>+'5.Variables'!$E$83</f>
        <v>7.9379999999999997</v>
      </c>
      <c r="R46" s="153"/>
      <c r="S46" s="167">
        <f t="shared" si="2"/>
        <v>14959488.796256743</v>
      </c>
      <c r="T46" s="168"/>
      <c r="U46" s="153"/>
      <c r="V46" s="156" t="s">
        <v>32</v>
      </c>
      <c r="W46" s="156" t="s">
        <v>42</v>
      </c>
      <c r="X46" s="156" t="s">
        <v>44</v>
      </c>
      <c r="Y46" s="156" t="s">
        <v>30</v>
      </c>
      <c r="Z46" s="156" t="s">
        <v>44</v>
      </c>
      <c r="AA46" s="156" t="s">
        <v>45</v>
      </c>
      <c r="AB46" s="153"/>
      <c r="AC46" s="153"/>
      <c r="AD46" s="153"/>
      <c r="AE46" s="153"/>
      <c r="AF46" s="153"/>
      <c r="AG46" s="153"/>
      <c r="AH46" s="153"/>
      <c r="AI46" s="153"/>
      <c r="AJ46" s="153"/>
      <c r="AK46" s="153"/>
      <c r="AL46" s="153"/>
      <c r="AM46" s="153"/>
      <c r="AN46" s="153"/>
    </row>
    <row r="47" spans="1:40" x14ac:dyDescent="0.2">
      <c r="A47" s="493">
        <f t="shared" si="1"/>
        <v>28</v>
      </c>
      <c r="B47" s="166" t="str">
        <f>CONCATENATE('3. Consumption by Rate Class'!B52,"-",'3. Consumption by Rate Class'!C52)</f>
        <v>2013-April</v>
      </c>
      <c r="C47" s="473">
        <v>12034641</v>
      </c>
      <c r="D47" s="338">
        <v>108214.65</v>
      </c>
      <c r="E47" s="486">
        <v>62810.64379310346</v>
      </c>
      <c r="F47" s="338">
        <v>1464361.5285999996</v>
      </c>
      <c r="G47" s="327"/>
      <c r="H47" s="328"/>
      <c r="I47" s="328"/>
      <c r="J47" s="167">
        <f t="shared" si="0"/>
        <v>13670027.822393104</v>
      </c>
      <c r="K47" s="348">
        <f>+'5.Variables'!$F$19</f>
        <v>341.29999999999995</v>
      </c>
      <c r="L47" s="348">
        <f>+'5.Variables'!$F$29</f>
        <v>0</v>
      </c>
      <c r="M47" s="348">
        <f>+'5.Variables'!$F$40</f>
        <v>13.26</v>
      </c>
      <c r="N47" s="348">
        <f>+'5.Variables'!$F$51</f>
        <v>8210</v>
      </c>
      <c r="O47" s="348">
        <f>+'5.Variables'!$F$62</f>
        <v>30</v>
      </c>
      <c r="P47" s="348">
        <f>+'5.Variables'!$F$73</f>
        <v>0</v>
      </c>
      <c r="Q47" s="348">
        <f>+'5.Variables'!$F$83</f>
        <v>7.9379999999999997</v>
      </c>
      <c r="R47" s="153"/>
      <c r="S47" s="167">
        <f t="shared" si="2"/>
        <v>13957849.738342442</v>
      </c>
      <c r="T47" s="168"/>
      <c r="U47" s="153"/>
      <c r="V47" s="157">
        <f>+'4. Customer Growth'!B17</f>
        <v>2011</v>
      </c>
      <c r="W47" s="170">
        <f>SUM(J20:J31)</f>
        <v>188298521</v>
      </c>
      <c r="X47" s="489">
        <f>IF(ISERROR((W47-#REF!)/#REF!),0,(W47-#REF!)/#REF!)</f>
        <v>0</v>
      </c>
      <c r="Y47" s="170">
        <f>T31</f>
        <v>190530219.37423924</v>
      </c>
      <c r="Z47" s="489">
        <f>IF(ISERROR((Y47-#REF!)/#REF!),0,(Y47-#REF!)/#REF!)</f>
        <v>0</v>
      </c>
      <c r="AA47" s="489">
        <f t="shared" ref="AA47:AA53" si="3">IF(ISERROR((Y47-W47)/W47),0,(Y47-W47)/W47)</f>
        <v>1.1851916639532374E-2</v>
      </c>
      <c r="AB47" s="153"/>
      <c r="AC47" s="153"/>
      <c r="AD47" s="153"/>
      <c r="AE47" s="153"/>
      <c r="AF47" s="153"/>
      <c r="AG47" s="153"/>
      <c r="AH47" s="153"/>
      <c r="AI47" s="153"/>
      <c r="AJ47" s="153"/>
      <c r="AK47" s="153"/>
      <c r="AL47" s="153"/>
      <c r="AM47" s="153"/>
      <c r="AN47" s="153"/>
    </row>
    <row r="48" spans="1:40" x14ac:dyDescent="0.2">
      <c r="A48" s="493">
        <f t="shared" si="1"/>
        <v>29</v>
      </c>
      <c r="B48" s="166" t="str">
        <f>CONCATENATE('3. Consumption by Rate Class'!B53,"-",'3. Consumption by Rate Class'!C53)</f>
        <v>2013-May</v>
      </c>
      <c r="C48" s="473">
        <v>12746996</v>
      </c>
      <c r="D48" s="338">
        <v>147010.66999999998</v>
      </c>
      <c r="E48" s="486">
        <v>75811.350000000035</v>
      </c>
      <c r="F48" s="338">
        <v>1474945.23</v>
      </c>
      <c r="G48" s="327"/>
      <c r="H48" s="328"/>
      <c r="I48" s="328"/>
      <c r="J48" s="167">
        <f t="shared" si="0"/>
        <v>14444763.25</v>
      </c>
      <c r="K48" s="348">
        <f>+'5.Variables'!$G$19</f>
        <v>150.35</v>
      </c>
      <c r="L48" s="348">
        <f>+'5.Variables'!$G$29</f>
        <v>12.15</v>
      </c>
      <c r="M48" s="348">
        <f>+'5.Variables'!$G$40</f>
        <v>14.47</v>
      </c>
      <c r="N48" s="348">
        <f>+'5.Variables'!$G$51</f>
        <v>8222.5</v>
      </c>
      <c r="O48" s="348">
        <f>+'5.Variables'!$G$62</f>
        <v>31</v>
      </c>
      <c r="P48" s="348">
        <f>+'5.Variables'!$G$73</f>
        <v>0</v>
      </c>
      <c r="Q48" s="348">
        <f>+'5.Variables'!$G$83</f>
        <v>9.0960000000000001</v>
      </c>
      <c r="R48" s="153"/>
      <c r="S48" s="167">
        <f t="shared" si="2"/>
        <v>14281670.365843181</v>
      </c>
      <c r="T48" s="168"/>
      <c r="U48" s="153"/>
      <c r="V48" s="157">
        <f>+'4. Customer Growth'!B18</f>
        <v>2012</v>
      </c>
      <c r="W48" s="170">
        <f>SUM(J32:J43)</f>
        <v>189169072.93239999</v>
      </c>
      <c r="X48" s="489">
        <f t="shared" ref="X48:X53" si="4">IF(ISERROR((W48-W47)/W47),0,(W48-W47)/W47)</f>
        <v>4.6232542230110673E-3</v>
      </c>
      <c r="Y48" s="170">
        <f>T43</f>
        <v>195964358.12512141</v>
      </c>
      <c r="Z48" s="489">
        <f t="shared" ref="Z48:Z53" si="5">IF(ISERROR((Y48-Y47)/Y47),0,(Y48-Y47)/Y47)</f>
        <v>2.8521138372325335E-2</v>
      </c>
      <c r="AA48" s="489">
        <f t="shared" si="3"/>
        <v>3.5921755535323355E-2</v>
      </c>
      <c r="AB48" s="153"/>
      <c r="AC48" s="153"/>
      <c r="AD48" s="153"/>
      <c r="AE48" s="153"/>
      <c r="AF48" s="153"/>
      <c r="AG48" s="153"/>
      <c r="AH48" s="153"/>
      <c r="AI48" s="153"/>
      <c r="AJ48" s="153"/>
      <c r="AK48" s="153"/>
      <c r="AL48" s="153"/>
      <c r="AM48" s="153"/>
      <c r="AN48" s="153"/>
    </row>
    <row r="49" spans="1:40" x14ac:dyDescent="0.2">
      <c r="A49" s="493">
        <f t="shared" si="1"/>
        <v>30</v>
      </c>
      <c r="B49" s="166" t="str">
        <f>CONCATENATE('3. Consumption by Rate Class'!B54,"-",'3. Consumption by Rate Class'!C54)</f>
        <v>2013-June</v>
      </c>
      <c r="C49" s="473">
        <v>14278379</v>
      </c>
      <c r="D49" s="338">
        <v>135277.72999999998</v>
      </c>
      <c r="E49" s="486">
        <v>75442.456896551739</v>
      </c>
      <c r="F49" s="338">
        <v>1339188.2043999997</v>
      </c>
      <c r="G49" s="327"/>
      <c r="H49" s="328"/>
      <c r="I49" s="328"/>
      <c r="J49" s="167">
        <f t="shared" ref="J49:J103" si="6">SUM(C49:I49)</f>
        <v>15828287.391296551</v>
      </c>
      <c r="K49" s="348">
        <f>+'5.Variables'!$H$19</f>
        <v>44.300000000000011</v>
      </c>
      <c r="L49" s="348">
        <f>+'5.Variables'!$H$29</f>
        <v>47.499999999999993</v>
      </c>
      <c r="M49" s="348">
        <f>+'5.Variables'!$H$40</f>
        <v>15.3</v>
      </c>
      <c r="N49" s="348">
        <f>+'5.Variables'!$H$51</f>
        <v>8239</v>
      </c>
      <c r="O49" s="348">
        <f>+'5.Variables'!$H$62</f>
        <v>30</v>
      </c>
      <c r="P49" s="348">
        <f>+'5.Variables'!$H$73</f>
        <v>1</v>
      </c>
      <c r="Q49" s="348">
        <f>+'5.Variables'!$H$83</f>
        <v>9.0960000000000001</v>
      </c>
      <c r="R49" s="153"/>
      <c r="S49" s="167">
        <f t="shared" si="2"/>
        <v>16473668.817650327</v>
      </c>
      <c r="T49" s="168"/>
      <c r="U49" s="153"/>
      <c r="V49" s="157">
        <f>+'4. Customer Growth'!B19</f>
        <v>2013</v>
      </c>
      <c r="W49" s="170">
        <f>SUM(J44:J55)</f>
        <v>189823053.13865024</v>
      </c>
      <c r="X49" s="489">
        <f t="shared" si="4"/>
        <v>3.4571201101352951E-3</v>
      </c>
      <c r="Y49" s="170">
        <f>T55</f>
        <v>191903721.59167364</v>
      </c>
      <c r="Z49" s="489">
        <f t="shared" si="5"/>
        <v>-2.0721301425921001E-2</v>
      </c>
      <c r="AA49" s="489">
        <f t="shared" si="3"/>
        <v>1.0961094654312853E-2</v>
      </c>
      <c r="AB49" s="153"/>
      <c r="AC49" s="153"/>
      <c r="AD49" s="153"/>
      <c r="AE49" s="153"/>
      <c r="AF49" s="153"/>
      <c r="AG49" s="153"/>
      <c r="AH49" s="153"/>
      <c r="AI49" s="153"/>
      <c r="AJ49" s="153"/>
      <c r="AK49" s="153"/>
      <c r="AL49" s="153"/>
      <c r="AM49" s="153"/>
      <c r="AN49" s="153"/>
    </row>
    <row r="50" spans="1:40" x14ac:dyDescent="0.2">
      <c r="A50" s="493">
        <f t="shared" ref="A50:A113" si="7">+A49+1</f>
        <v>31</v>
      </c>
      <c r="B50" s="166" t="str">
        <f>CONCATENATE('3. Consumption by Rate Class'!B55,"-",'3. Consumption by Rate Class'!C55)</f>
        <v>2013-July</v>
      </c>
      <c r="C50" s="473">
        <v>18003814</v>
      </c>
      <c r="D50" s="338">
        <v>150365.98999999996</v>
      </c>
      <c r="E50" s="486">
        <v>85506.66132050255</v>
      </c>
      <c r="F50" s="338">
        <v>1431998.9370000002</v>
      </c>
      <c r="G50" s="327"/>
      <c r="H50" s="328"/>
      <c r="I50" s="328"/>
      <c r="J50" s="167">
        <f t="shared" si="6"/>
        <v>19671685.588320501</v>
      </c>
      <c r="K50" s="348">
        <f>+'5.Variables'!$I$19</f>
        <v>3.2</v>
      </c>
      <c r="L50" s="348">
        <f>+'5.Variables'!$I$29</f>
        <v>139.5</v>
      </c>
      <c r="M50" s="348">
        <f>+'5.Variables'!$I$40</f>
        <v>15.11</v>
      </c>
      <c r="N50" s="348">
        <f>+'5.Variables'!$I$51</f>
        <v>8250.5</v>
      </c>
      <c r="O50" s="348">
        <f>+'5.Variables'!$I$62</f>
        <v>31</v>
      </c>
      <c r="P50" s="348">
        <f>+'5.Variables'!$I$73</f>
        <v>1</v>
      </c>
      <c r="Q50" s="348">
        <f>+'5.Variables'!$I$83</f>
        <v>9.0960000000000001</v>
      </c>
      <c r="R50" s="153"/>
      <c r="S50" s="167">
        <f t="shared" si="2"/>
        <v>20402597.197070289</v>
      </c>
      <c r="T50" s="168"/>
      <c r="U50" s="153"/>
      <c r="V50" s="157">
        <f>+'4. Customer Growth'!B20</f>
        <v>2014</v>
      </c>
      <c r="W50" s="170">
        <f>SUM(J56:J67)</f>
        <v>196751647.39219356</v>
      </c>
      <c r="X50" s="489">
        <f t="shared" si="4"/>
        <v>3.6500278227442402E-2</v>
      </c>
      <c r="Y50" s="170">
        <f>T67</f>
        <v>193844611.69432142</v>
      </c>
      <c r="Z50" s="489">
        <f t="shared" si="5"/>
        <v>1.0113874220623729E-2</v>
      </c>
      <c r="AA50" s="489">
        <f t="shared" si="3"/>
        <v>-1.4775153023635997E-2</v>
      </c>
      <c r="AB50" s="153"/>
      <c r="AC50" s="153"/>
      <c r="AD50" s="153"/>
      <c r="AE50" s="153"/>
      <c r="AF50" s="153"/>
      <c r="AG50" s="153"/>
      <c r="AH50" s="153"/>
      <c r="AI50" s="153"/>
      <c r="AJ50" s="153"/>
      <c r="AK50" s="153"/>
      <c r="AL50" s="153"/>
      <c r="AM50" s="153"/>
      <c r="AN50" s="153"/>
    </row>
    <row r="51" spans="1:40" x14ac:dyDescent="0.2">
      <c r="A51" s="493">
        <f t="shared" si="7"/>
        <v>32</v>
      </c>
      <c r="B51" s="166" t="str">
        <f>CONCATENATE('3. Consumption by Rate Class'!B56,"-",'3. Consumption by Rate Class'!C56)</f>
        <v>2013-August</v>
      </c>
      <c r="C51" s="473">
        <v>16941461</v>
      </c>
      <c r="D51" s="338">
        <v>153958.59000000003</v>
      </c>
      <c r="E51" s="486">
        <v>89730.465116279069</v>
      </c>
      <c r="F51" s="338">
        <v>1416364.6</v>
      </c>
      <c r="G51" s="327"/>
      <c r="H51" s="328"/>
      <c r="I51" s="328"/>
      <c r="J51" s="167">
        <f t="shared" si="6"/>
        <v>18601514.655116279</v>
      </c>
      <c r="K51" s="348">
        <f>+'5.Variables'!$J$19</f>
        <v>0</v>
      </c>
      <c r="L51" s="348">
        <f>+'5.Variables'!$J$29</f>
        <v>106.4</v>
      </c>
      <c r="M51" s="348">
        <f>+'5.Variables'!$J$40</f>
        <v>14</v>
      </c>
      <c r="N51" s="348">
        <f>+'5.Variables'!$J$51</f>
        <v>8267.5</v>
      </c>
      <c r="O51" s="348">
        <f>+'5.Variables'!$J$62</f>
        <v>31</v>
      </c>
      <c r="P51" s="348">
        <f>+'5.Variables'!$J$73</f>
        <v>1</v>
      </c>
      <c r="Q51" s="348">
        <f>+'5.Variables'!$J$83</f>
        <v>9.0960000000000001</v>
      </c>
      <c r="R51" s="153"/>
      <c r="S51" s="167">
        <f t="shared" si="2"/>
        <v>19171370.527614839</v>
      </c>
      <c r="T51" s="168"/>
      <c r="U51" s="153"/>
      <c r="V51" s="157">
        <f>+'4. Customer Growth'!B21</f>
        <v>2015</v>
      </c>
      <c r="W51" s="170">
        <f>SUM(J68:J79)</f>
        <v>201773815.25724146</v>
      </c>
      <c r="X51" s="489">
        <f t="shared" si="4"/>
        <v>2.5525417101270809E-2</v>
      </c>
      <c r="Y51" s="170">
        <f>T79</f>
        <v>200603195.59949324</v>
      </c>
      <c r="Z51" s="489">
        <f t="shared" si="5"/>
        <v>3.4865987999860411E-2</v>
      </c>
      <c r="AA51" s="489">
        <f t="shared" si="3"/>
        <v>-5.8016430737348112E-3</v>
      </c>
      <c r="AB51" s="153"/>
      <c r="AC51" s="153"/>
      <c r="AD51" s="153"/>
      <c r="AE51" s="153"/>
      <c r="AF51" s="153"/>
      <c r="AG51" s="153"/>
      <c r="AH51" s="153"/>
      <c r="AI51" s="153"/>
      <c r="AJ51" s="153"/>
      <c r="AK51" s="153"/>
      <c r="AL51" s="153"/>
      <c r="AM51" s="153"/>
      <c r="AN51" s="153"/>
    </row>
    <row r="52" spans="1:40" x14ac:dyDescent="0.2">
      <c r="A52" s="493">
        <f t="shared" si="7"/>
        <v>33</v>
      </c>
      <c r="B52" s="166" t="str">
        <f>CONCATENATE('3. Consumption by Rate Class'!B57,"-",'3. Consumption by Rate Class'!C57)</f>
        <v>2013-September</v>
      </c>
      <c r="C52" s="473">
        <v>13979166</v>
      </c>
      <c r="D52" s="338">
        <v>122659.34999999998</v>
      </c>
      <c r="E52" s="486">
        <v>68891.149425287367</v>
      </c>
      <c r="F52" s="338">
        <v>1366978.9000000004</v>
      </c>
      <c r="G52" s="327"/>
      <c r="H52" s="328"/>
      <c r="I52" s="328"/>
      <c r="J52" s="167">
        <f t="shared" si="6"/>
        <v>15537695.399425287</v>
      </c>
      <c r="K52" s="348">
        <f>+'5.Variables'!$K$19</f>
        <v>51.6</v>
      </c>
      <c r="L52" s="348">
        <f>+'5.Variables'!$K$29</f>
        <v>34.399999999999991</v>
      </c>
      <c r="M52" s="348">
        <f>+'5.Variables'!$K$40</f>
        <v>12.27</v>
      </c>
      <c r="N52" s="348">
        <f>+'5.Variables'!$K$51</f>
        <v>8281.5</v>
      </c>
      <c r="O52" s="348">
        <f>+'5.Variables'!$K$62</f>
        <v>30</v>
      </c>
      <c r="P52" s="348">
        <f>+'5.Variables'!$K$73</f>
        <v>0</v>
      </c>
      <c r="Q52" s="348">
        <f>+'5.Variables'!$K$83</f>
        <v>9.0960000000000001</v>
      </c>
      <c r="R52" s="153"/>
      <c r="S52" s="167">
        <f t="shared" si="2"/>
        <v>14573578.351628862</v>
      </c>
      <c r="T52" s="168"/>
      <c r="U52" s="153"/>
      <c r="V52" s="157">
        <f>+'4. Customer Growth'!B22</f>
        <v>2016</v>
      </c>
      <c r="W52" s="170">
        <f>SUM(J80:J91)</f>
        <v>209189301.68894997</v>
      </c>
      <c r="X52" s="489">
        <f t="shared" si="4"/>
        <v>3.6751480474582446E-2</v>
      </c>
      <c r="Y52" s="170">
        <f>T91</f>
        <v>212828670.71166679</v>
      </c>
      <c r="Z52" s="489">
        <f t="shared" si="5"/>
        <v>6.0943571091369199E-2</v>
      </c>
      <c r="AA52" s="489">
        <f t="shared" si="3"/>
        <v>1.7397491140002514E-2</v>
      </c>
      <c r="AB52" s="153"/>
      <c r="AC52" s="153"/>
      <c r="AD52" s="153"/>
      <c r="AE52" s="153"/>
      <c r="AF52" s="153"/>
      <c r="AG52" s="153"/>
      <c r="AH52" s="153"/>
      <c r="AI52" s="153"/>
      <c r="AJ52" s="153"/>
      <c r="AK52" s="153"/>
      <c r="AL52" s="153"/>
      <c r="AM52" s="153"/>
      <c r="AN52" s="153"/>
    </row>
    <row r="53" spans="1:40" x14ac:dyDescent="0.2">
      <c r="A53" s="493">
        <f t="shared" si="7"/>
        <v>34</v>
      </c>
      <c r="B53" s="166" t="str">
        <f>CONCATENATE('3. Consumption by Rate Class'!B58,"-",'3. Consumption by Rate Class'!C58)</f>
        <v>2013-October</v>
      </c>
      <c r="C53" s="473">
        <v>13084554</v>
      </c>
      <c r="D53" s="338">
        <v>96930.129999999932</v>
      </c>
      <c r="E53" s="486">
        <v>48701.231527093587</v>
      </c>
      <c r="F53" s="338">
        <v>1351181.2999999996</v>
      </c>
      <c r="G53" s="327"/>
      <c r="H53" s="328"/>
      <c r="I53" s="328"/>
      <c r="J53" s="167">
        <f t="shared" si="6"/>
        <v>14581366.661527093</v>
      </c>
      <c r="K53" s="348">
        <f>+'5.Variables'!$L$19</f>
        <v>159.94999999999999</v>
      </c>
      <c r="L53" s="348">
        <f>+'5.Variables'!$L$29</f>
        <v>4.8</v>
      </c>
      <c r="M53" s="348">
        <f>+'5.Variables'!$L$40</f>
        <v>10.52</v>
      </c>
      <c r="N53" s="348">
        <f>+'5.Variables'!$L$51</f>
        <v>8294.5</v>
      </c>
      <c r="O53" s="348">
        <f>+'5.Variables'!$L$62</f>
        <v>31</v>
      </c>
      <c r="P53" s="348">
        <f>+'5.Variables'!$L$73</f>
        <v>0</v>
      </c>
      <c r="Q53" s="348">
        <f>+'5.Variables'!$L$83</f>
        <v>9.0960000000000001</v>
      </c>
      <c r="R53" s="153"/>
      <c r="S53" s="167">
        <f t="shared" si="2"/>
        <v>14274925.406239163</v>
      </c>
      <c r="T53" s="168"/>
      <c r="U53" s="153"/>
      <c r="V53" s="157">
        <f>+'4. Customer Growth'!B23</f>
        <v>2017</v>
      </c>
      <c r="W53" s="170">
        <f>SUM(J92:J103)</f>
        <v>203784766.54920003</v>
      </c>
      <c r="X53" s="489">
        <f t="shared" si="4"/>
        <v>-2.5835619202869725E-2</v>
      </c>
      <c r="Y53" s="170">
        <f>T103</f>
        <v>207071865.39865404</v>
      </c>
      <c r="Z53" s="489">
        <f t="shared" si="5"/>
        <v>-2.7049012211385174E-2</v>
      </c>
      <c r="AA53" s="489">
        <f t="shared" si="3"/>
        <v>1.6130248129515641E-2</v>
      </c>
      <c r="AB53" s="153"/>
      <c r="AC53" s="153"/>
      <c r="AD53" s="153"/>
      <c r="AE53" s="153"/>
      <c r="AF53" s="153"/>
      <c r="AG53" s="153"/>
      <c r="AH53" s="153"/>
      <c r="AI53" s="153"/>
      <c r="AJ53" s="153"/>
      <c r="AK53" s="153"/>
      <c r="AL53" s="153"/>
      <c r="AM53" s="153"/>
      <c r="AN53" s="153"/>
    </row>
    <row r="54" spans="1:40" x14ac:dyDescent="0.2">
      <c r="A54" s="493">
        <f t="shared" si="7"/>
        <v>35</v>
      </c>
      <c r="B54" s="166" t="str">
        <f>CONCATENATE('3. Consumption by Rate Class'!B59,"-",'3. Consumption by Rate Class'!C59)</f>
        <v>2013-November</v>
      </c>
      <c r="C54" s="473">
        <v>13288408</v>
      </c>
      <c r="D54" s="338">
        <v>56018.409999999989</v>
      </c>
      <c r="E54" s="486">
        <v>28004.54887218045</v>
      </c>
      <c r="F54" s="338">
        <v>1368024.7000000002</v>
      </c>
      <c r="G54" s="327"/>
      <c r="H54" s="328"/>
      <c r="I54" s="328"/>
      <c r="J54" s="167">
        <f t="shared" si="6"/>
        <v>14740455.65887218</v>
      </c>
      <c r="K54" s="348">
        <f>+'5.Variables'!$M$19</f>
        <v>416.30000000000007</v>
      </c>
      <c r="L54" s="348">
        <f>+'5.Variables'!$M$29</f>
        <v>0</v>
      </c>
      <c r="M54" s="348">
        <f>+'5.Variables'!$M$40</f>
        <v>9.31</v>
      </c>
      <c r="N54" s="348">
        <f>+'5.Variables'!$M$51</f>
        <v>8314.5</v>
      </c>
      <c r="O54" s="348">
        <f>+'5.Variables'!$M$62</f>
        <v>30</v>
      </c>
      <c r="P54" s="348">
        <f>+'5.Variables'!$M$73</f>
        <v>0</v>
      </c>
      <c r="Q54" s="348">
        <f>+'5.Variables'!$M$83</f>
        <v>8.8919999999999995</v>
      </c>
      <c r="R54" s="153"/>
      <c r="S54" s="167">
        <f t="shared" si="2"/>
        <v>14469834.121006256</v>
      </c>
      <c r="T54" s="168"/>
      <c r="U54" s="153"/>
      <c r="V54" s="351"/>
      <c r="W54" s="352"/>
      <c r="X54" s="490"/>
      <c r="Y54" s="352"/>
      <c r="Z54" s="490"/>
      <c r="AA54" s="490"/>
      <c r="AB54" s="153"/>
      <c r="AC54" s="153"/>
      <c r="AD54" s="153"/>
      <c r="AE54" s="153"/>
      <c r="AF54" s="153"/>
      <c r="AG54" s="153"/>
      <c r="AH54" s="153"/>
      <c r="AI54" s="153"/>
      <c r="AJ54" s="153"/>
      <c r="AK54" s="153"/>
      <c r="AL54" s="153"/>
      <c r="AM54" s="153"/>
      <c r="AN54" s="153"/>
    </row>
    <row r="55" spans="1:40" x14ac:dyDescent="0.2">
      <c r="A55" s="493">
        <f t="shared" si="7"/>
        <v>36</v>
      </c>
      <c r="B55" s="286" t="str">
        <f>CONCATENATE('3. Consumption by Rate Class'!B60,"-",'3. Consumption by Rate Class'!C60)</f>
        <v>2013-December</v>
      </c>
      <c r="C55" s="324">
        <v>15650880</v>
      </c>
      <c r="D55" s="324">
        <v>31907.030000000006</v>
      </c>
      <c r="E55" s="324">
        <v>22328.879699248122</v>
      </c>
      <c r="F55" s="324">
        <v>1112680.0999999996</v>
      </c>
      <c r="G55" s="329"/>
      <c r="H55" s="330"/>
      <c r="I55" s="330"/>
      <c r="J55" s="167">
        <f t="shared" si="6"/>
        <v>16817796.009699248</v>
      </c>
      <c r="K55" s="348">
        <f>+'5.Variables'!$N$19</f>
        <v>608.49999999999989</v>
      </c>
      <c r="L55" s="348">
        <f>+'5.Variables'!$N$29</f>
        <v>0</v>
      </c>
      <c r="M55" s="348">
        <f>+'5.Variables'!$N$40</f>
        <v>8.5</v>
      </c>
      <c r="N55" s="348">
        <f>+'5.Variables'!$N$51</f>
        <v>8349</v>
      </c>
      <c r="O55" s="348">
        <f>+'5.Variables'!$N$62</f>
        <v>31</v>
      </c>
      <c r="P55" s="348">
        <f>+'5.Variables'!$N$73</f>
        <v>1</v>
      </c>
      <c r="Q55" s="348">
        <f>+'5.Variables'!$N$83</f>
        <v>8.8919999999999995</v>
      </c>
      <c r="R55" s="153"/>
      <c r="S55" s="167">
        <f t="shared" si="2"/>
        <v>17146608.553250976</v>
      </c>
      <c r="T55" s="168">
        <f>SUM(S44:S55)</f>
        <v>191903721.59167364</v>
      </c>
      <c r="U55" s="153"/>
      <c r="V55" s="153"/>
      <c r="W55" s="171"/>
      <c r="X55" s="171"/>
      <c r="Y55" s="172"/>
      <c r="Z55" s="153"/>
      <c r="AA55" s="153"/>
      <c r="AB55" s="153"/>
      <c r="AC55" s="153"/>
      <c r="AD55" s="153"/>
      <c r="AE55" s="153"/>
      <c r="AF55" s="153"/>
      <c r="AG55" s="153"/>
      <c r="AH55" s="153"/>
      <c r="AI55" s="153"/>
      <c r="AJ55" s="153"/>
      <c r="AK55" s="153"/>
      <c r="AL55" s="153"/>
      <c r="AM55" s="153"/>
      <c r="AN55" s="153"/>
    </row>
    <row r="56" spans="1:40" x14ac:dyDescent="0.2">
      <c r="A56" s="493">
        <f t="shared" si="7"/>
        <v>37</v>
      </c>
      <c r="B56" s="166" t="str">
        <f>CONCATENATE('3. Consumption by Rate Class'!B61,"-",'3. Consumption by Rate Class'!C61)</f>
        <v>2014-January</v>
      </c>
      <c r="C56" s="473">
        <v>17449392</v>
      </c>
      <c r="D56" s="338">
        <v>51212.5</v>
      </c>
      <c r="E56" s="486">
        <v>29499.607142857141</v>
      </c>
      <c r="F56" s="338">
        <v>160321.15819999998</v>
      </c>
      <c r="G56" s="327"/>
      <c r="H56" s="328"/>
      <c r="I56" s="328"/>
      <c r="J56" s="167">
        <f t="shared" si="6"/>
        <v>17690425.265342858</v>
      </c>
      <c r="K56" s="348">
        <f>+'5.Variables'!$C$20</f>
        <v>727.8</v>
      </c>
      <c r="L56" s="348">
        <f>+'5.Variables'!$C$30</f>
        <v>0</v>
      </c>
      <c r="M56" s="348">
        <f>+'5.Variables'!$C$41</f>
        <v>9.1199999999999992</v>
      </c>
      <c r="N56" s="348">
        <f>+'5.Variables'!$C$52</f>
        <v>8419</v>
      </c>
      <c r="O56" s="348">
        <f>+'5.Variables'!$C$63</f>
        <v>31</v>
      </c>
      <c r="P56" s="348">
        <f>+'5.Variables'!$C$74</f>
        <v>1</v>
      </c>
      <c r="Q56" s="348">
        <f>+'5.Variables'!$C$84</f>
        <v>8.8919999999999995</v>
      </c>
      <c r="R56" s="153"/>
      <c r="S56" s="167">
        <f t="shared" si="2"/>
        <v>17558817.781650901</v>
      </c>
      <c r="T56" s="168"/>
      <c r="U56" s="153"/>
      <c r="V56" s="650" t="s">
        <v>32</v>
      </c>
      <c r="W56" s="650" t="s">
        <v>303</v>
      </c>
      <c r="X56" s="650" t="s">
        <v>304</v>
      </c>
      <c r="Y56" s="650" t="s">
        <v>29</v>
      </c>
      <c r="Z56" s="153"/>
      <c r="AA56" s="153"/>
      <c r="AB56" s="153"/>
      <c r="AC56" s="153"/>
      <c r="AD56" s="153"/>
      <c r="AE56" s="153"/>
      <c r="AF56" s="153"/>
      <c r="AG56" s="153"/>
      <c r="AH56" s="153"/>
      <c r="AI56" s="153"/>
      <c r="AJ56" s="153"/>
      <c r="AK56" s="153"/>
      <c r="AL56" s="153"/>
      <c r="AM56" s="153"/>
      <c r="AN56" s="153"/>
    </row>
    <row r="57" spans="1:40" x14ac:dyDescent="0.2">
      <c r="A57" s="493">
        <f t="shared" si="7"/>
        <v>38</v>
      </c>
      <c r="B57" s="166" t="str">
        <f>CONCATENATE('3. Consumption by Rate Class'!B62,"-",'3. Consumption by Rate Class'!C62)</f>
        <v>2014-February</v>
      </c>
      <c r="C57" s="473">
        <v>15454341</v>
      </c>
      <c r="D57" s="338">
        <v>69299.260000000038</v>
      </c>
      <c r="E57" s="486">
        <v>39825.631336405546</v>
      </c>
      <c r="F57" s="338">
        <v>85070.660399999993</v>
      </c>
      <c r="G57" s="327"/>
      <c r="H57" s="328"/>
      <c r="I57" s="328"/>
      <c r="J57" s="167">
        <f t="shared" si="6"/>
        <v>15648536.551736405</v>
      </c>
      <c r="K57" s="348">
        <f>+'5.Variables'!$D$20</f>
        <v>648.10000000000014</v>
      </c>
      <c r="L57" s="348">
        <f>+'5.Variables'!$D$30</f>
        <v>0</v>
      </c>
      <c r="M57" s="348">
        <f>+'5.Variables'!$D$41</f>
        <v>10.199999999999999</v>
      </c>
      <c r="N57" s="348">
        <f>+'5.Variables'!$D$52</f>
        <v>8462</v>
      </c>
      <c r="O57" s="348">
        <f>+'5.Variables'!$D$63</f>
        <v>28</v>
      </c>
      <c r="P57" s="348">
        <f>+'5.Variables'!$D$74</f>
        <v>1</v>
      </c>
      <c r="Q57" s="348">
        <f>+'5.Variables'!$D$84</f>
        <v>8.8919999999999995</v>
      </c>
      <c r="R57" s="153"/>
      <c r="S57" s="167">
        <f t="shared" si="2"/>
        <v>15992709.254164064</v>
      </c>
      <c r="T57" s="168"/>
      <c r="U57" s="153"/>
      <c r="V57" s="157">
        <f>V47</f>
        <v>2011</v>
      </c>
      <c r="W57" s="170">
        <f t="shared" ref="W57:W63" si="8">W47</f>
        <v>188298521</v>
      </c>
      <c r="X57" s="170">
        <f t="shared" ref="X57:X63" si="9">Y47</f>
        <v>190530219.37423924</v>
      </c>
      <c r="Y57" s="489">
        <f t="shared" ref="Y57:Y63" si="10">IF(ABS(W57-X57)=0,0,ABS(W57-X57)/W57)</f>
        <v>1.1851916639532374E-2</v>
      </c>
      <c r="Z57" s="491"/>
      <c r="AA57" s="153"/>
      <c r="AB57" s="153"/>
      <c r="AC57" s="153"/>
      <c r="AD57" s="153"/>
      <c r="AE57" s="153"/>
      <c r="AF57" s="153"/>
      <c r="AG57" s="153"/>
      <c r="AH57" s="153"/>
      <c r="AI57" s="153"/>
      <c r="AJ57" s="153"/>
      <c r="AK57" s="153"/>
      <c r="AL57" s="153"/>
      <c r="AM57" s="153"/>
      <c r="AN57" s="153"/>
    </row>
    <row r="58" spans="1:40" x14ac:dyDescent="0.2">
      <c r="A58" s="493">
        <f t="shared" si="7"/>
        <v>39</v>
      </c>
      <c r="B58" s="166" t="str">
        <f>CONCATENATE('3. Consumption by Rate Class'!B63,"-",'3. Consumption by Rate Class'!C63)</f>
        <v>2014-March</v>
      </c>
      <c r="C58" s="473">
        <v>15715398</v>
      </c>
      <c r="D58" s="338">
        <v>110809.60000000001</v>
      </c>
      <c r="E58" s="486">
        <v>69911.4171280788</v>
      </c>
      <c r="F58" s="338">
        <v>595392.98759999999</v>
      </c>
      <c r="G58" s="327"/>
      <c r="H58" s="328"/>
      <c r="I58" s="328"/>
      <c r="J58" s="167">
        <f t="shared" si="6"/>
        <v>16491512.004728079</v>
      </c>
      <c r="K58" s="348">
        <f>+'5.Variables'!$E$20</f>
        <v>636.19999999999993</v>
      </c>
      <c r="L58" s="348">
        <f>+'5.Variables'!$E$30</f>
        <v>0</v>
      </c>
      <c r="M58" s="348">
        <f>+'5.Variables'!$E$41</f>
        <v>11.5</v>
      </c>
      <c r="N58" s="348">
        <f>+'5.Variables'!$E$52</f>
        <v>8471</v>
      </c>
      <c r="O58" s="348">
        <f>+'5.Variables'!$E$63</f>
        <v>31</v>
      </c>
      <c r="P58" s="348">
        <f>+'5.Variables'!$E$74</f>
        <v>0</v>
      </c>
      <c r="Q58" s="348">
        <f>+'5.Variables'!$E$84</f>
        <v>8.8919999999999995</v>
      </c>
      <c r="R58" s="153"/>
      <c r="S58" s="167">
        <f t="shared" si="2"/>
        <v>15667547.661619153</v>
      </c>
      <c r="T58" s="168"/>
      <c r="U58" s="153"/>
      <c r="V58" s="157">
        <f t="shared" ref="V58:V63" si="11">V48</f>
        <v>2012</v>
      </c>
      <c r="W58" s="170">
        <f t="shared" si="8"/>
        <v>189169072.93239999</v>
      </c>
      <c r="X58" s="170">
        <f t="shared" si="9"/>
        <v>195964358.12512141</v>
      </c>
      <c r="Y58" s="489">
        <f t="shared" si="10"/>
        <v>3.5921755535323355E-2</v>
      </c>
      <c r="Z58" s="491"/>
      <c r="AA58" s="153"/>
      <c r="AB58" s="153"/>
      <c r="AC58" s="153"/>
      <c r="AD58" s="153"/>
      <c r="AE58" s="153"/>
      <c r="AF58" s="153"/>
      <c r="AG58" s="153"/>
      <c r="AH58" s="153"/>
      <c r="AI58" s="153"/>
      <c r="AJ58" s="153"/>
      <c r="AK58" s="153"/>
      <c r="AL58" s="153"/>
      <c r="AM58" s="153"/>
      <c r="AN58" s="153"/>
    </row>
    <row r="59" spans="1:40" x14ac:dyDescent="0.2">
      <c r="A59" s="493">
        <f t="shared" si="7"/>
        <v>40</v>
      </c>
      <c r="B59" s="166" t="str">
        <f>CONCATENATE('3. Consumption by Rate Class'!B64,"-",'3. Consumption by Rate Class'!C64)</f>
        <v>2014-April</v>
      </c>
      <c r="C59" s="473">
        <v>12518352</v>
      </c>
      <c r="D59" s="338">
        <v>153077.45999999996</v>
      </c>
      <c r="E59" s="486">
        <v>92402.160919540256</v>
      </c>
      <c r="F59" s="338">
        <v>1343018.4324</v>
      </c>
      <c r="G59" s="327"/>
      <c r="H59" s="328"/>
      <c r="I59" s="328"/>
      <c r="J59" s="167">
        <f t="shared" si="6"/>
        <v>14106850.05331954</v>
      </c>
      <c r="K59" s="348">
        <f>+'5.Variables'!$F$20</f>
        <v>356.6</v>
      </c>
      <c r="L59" s="348">
        <f>+'5.Variables'!$F$30</f>
        <v>0</v>
      </c>
      <c r="M59" s="348">
        <f>+'5.Variables'!$F$41</f>
        <v>13.26</v>
      </c>
      <c r="N59" s="348">
        <f>+'5.Variables'!$F$52</f>
        <v>8495.5</v>
      </c>
      <c r="O59" s="348">
        <f>+'5.Variables'!$F$63</f>
        <v>30</v>
      </c>
      <c r="P59" s="348">
        <f>+'5.Variables'!$F$74</f>
        <v>0</v>
      </c>
      <c r="Q59" s="348">
        <f>+'5.Variables'!$F$84</f>
        <v>8.8919999999999995</v>
      </c>
      <c r="R59" s="153"/>
      <c r="S59" s="167">
        <f t="shared" si="2"/>
        <v>14356222.225485034</v>
      </c>
      <c r="T59" s="168"/>
      <c r="U59" s="153"/>
      <c r="V59" s="157">
        <f t="shared" si="11"/>
        <v>2013</v>
      </c>
      <c r="W59" s="170">
        <f t="shared" si="8"/>
        <v>189823053.13865024</v>
      </c>
      <c r="X59" s="170">
        <f t="shared" si="9"/>
        <v>191903721.59167364</v>
      </c>
      <c r="Y59" s="489">
        <f t="shared" si="10"/>
        <v>1.0961094654312853E-2</v>
      </c>
      <c r="Z59" s="491"/>
      <c r="AA59" s="153"/>
      <c r="AB59" s="153"/>
      <c r="AC59" s="153"/>
      <c r="AD59" s="153"/>
      <c r="AE59" s="153"/>
      <c r="AF59" s="153"/>
      <c r="AG59" s="153"/>
      <c r="AH59" s="153"/>
      <c r="AI59" s="153"/>
      <c r="AJ59" s="153"/>
      <c r="AK59" s="153"/>
      <c r="AL59" s="153"/>
      <c r="AM59" s="153"/>
      <c r="AN59" s="153"/>
    </row>
    <row r="60" spans="1:40" x14ac:dyDescent="0.2">
      <c r="A60" s="493">
        <f t="shared" si="7"/>
        <v>41</v>
      </c>
      <c r="B60" s="166" t="str">
        <f>CONCATENATE('3. Consumption by Rate Class'!B65,"-",'3. Consumption by Rate Class'!C65)</f>
        <v>2014-May</v>
      </c>
      <c r="C60" s="473">
        <v>13065162</v>
      </c>
      <c r="D60" s="338">
        <v>177712.67000000007</v>
      </c>
      <c r="E60" s="486">
        <v>109836.29166666664</v>
      </c>
      <c r="F60" s="338">
        <v>1281021.1213999996</v>
      </c>
      <c r="G60" s="327"/>
      <c r="H60" s="328"/>
      <c r="I60" s="328"/>
      <c r="J60" s="167">
        <f t="shared" si="6"/>
        <v>14633732.083066665</v>
      </c>
      <c r="K60" s="348">
        <f>+'5.Variables'!$G$20</f>
        <v>174.7</v>
      </c>
      <c r="L60" s="348">
        <f>+'5.Variables'!$G$30</f>
        <v>3</v>
      </c>
      <c r="M60" s="348">
        <f>+'5.Variables'!$G$41</f>
        <v>14.47</v>
      </c>
      <c r="N60" s="348">
        <f>+'5.Variables'!$G$52</f>
        <v>8519.5</v>
      </c>
      <c r="O60" s="348">
        <f>+'5.Variables'!$G$63</f>
        <v>31</v>
      </c>
      <c r="P60" s="348">
        <f>+'5.Variables'!$G$74</f>
        <v>0</v>
      </c>
      <c r="Q60" s="348">
        <f>+'5.Variables'!$G$84</f>
        <v>9.2460000000000004</v>
      </c>
      <c r="R60" s="153"/>
      <c r="S60" s="167">
        <f t="shared" si="2"/>
        <v>14364751.210079217</v>
      </c>
      <c r="T60" s="168"/>
      <c r="U60" s="153"/>
      <c r="V60" s="157">
        <f t="shared" si="11"/>
        <v>2014</v>
      </c>
      <c r="W60" s="170">
        <f t="shared" si="8"/>
        <v>196751647.39219356</v>
      </c>
      <c r="X60" s="170">
        <f t="shared" si="9"/>
        <v>193844611.69432142</v>
      </c>
      <c r="Y60" s="489">
        <f t="shared" si="10"/>
        <v>1.4775153023635997E-2</v>
      </c>
      <c r="Z60" s="491"/>
      <c r="AA60" s="153"/>
      <c r="AB60" s="153"/>
      <c r="AC60" s="153"/>
      <c r="AD60" s="153"/>
      <c r="AE60" s="153"/>
      <c r="AF60" s="153"/>
      <c r="AG60" s="153"/>
      <c r="AH60" s="153"/>
      <c r="AI60" s="153"/>
      <c r="AJ60" s="153"/>
      <c r="AK60" s="153"/>
      <c r="AL60" s="153"/>
      <c r="AM60" s="153"/>
      <c r="AN60" s="153"/>
    </row>
    <row r="61" spans="1:40" x14ac:dyDescent="0.2">
      <c r="A61" s="493">
        <f t="shared" si="7"/>
        <v>42</v>
      </c>
      <c r="B61" s="166" t="str">
        <f>CONCATENATE('3. Consumption by Rate Class'!B66,"-",'3. Consumption by Rate Class'!C66)</f>
        <v>2014-June</v>
      </c>
      <c r="C61" s="473">
        <v>15459248</v>
      </c>
      <c r="D61" s="338">
        <v>191177.84000000008</v>
      </c>
      <c r="E61" s="486">
        <v>112245.00000000001</v>
      </c>
      <c r="F61" s="338">
        <v>1205450.7268000001</v>
      </c>
      <c r="G61" s="327"/>
      <c r="H61" s="328"/>
      <c r="I61" s="328"/>
      <c r="J61" s="167">
        <f t="shared" si="6"/>
        <v>16968121.566799998</v>
      </c>
      <c r="K61" s="348">
        <f>+'5.Variables'!$H$20</f>
        <v>26.999999999999996</v>
      </c>
      <c r="L61" s="348">
        <f>+'5.Variables'!$H$30</f>
        <v>39.099999999999994</v>
      </c>
      <c r="M61" s="348">
        <f>+'5.Variables'!$H$41</f>
        <v>15.3</v>
      </c>
      <c r="N61" s="348">
        <f>+'5.Variables'!$H$52</f>
        <v>8543.5</v>
      </c>
      <c r="O61" s="348">
        <f>+'5.Variables'!$H$63</f>
        <v>30</v>
      </c>
      <c r="P61" s="348">
        <f>+'5.Variables'!$H$74</f>
        <v>1</v>
      </c>
      <c r="Q61" s="348">
        <f>+'5.Variables'!$H$84</f>
        <v>9.2460000000000004</v>
      </c>
      <c r="R61" s="153"/>
      <c r="S61" s="167">
        <f t="shared" si="2"/>
        <v>16472684.867309734</v>
      </c>
      <c r="T61" s="168"/>
      <c r="U61" s="153"/>
      <c r="V61" s="157">
        <f t="shared" si="11"/>
        <v>2015</v>
      </c>
      <c r="W61" s="170">
        <f t="shared" si="8"/>
        <v>201773815.25724146</v>
      </c>
      <c r="X61" s="170">
        <f t="shared" si="9"/>
        <v>200603195.59949324</v>
      </c>
      <c r="Y61" s="489">
        <f t="shared" si="10"/>
        <v>5.8016430737348112E-3</v>
      </c>
      <c r="Z61" s="491"/>
      <c r="AA61" s="153"/>
      <c r="AB61" s="153"/>
      <c r="AC61" s="153"/>
      <c r="AD61" s="153"/>
      <c r="AE61" s="153"/>
      <c r="AF61" s="153"/>
      <c r="AG61" s="153"/>
      <c r="AH61" s="153"/>
      <c r="AI61" s="153"/>
      <c r="AJ61" s="153"/>
      <c r="AK61" s="153"/>
      <c r="AL61" s="153"/>
      <c r="AM61" s="153"/>
      <c r="AN61" s="153"/>
    </row>
    <row r="62" spans="1:40" x14ac:dyDescent="0.2">
      <c r="A62" s="493">
        <f t="shared" si="7"/>
        <v>43</v>
      </c>
      <c r="B62" s="166" t="str">
        <f>CONCATENATE('3. Consumption by Rate Class'!B67,"-",'3. Consumption by Rate Class'!C67)</f>
        <v>2014-July</v>
      </c>
      <c r="C62" s="473">
        <v>16827472</v>
      </c>
      <c r="D62" s="338">
        <v>181740.5</v>
      </c>
      <c r="E62" s="486">
        <v>111335.32129032259</v>
      </c>
      <c r="F62" s="338">
        <v>1314875.7205999997</v>
      </c>
      <c r="G62" s="327"/>
      <c r="H62" s="328"/>
      <c r="I62" s="328"/>
      <c r="J62" s="167">
        <f t="shared" si="6"/>
        <v>18435423.541890323</v>
      </c>
      <c r="K62" s="348">
        <f>+'5.Variables'!$I$20</f>
        <v>0.6</v>
      </c>
      <c r="L62" s="348">
        <f>+'5.Variables'!$I$30</f>
        <v>78.399999999999991</v>
      </c>
      <c r="M62" s="348">
        <f>+'5.Variables'!$I$41</f>
        <v>15.11</v>
      </c>
      <c r="N62" s="348">
        <f>+'5.Variables'!$I$52</f>
        <v>8567.5</v>
      </c>
      <c r="O62" s="348">
        <f>+'5.Variables'!$I$63</f>
        <v>31</v>
      </c>
      <c r="P62" s="348">
        <f>+'5.Variables'!$I$74</f>
        <v>1</v>
      </c>
      <c r="Q62" s="348">
        <f>+'5.Variables'!$I$84</f>
        <v>9.2460000000000004</v>
      </c>
      <c r="R62" s="153"/>
      <c r="S62" s="167">
        <f t="shared" si="2"/>
        <v>18409057.720380485</v>
      </c>
      <c r="T62" s="168"/>
      <c r="U62" s="153"/>
      <c r="V62" s="157">
        <f t="shared" si="11"/>
        <v>2016</v>
      </c>
      <c r="W62" s="170">
        <f t="shared" si="8"/>
        <v>209189301.68894997</v>
      </c>
      <c r="X62" s="170">
        <f t="shared" si="9"/>
        <v>212828670.71166679</v>
      </c>
      <c r="Y62" s="489">
        <f t="shared" si="10"/>
        <v>1.7397491140002514E-2</v>
      </c>
      <c r="Z62" s="491"/>
      <c r="AA62" s="153"/>
      <c r="AB62" s="153"/>
      <c r="AC62" s="153"/>
      <c r="AD62" s="153"/>
      <c r="AE62" s="153"/>
      <c r="AF62" s="153"/>
      <c r="AG62" s="153"/>
      <c r="AH62" s="153"/>
      <c r="AI62" s="153"/>
      <c r="AJ62" s="153"/>
      <c r="AK62" s="153"/>
      <c r="AL62" s="153"/>
      <c r="AM62" s="153"/>
      <c r="AN62" s="153"/>
    </row>
    <row r="63" spans="1:40" x14ac:dyDescent="0.2">
      <c r="A63" s="493">
        <f t="shared" si="7"/>
        <v>44</v>
      </c>
      <c r="B63" s="166" t="str">
        <f>CONCATENATE('3. Consumption by Rate Class'!B68,"-",'3. Consumption by Rate Class'!C68)</f>
        <v>2014-August</v>
      </c>
      <c r="C63" s="473">
        <v>17191166</v>
      </c>
      <c r="D63" s="338">
        <v>178772.19999999995</v>
      </c>
      <c r="E63" s="486">
        <v>100699.67870967742</v>
      </c>
      <c r="F63" s="338">
        <v>1446708.6538</v>
      </c>
      <c r="G63" s="327"/>
      <c r="H63" s="328"/>
      <c r="I63" s="328"/>
      <c r="J63" s="167">
        <f t="shared" si="6"/>
        <v>18917346.532509677</v>
      </c>
      <c r="K63" s="348">
        <f>+'5.Variables'!$J$20</f>
        <v>0.89999999999999991</v>
      </c>
      <c r="L63" s="348">
        <f>+'5.Variables'!$J$30</f>
        <v>88.100000000000023</v>
      </c>
      <c r="M63" s="348">
        <f>+'5.Variables'!$J$41</f>
        <v>14</v>
      </c>
      <c r="N63" s="348">
        <f>+'5.Variables'!$J$52</f>
        <v>8593</v>
      </c>
      <c r="O63" s="348">
        <f>+'5.Variables'!$J$63</f>
        <v>31</v>
      </c>
      <c r="P63" s="348">
        <f>+'5.Variables'!$J$74</f>
        <v>1</v>
      </c>
      <c r="Q63" s="348">
        <f>+'5.Variables'!$J$84</f>
        <v>9.2460000000000004</v>
      </c>
      <c r="R63" s="153"/>
      <c r="S63" s="167">
        <f t="shared" si="2"/>
        <v>18864580.746299244</v>
      </c>
      <c r="T63" s="168"/>
      <c r="U63" s="153"/>
      <c r="V63" s="157">
        <f t="shared" si="11"/>
        <v>2017</v>
      </c>
      <c r="W63" s="170">
        <f t="shared" si="8"/>
        <v>203784766.54920003</v>
      </c>
      <c r="X63" s="170">
        <f t="shared" si="9"/>
        <v>207071865.39865404</v>
      </c>
      <c r="Y63" s="489">
        <f t="shared" si="10"/>
        <v>1.6130248129515641E-2</v>
      </c>
      <c r="Z63" s="491"/>
      <c r="AA63" s="153"/>
      <c r="AB63" s="153"/>
      <c r="AC63" s="153"/>
      <c r="AD63" s="153"/>
      <c r="AE63" s="153"/>
      <c r="AF63" s="153"/>
      <c r="AG63" s="153"/>
      <c r="AH63" s="153"/>
      <c r="AI63" s="153"/>
      <c r="AJ63" s="153"/>
      <c r="AK63" s="153"/>
      <c r="AL63" s="153"/>
      <c r="AM63" s="153"/>
      <c r="AN63" s="153"/>
    </row>
    <row r="64" spans="1:40" x14ac:dyDescent="0.2">
      <c r="A64" s="493">
        <f t="shared" si="7"/>
        <v>45</v>
      </c>
      <c r="B64" s="166" t="str">
        <f>CONCATENATE('3. Consumption by Rate Class'!B69,"-",'3. Consumption by Rate Class'!C69)</f>
        <v>2014-September</v>
      </c>
      <c r="C64" s="473">
        <v>14732429</v>
      </c>
      <c r="D64" s="338">
        <v>141770.25000000003</v>
      </c>
      <c r="E64" s="486">
        <v>78249.333333333343</v>
      </c>
      <c r="F64" s="338">
        <v>1357122.4868000001</v>
      </c>
      <c r="G64" s="327"/>
      <c r="H64" s="328"/>
      <c r="I64" s="328"/>
      <c r="J64" s="167">
        <f t="shared" si="6"/>
        <v>16309571.070133334</v>
      </c>
      <c r="K64" s="348">
        <f>+'5.Variables'!$K$20</f>
        <v>46.400000000000006</v>
      </c>
      <c r="L64" s="348">
        <f>+'5.Variables'!$K$30</f>
        <v>42.300000000000004</v>
      </c>
      <c r="M64" s="348">
        <f>+'5.Variables'!$K$41</f>
        <v>12.27</v>
      </c>
      <c r="N64" s="348">
        <f>+'5.Variables'!$K$52</f>
        <v>8611</v>
      </c>
      <c r="O64" s="348">
        <f>+'5.Variables'!$K$63</f>
        <v>30</v>
      </c>
      <c r="P64" s="348">
        <f>+'5.Variables'!$K$74</f>
        <v>0</v>
      </c>
      <c r="Q64" s="348">
        <f>+'5.Variables'!$K$84</f>
        <v>9.2460000000000004</v>
      </c>
      <c r="R64" s="153"/>
      <c r="S64" s="167">
        <f t="shared" si="2"/>
        <v>15273591.685782939</v>
      </c>
      <c r="T64" s="168"/>
      <c r="U64" s="153"/>
      <c r="V64" s="173" t="s">
        <v>46</v>
      </c>
      <c r="W64" s="173"/>
      <c r="X64" s="173"/>
      <c r="Y64" s="174">
        <f>AVERAGE(Y57:Y63)</f>
        <v>1.6119900313722506E-2</v>
      </c>
      <c r="Z64" s="153"/>
      <c r="AA64" s="153"/>
      <c r="AB64" s="153"/>
      <c r="AC64" s="153"/>
      <c r="AD64" s="153"/>
      <c r="AE64" s="153"/>
      <c r="AF64" s="153"/>
      <c r="AG64" s="153"/>
      <c r="AH64" s="153"/>
      <c r="AI64" s="153"/>
      <c r="AJ64" s="153"/>
      <c r="AK64" s="153"/>
      <c r="AL64" s="153"/>
      <c r="AM64" s="153"/>
      <c r="AN64" s="153"/>
    </row>
    <row r="65" spans="1:40" x14ac:dyDescent="0.2">
      <c r="A65" s="493">
        <f t="shared" si="7"/>
        <v>46</v>
      </c>
      <c r="B65" s="166" t="str">
        <f>CONCATENATE('3. Consumption by Rate Class'!B70,"-",'3. Consumption by Rate Class'!C70)</f>
        <v>2014-October</v>
      </c>
      <c r="C65" s="473">
        <v>13632688</v>
      </c>
      <c r="D65" s="338">
        <v>100933.41999999998</v>
      </c>
      <c r="E65" s="486">
        <v>55146.062561094819</v>
      </c>
      <c r="F65" s="338">
        <v>1182329.3773999999</v>
      </c>
      <c r="G65" s="327"/>
      <c r="H65" s="328"/>
      <c r="I65" s="328"/>
      <c r="J65" s="167">
        <f t="shared" si="6"/>
        <v>14971096.859961094</v>
      </c>
      <c r="K65" s="348">
        <f>+'5.Variables'!$L$20</f>
        <v>173.7</v>
      </c>
      <c r="L65" s="348">
        <f>+'5.Variables'!$L$30</f>
        <v>5.6999999999999993</v>
      </c>
      <c r="M65" s="348">
        <f>+'5.Variables'!$L$41</f>
        <v>10.52</v>
      </c>
      <c r="N65" s="348">
        <f>+'5.Variables'!$L$52</f>
        <v>8623</v>
      </c>
      <c r="O65" s="348">
        <f>+'5.Variables'!$L$63</f>
        <v>31</v>
      </c>
      <c r="P65" s="348">
        <f>+'5.Variables'!$L$74</f>
        <v>0</v>
      </c>
      <c r="Q65" s="348">
        <f>+'5.Variables'!$L$84</f>
        <v>9.2460000000000004</v>
      </c>
      <c r="R65" s="153"/>
      <c r="S65" s="167">
        <f t="shared" si="2"/>
        <v>14756989.111084698</v>
      </c>
      <c r="T65" s="168"/>
      <c r="U65" s="153"/>
      <c r="V65" s="173" t="s">
        <v>54</v>
      </c>
      <c r="W65" s="153"/>
      <c r="X65" s="153"/>
      <c r="Y65" s="174">
        <f>MEDIAN(Y57:Y63)</f>
        <v>1.4775153023635997E-2</v>
      </c>
      <c r="Z65" s="153"/>
      <c r="AA65" s="153"/>
      <c r="AB65" s="153"/>
      <c r="AC65" s="153"/>
      <c r="AD65" s="153"/>
      <c r="AE65" s="153"/>
      <c r="AF65" s="153"/>
      <c r="AG65" s="153"/>
      <c r="AH65" s="153"/>
      <c r="AI65" s="153"/>
      <c r="AJ65" s="153"/>
      <c r="AK65" s="153"/>
      <c r="AL65" s="153"/>
      <c r="AM65" s="153"/>
      <c r="AN65" s="153"/>
    </row>
    <row r="66" spans="1:40" x14ac:dyDescent="0.2">
      <c r="A66" s="493">
        <f t="shared" si="7"/>
        <v>47</v>
      </c>
      <c r="B66" s="166" t="str">
        <f>CONCATENATE('3. Consumption by Rate Class'!B71,"-",'3. Consumption by Rate Class'!C71)</f>
        <v>2014-November</v>
      </c>
      <c r="C66" s="473">
        <v>14402191</v>
      </c>
      <c r="D66" s="338">
        <v>53193.359999999979</v>
      </c>
      <c r="E66" s="486">
        <v>30074.604105571852</v>
      </c>
      <c r="F66" s="338">
        <v>1161217.6886</v>
      </c>
      <c r="G66" s="327"/>
      <c r="H66" s="328"/>
      <c r="I66" s="328"/>
      <c r="J66" s="167">
        <f t="shared" si="6"/>
        <v>15646676.652705571</v>
      </c>
      <c r="K66" s="348">
        <f>+'5.Variables'!$M$20</f>
        <v>416</v>
      </c>
      <c r="L66" s="348">
        <f>+'5.Variables'!$M$30</f>
        <v>0</v>
      </c>
      <c r="M66" s="348">
        <f>+'5.Variables'!$M$41</f>
        <v>9.31</v>
      </c>
      <c r="N66" s="348">
        <f>+'5.Variables'!$M$52</f>
        <v>8646.5</v>
      </c>
      <c r="O66" s="348">
        <f>+'5.Variables'!$M$63</f>
        <v>30</v>
      </c>
      <c r="P66" s="348">
        <f>+'5.Variables'!$M$74</f>
        <v>0</v>
      </c>
      <c r="Q66" s="348">
        <f>+'5.Variables'!$M$84</f>
        <v>9.5</v>
      </c>
      <c r="R66" s="153"/>
      <c r="S66" s="167">
        <f t="shared" si="2"/>
        <v>14879861.361866182</v>
      </c>
      <c r="T66" s="168"/>
      <c r="U66" s="153"/>
      <c r="V66" s="153"/>
      <c r="W66" s="153"/>
      <c r="X66" s="153"/>
      <c r="Y66" s="153"/>
      <c r="Z66" s="153"/>
      <c r="AA66" s="153"/>
      <c r="AB66" s="153"/>
      <c r="AC66" s="153"/>
      <c r="AD66" s="153"/>
      <c r="AE66" s="153"/>
      <c r="AF66" s="153"/>
      <c r="AG66" s="153"/>
      <c r="AH66" s="153"/>
      <c r="AI66" s="153"/>
      <c r="AJ66" s="153"/>
      <c r="AK66" s="153"/>
      <c r="AL66" s="153"/>
      <c r="AM66" s="153"/>
      <c r="AN66" s="153"/>
    </row>
    <row r="67" spans="1:40" x14ac:dyDescent="0.2">
      <c r="A67" s="493">
        <f t="shared" si="7"/>
        <v>48</v>
      </c>
      <c r="B67" s="286" t="str">
        <f>CONCATENATE('3. Consumption by Rate Class'!B72,"-",'3. Consumption by Rate Class'!C72)</f>
        <v>2014-December</v>
      </c>
      <c r="C67" s="324">
        <v>15819396</v>
      </c>
      <c r="D67" s="324">
        <v>44118.31</v>
      </c>
      <c r="E67" s="324">
        <v>22034.999999999996</v>
      </c>
      <c r="F67" s="324">
        <v>1046805.8999999999</v>
      </c>
      <c r="G67" s="329"/>
      <c r="H67" s="330"/>
      <c r="I67" s="330"/>
      <c r="J67" s="167">
        <f t="shared" si="6"/>
        <v>16932355.210000001</v>
      </c>
      <c r="K67" s="348">
        <f>+'5.Variables'!$N$20</f>
        <v>509.75000000000011</v>
      </c>
      <c r="L67" s="348">
        <f>+'5.Variables'!$N$30</f>
        <v>0</v>
      </c>
      <c r="M67" s="348">
        <f>+'5.Variables'!$N$41</f>
        <v>8.5</v>
      </c>
      <c r="N67" s="348">
        <f>+'5.Variables'!$N$52</f>
        <v>8665.5</v>
      </c>
      <c r="O67" s="348">
        <f>+'5.Variables'!$N$63</f>
        <v>31</v>
      </c>
      <c r="P67" s="348">
        <f>+'5.Variables'!$N$74</f>
        <v>1</v>
      </c>
      <c r="Q67" s="348">
        <f>+'5.Variables'!$N$84</f>
        <v>9.5</v>
      </c>
      <c r="R67" s="153"/>
      <c r="S67" s="167">
        <f t="shared" si="2"/>
        <v>17247798.068599779</v>
      </c>
      <c r="T67" s="168">
        <f>SUM(S56:S67)</f>
        <v>193844611.69432142</v>
      </c>
      <c r="U67" s="153"/>
      <c r="V67" s="153" t="s">
        <v>99</v>
      </c>
      <c r="W67" s="153"/>
      <c r="X67" s="153"/>
      <c r="Y67" s="153"/>
      <c r="Z67" s="153"/>
      <c r="AA67" s="153"/>
      <c r="AB67" s="153"/>
      <c r="AC67" s="153"/>
      <c r="AD67" s="153"/>
      <c r="AE67" s="153"/>
      <c r="AF67" s="153"/>
      <c r="AG67" s="153"/>
      <c r="AH67" s="153"/>
      <c r="AI67" s="153"/>
      <c r="AJ67" s="153"/>
      <c r="AK67" s="153"/>
      <c r="AL67" s="153"/>
      <c r="AM67" s="153"/>
      <c r="AN67" s="153"/>
    </row>
    <row r="68" spans="1:40" x14ac:dyDescent="0.2">
      <c r="A68" s="493">
        <f t="shared" si="7"/>
        <v>49</v>
      </c>
      <c r="B68" s="166" t="str">
        <f>CONCATENATE('3. Consumption by Rate Class'!B73,"-",'3. Consumption by Rate Class'!C73)</f>
        <v>2015-January</v>
      </c>
      <c r="C68" s="473">
        <v>18010471.199999999</v>
      </c>
      <c r="D68" s="338">
        <v>51209.37285</v>
      </c>
      <c r="E68" s="486">
        <v>21998</v>
      </c>
      <c r="F68" s="338">
        <v>70753</v>
      </c>
      <c r="G68" s="327"/>
      <c r="H68" s="328"/>
      <c r="I68" s="328"/>
      <c r="J68" s="167">
        <f t="shared" si="6"/>
        <v>18154431.57285</v>
      </c>
      <c r="K68" s="348">
        <f>+'5.Variables'!$C$21</f>
        <v>696.24999999999989</v>
      </c>
      <c r="L68" s="348">
        <f>+'5.Variables'!$C$31</f>
        <v>0</v>
      </c>
      <c r="M68" s="348">
        <f>+'5.Variables'!$C$42</f>
        <v>9.1199999999999992</v>
      </c>
      <c r="N68" s="348">
        <f>+'5.Variables'!$C$53</f>
        <v>8688</v>
      </c>
      <c r="O68" s="348">
        <f>+'5.Variables'!$C$64</f>
        <v>31</v>
      </c>
      <c r="P68" s="348">
        <f>+'5.Variables'!$C$75</f>
        <v>1</v>
      </c>
      <c r="Q68" s="348">
        <f>+'5.Variables'!$C$85</f>
        <v>9.5</v>
      </c>
      <c r="R68" s="153"/>
      <c r="S68" s="167">
        <f t="shared" si="2"/>
        <v>17798929.285222381</v>
      </c>
      <c r="T68" s="168"/>
      <c r="U68" s="153"/>
      <c r="V68" s="153" t="s">
        <v>136</v>
      </c>
      <c r="W68" s="153"/>
      <c r="X68" s="153"/>
      <c r="Y68" s="153"/>
      <c r="Z68" s="153"/>
      <c r="AA68" s="153"/>
      <c r="AB68" s="153"/>
      <c r="AC68" s="153"/>
      <c r="AD68" s="153"/>
      <c r="AE68" s="153"/>
      <c r="AF68" s="153"/>
      <c r="AG68" s="153"/>
      <c r="AH68" s="153"/>
      <c r="AI68" s="153"/>
      <c r="AJ68" s="153"/>
      <c r="AK68" s="153"/>
      <c r="AL68" s="153"/>
      <c r="AM68" s="153"/>
      <c r="AN68" s="153"/>
    </row>
    <row r="69" spans="1:40" x14ac:dyDescent="0.2">
      <c r="A69" s="493">
        <f t="shared" si="7"/>
        <v>50</v>
      </c>
      <c r="B69" s="166" t="str">
        <f>CONCATENATE('3. Consumption by Rate Class'!B74,"-",'3. Consumption by Rate Class'!C74)</f>
        <v>2015-February</v>
      </c>
      <c r="C69" s="473">
        <v>16943673</v>
      </c>
      <c r="D69" s="338">
        <v>37079.029864285723</v>
      </c>
      <c r="E69" s="486">
        <v>28418</v>
      </c>
      <c r="F69" s="338">
        <v>29646</v>
      </c>
      <c r="G69" s="327"/>
      <c r="H69" s="328"/>
      <c r="I69" s="328"/>
      <c r="J69" s="167">
        <f t="shared" si="6"/>
        <v>17038816.029864285</v>
      </c>
      <c r="K69" s="348">
        <f>+'5.Variables'!$D$21</f>
        <v>776.40000000000009</v>
      </c>
      <c r="L69" s="348">
        <f>+'5.Variables'!$D$31</f>
        <v>0</v>
      </c>
      <c r="M69" s="348">
        <f>+'5.Variables'!$D$42</f>
        <v>10.199999999999999</v>
      </c>
      <c r="N69" s="348">
        <f>+'5.Variables'!$D$53</f>
        <v>8715.5</v>
      </c>
      <c r="O69" s="348">
        <f>+'5.Variables'!$D$64</f>
        <v>28</v>
      </c>
      <c r="P69" s="348">
        <f>+'5.Variables'!$D$75</f>
        <v>1</v>
      </c>
      <c r="Q69" s="348">
        <f>+'5.Variables'!$D$85</f>
        <v>9.5</v>
      </c>
      <c r="R69" s="153"/>
      <c r="S69" s="167">
        <f t="shared" si="2"/>
        <v>16683937.785764802</v>
      </c>
      <c r="T69" s="168"/>
      <c r="U69" s="153"/>
      <c r="V69" s="153"/>
      <c r="W69" s="153"/>
      <c r="X69" s="153"/>
      <c r="Y69" s="153"/>
      <c r="Z69" s="153"/>
      <c r="AA69" s="153"/>
      <c r="AB69" s="153"/>
      <c r="AC69" s="153"/>
      <c r="AD69" s="153"/>
      <c r="AE69" s="153"/>
      <c r="AF69" s="153"/>
      <c r="AG69" s="153"/>
      <c r="AH69" s="153"/>
      <c r="AI69" s="153"/>
      <c r="AJ69" s="153"/>
      <c r="AK69" s="153"/>
      <c r="AL69" s="153"/>
      <c r="AM69" s="153"/>
      <c r="AN69" s="153"/>
    </row>
    <row r="70" spans="1:40" x14ac:dyDescent="0.2">
      <c r="A70" s="493">
        <f t="shared" si="7"/>
        <v>51</v>
      </c>
      <c r="B70" s="166" t="str">
        <f>CONCATENATE('3. Consumption by Rate Class'!B75,"-",'3. Consumption by Rate Class'!C75)</f>
        <v>2015-March</v>
      </c>
      <c r="C70" s="473">
        <v>15856379.800000001</v>
      </c>
      <c r="D70" s="338">
        <v>142560.9668571428</v>
      </c>
      <c r="E70" s="486">
        <v>62952</v>
      </c>
      <c r="F70" s="338">
        <v>729965</v>
      </c>
      <c r="G70" s="327"/>
      <c r="H70" s="328"/>
      <c r="I70" s="328"/>
      <c r="J70" s="167">
        <f t="shared" si="6"/>
        <v>16791857.766857143</v>
      </c>
      <c r="K70" s="348">
        <f>+'5.Variables'!$E$21</f>
        <v>596.9</v>
      </c>
      <c r="L70" s="348">
        <f>+'5.Variables'!$E$31</f>
        <v>0</v>
      </c>
      <c r="M70" s="348">
        <f>+'5.Variables'!$E$42</f>
        <v>11.5</v>
      </c>
      <c r="N70" s="348">
        <f>+'5.Variables'!$E$53</f>
        <v>8739.5</v>
      </c>
      <c r="O70" s="348">
        <f>+'5.Variables'!$E$64</f>
        <v>31</v>
      </c>
      <c r="P70" s="348">
        <f>+'5.Variables'!$E$75</f>
        <v>0</v>
      </c>
      <c r="Q70" s="348">
        <f>+'5.Variables'!$E$85</f>
        <v>9.5</v>
      </c>
      <c r="R70" s="153"/>
      <c r="S70" s="167">
        <f t="shared" si="2"/>
        <v>15884238.740259442</v>
      </c>
      <c r="T70" s="168"/>
      <c r="U70" s="153"/>
      <c r="V70" s="294" t="s">
        <v>32</v>
      </c>
      <c r="W70" s="294" t="s">
        <v>179</v>
      </c>
      <c r="X70" s="295" t="s">
        <v>44</v>
      </c>
      <c r="Y70" s="153"/>
      <c r="Z70" s="153"/>
      <c r="AA70" s="153"/>
      <c r="AB70" s="153"/>
      <c r="AC70" s="153"/>
      <c r="AD70" s="153"/>
      <c r="AE70" s="153"/>
      <c r="AF70" s="153"/>
      <c r="AG70" s="153"/>
      <c r="AH70" s="153"/>
      <c r="AI70" s="153"/>
      <c r="AJ70" s="153"/>
      <c r="AK70" s="153"/>
      <c r="AL70" s="153"/>
      <c r="AM70" s="153"/>
      <c r="AN70" s="153"/>
    </row>
    <row r="71" spans="1:40" x14ac:dyDescent="0.2">
      <c r="A71" s="493">
        <f t="shared" si="7"/>
        <v>52</v>
      </c>
      <c r="B71" s="166" t="str">
        <f>CONCATENATE('3. Consumption by Rate Class'!B76,"-",'3. Consumption by Rate Class'!C76)</f>
        <v>2015-April</v>
      </c>
      <c r="C71" s="473">
        <v>12865469.199999999</v>
      </c>
      <c r="D71" s="338">
        <v>172100.1213771429</v>
      </c>
      <c r="E71" s="486">
        <v>92885</v>
      </c>
      <c r="F71" s="338">
        <v>1293710</v>
      </c>
      <c r="G71" s="327"/>
      <c r="H71" s="328"/>
      <c r="I71" s="328"/>
      <c r="J71" s="167">
        <f t="shared" si="6"/>
        <v>14424164.321377141</v>
      </c>
      <c r="K71" s="348">
        <f>+'5.Variables'!$F$21</f>
        <v>325.89999999999998</v>
      </c>
      <c r="L71" s="348">
        <f>+'5.Variables'!$F$31</f>
        <v>0</v>
      </c>
      <c r="M71" s="348">
        <f>+'5.Variables'!$F$42</f>
        <v>13.26</v>
      </c>
      <c r="N71" s="348">
        <f>+'5.Variables'!$F$53</f>
        <v>8769</v>
      </c>
      <c r="O71" s="348">
        <f>+'5.Variables'!$F$64</f>
        <v>30</v>
      </c>
      <c r="P71" s="348">
        <f>+'5.Variables'!$F$75</f>
        <v>0</v>
      </c>
      <c r="Q71" s="348">
        <f>+'5.Variables'!$F$85</f>
        <v>9.5</v>
      </c>
      <c r="R71" s="153"/>
      <c r="S71" s="167">
        <f t="shared" si="2"/>
        <v>14604404.109693816</v>
      </c>
      <c r="T71" s="168"/>
      <c r="U71" s="153"/>
      <c r="V71" s="492" t="s">
        <v>239</v>
      </c>
      <c r="W71" s="292">
        <f>T115</f>
        <v>211657455.6951519</v>
      </c>
      <c r="X71" s="293">
        <f>(W71-W63)/W63</f>
        <v>3.8632373161470598E-2</v>
      </c>
      <c r="Y71" s="153"/>
      <c r="Z71" s="153"/>
      <c r="AA71" s="153"/>
      <c r="AB71" s="153"/>
      <c r="AC71" s="153"/>
      <c r="AD71" s="153"/>
      <c r="AE71" s="153"/>
      <c r="AF71" s="153"/>
      <c r="AG71" s="153"/>
      <c r="AH71" s="153"/>
      <c r="AI71" s="153"/>
      <c r="AJ71" s="153"/>
      <c r="AK71" s="153"/>
      <c r="AL71" s="153"/>
      <c r="AM71" s="153"/>
      <c r="AN71" s="153"/>
    </row>
    <row r="72" spans="1:40" x14ac:dyDescent="0.2">
      <c r="A72" s="493">
        <f t="shared" si="7"/>
        <v>53</v>
      </c>
      <c r="B72" s="166" t="str">
        <f>CONCATENATE('3. Consumption by Rate Class'!B77,"-",'3. Consumption by Rate Class'!C77)</f>
        <v>2015-May</v>
      </c>
      <c r="C72" s="473">
        <v>13913349</v>
      </c>
      <c r="D72" s="338">
        <v>203737.84840571426</v>
      </c>
      <c r="E72" s="486">
        <v>107592</v>
      </c>
      <c r="F72" s="338">
        <v>1361307</v>
      </c>
      <c r="G72" s="327"/>
      <c r="H72" s="328"/>
      <c r="I72" s="328"/>
      <c r="J72" s="167">
        <f t="shared" si="6"/>
        <v>15585985.848405715</v>
      </c>
      <c r="K72" s="348">
        <f>+'5.Variables'!$G$21</f>
        <v>131.80000000000004</v>
      </c>
      <c r="L72" s="348">
        <f>+'5.Variables'!$G$31</f>
        <v>9.75</v>
      </c>
      <c r="M72" s="348">
        <f>+'5.Variables'!$G$42</f>
        <v>14.47</v>
      </c>
      <c r="N72" s="348">
        <f>+'5.Variables'!$G$53</f>
        <v>8801</v>
      </c>
      <c r="O72" s="348">
        <f>+'5.Variables'!$G$64</f>
        <v>31</v>
      </c>
      <c r="P72" s="348">
        <f>+'5.Variables'!$G$75</f>
        <v>0</v>
      </c>
      <c r="Q72" s="348">
        <f>+'5.Variables'!$G$85</f>
        <v>10.214</v>
      </c>
      <c r="R72" s="153"/>
      <c r="S72" s="167">
        <f t="shared" si="2"/>
        <v>14849675.020204328</v>
      </c>
      <c r="T72" s="168"/>
      <c r="U72" s="153"/>
      <c r="V72" s="492" t="s">
        <v>238</v>
      </c>
      <c r="W72" s="292">
        <f>T127</f>
        <v>214325151.90206081</v>
      </c>
      <c r="X72" s="293">
        <f>(W72-W71)/W71</f>
        <v>1.2603837640149882E-2</v>
      </c>
      <c r="Y72" s="153"/>
      <c r="Z72" s="153"/>
      <c r="AA72" s="153"/>
      <c r="AB72" s="153"/>
      <c r="AC72" s="153"/>
      <c r="AD72" s="153"/>
      <c r="AE72" s="153"/>
      <c r="AF72" s="153"/>
      <c r="AG72" s="153"/>
      <c r="AH72" s="153"/>
      <c r="AI72" s="153"/>
      <c r="AJ72" s="153"/>
      <c r="AK72" s="153"/>
      <c r="AL72" s="153"/>
      <c r="AM72" s="153"/>
      <c r="AN72" s="153"/>
    </row>
    <row r="73" spans="1:40" x14ac:dyDescent="0.2">
      <c r="A73" s="493">
        <f t="shared" si="7"/>
        <v>54</v>
      </c>
      <c r="B73" s="166" t="str">
        <f>CONCATENATE('3. Consumption by Rate Class'!B78,"-",'3. Consumption by Rate Class'!C78)</f>
        <v>2015-June</v>
      </c>
      <c r="C73" s="473">
        <v>14362626.699999999</v>
      </c>
      <c r="D73" s="338">
        <v>182004.55465008406</v>
      </c>
      <c r="E73" s="486">
        <v>129515.8</v>
      </c>
      <c r="F73" s="338">
        <v>1338087.7</v>
      </c>
      <c r="G73" s="327"/>
      <c r="H73" s="328"/>
      <c r="I73" s="328"/>
      <c r="J73" s="167">
        <f t="shared" si="6"/>
        <v>16012234.754650082</v>
      </c>
      <c r="K73" s="348">
        <f>+'5.Variables'!$H$21</f>
        <v>61.199999999999996</v>
      </c>
      <c r="L73" s="348">
        <f>+'5.Variables'!$H$31</f>
        <v>19.499999999999996</v>
      </c>
      <c r="M73" s="348">
        <f>+'5.Variables'!$H$42</f>
        <v>15.3</v>
      </c>
      <c r="N73" s="348">
        <f>+'5.Variables'!$H$53</f>
        <v>8823.5</v>
      </c>
      <c r="O73" s="348">
        <f>+'5.Variables'!$H$64</f>
        <v>30</v>
      </c>
      <c r="P73" s="348">
        <f>+'5.Variables'!$H$75</f>
        <v>1</v>
      </c>
      <c r="Q73" s="348">
        <f>+'5.Variables'!$H$85</f>
        <v>10.214</v>
      </c>
      <c r="R73" s="153"/>
      <c r="S73" s="167">
        <f t="shared" si="2"/>
        <v>16156953.154108111</v>
      </c>
      <c r="T73" s="168"/>
      <c r="U73" s="153"/>
      <c r="V73" s="153"/>
      <c r="W73" s="153"/>
      <c r="X73" s="153"/>
      <c r="Y73" s="153"/>
      <c r="Z73" s="153"/>
      <c r="AA73" s="153"/>
      <c r="AB73" s="153"/>
      <c r="AC73" s="153"/>
      <c r="AD73" s="153"/>
      <c r="AE73" s="153"/>
      <c r="AF73" s="153"/>
      <c r="AG73" s="153"/>
      <c r="AH73" s="153"/>
      <c r="AI73" s="153"/>
      <c r="AJ73" s="153"/>
      <c r="AK73" s="153"/>
      <c r="AL73" s="153"/>
      <c r="AM73" s="153"/>
      <c r="AN73" s="153"/>
    </row>
    <row r="74" spans="1:40" x14ac:dyDescent="0.2">
      <c r="A74" s="493">
        <f t="shared" si="7"/>
        <v>55</v>
      </c>
      <c r="B74" s="166" t="str">
        <f>CONCATENATE('3. Consumption by Rate Class'!B79,"-",'3. Consumption by Rate Class'!C79)</f>
        <v>2015-July</v>
      </c>
      <c r="C74" s="473">
        <v>18412685.600000001</v>
      </c>
      <c r="D74" s="338">
        <v>210076.97356157494</v>
      </c>
      <c r="E74" s="486">
        <v>115595.1</v>
      </c>
      <c r="F74" s="338">
        <v>1312022.4000000001</v>
      </c>
      <c r="G74" s="327"/>
      <c r="H74" s="328"/>
      <c r="I74" s="328"/>
      <c r="J74" s="167">
        <f t="shared" si="6"/>
        <v>20050380.073561575</v>
      </c>
      <c r="K74" s="348">
        <f>+'5.Variables'!$I$21</f>
        <v>2.6</v>
      </c>
      <c r="L74" s="348">
        <f>+'5.Variables'!$I$31</f>
        <v>121.2</v>
      </c>
      <c r="M74" s="348">
        <f>+'5.Variables'!$I$42</f>
        <v>15.11</v>
      </c>
      <c r="N74" s="348">
        <f>+'5.Variables'!$I$53</f>
        <v>8848</v>
      </c>
      <c r="O74" s="348">
        <f>+'5.Variables'!$I$64</f>
        <v>31</v>
      </c>
      <c r="P74" s="348">
        <f>+'5.Variables'!$I$75</f>
        <v>1</v>
      </c>
      <c r="Q74" s="348">
        <f>+'5.Variables'!$I$85</f>
        <v>10.214</v>
      </c>
      <c r="R74" s="153"/>
      <c r="S74" s="167">
        <f t="shared" si="2"/>
        <v>20428043.266452096</v>
      </c>
      <c r="T74" s="168"/>
      <c r="U74" s="153"/>
      <c r="V74" s="153"/>
      <c r="W74" s="153"/>
      <c r="X74" s="153"/>
      <c r="Y74" s="153"/>
      <c r="Z74" s="153"/>
      <c r="AA74" s="153"/>
      <c r="AB74" s="153"/>
      <c r="AC74" s="153"/>
      <c r="AD74" s="153"/>
      <c r="AE74" s="153"/>
      <c r="AF74" s="153"/>
      <c r="AG74" s="153"/>
      <c r="AH74" s="153"/>
      <c r="AI74" s="153"/>
      <c r="AJ74" s="153"/>
      <c r="AK74" s="153"/>
      <c r="AL74" s="153"/>
      <c r="AM74" s="153"/>
      <c r="AN74" s="153"/>
    </row>
    <row r="75" spans="1:40" x14ac:dyDescent="0.2">
      <c r="A75" s="493">
        <f t="shared" si="7"/>
        <v>56</v>
      </c>
      <c r="B75" s="166" t="str">
        <f>CONCATENATE('3. Consumption by Rate Class'!B80,"-",'3. Consumption by Rate Class'!C80)</f>
        <v>2015-August</v>
      </c>
      <c r="C75" s="473">
        <v>17872837</v>
      </c>
      <c r="D75" s="338">
        <v>184520.107502258</v>
      </c>
      <c r="E75" s="486">
        <v>107271.6</v>
      </c>
      <c r="F75" s="338">
        <v>1359200.7000000002</v>
      </c>
      <c r="G75" s="327"/>
      <c r="H75" s="328"/>
      <c r="I75" s="328"/>
      <c r="J75" s="167">
        <f t="shared" si="6"/>
        <v>19523829.40750226</v>
      </c>
      <c r="K75" s="348">
        <f>+'5.Variables'!$J$21</f>
        <v>2.2000000000000002</v>
      </c>
      <c r="L75" s="348">
        <f>+'5.Variables'!$J$31</f>
        <v>104.30000000000001</v>
      </c>
      <c r="M75" s="348">
        <f>+'5.Variables'!$J$42</f>
        <v>14</v>
      </c>
      <c r="N75" s="348">
        <f>+'5.Variables'!$J$53</f>
        <v>8876.5</v>
      </c>
      <c r="O75" s="348">
        <f>+'5.Variables'!$J$64</f>
        <v>31</v>
      </c>
      <c r="P75" s="348">
        <f>+'5.Variables'!$J$75</f>
        <v>1</v>
      </c>
      <c r="Q75" s="348">
        <f>+'5.Variables'!$J$85</f>
        <v>10.214</v>
      </c>
      <c r="R75" s="153"/>
      <c r="S75" s="167">
        <f t="shared" si="2"/>
        <v>19849850.930495948</v>
      </c>
      <c r="T75" s="168"/>
      <c r="U75" s="153"/>
      <c r="V75" s="153"/>
      <c r="W75" s="153"/>
      <c r="X75" s="153"/>
      <c r="Y75" s="153"/>
      <c r="Z75" s="153"/>
      <c r="AA75" s="153"/>
      <c r="AB75" s="153"/>
      <c r="AC75" s="153"/>
      <c r="AD75" s="153"/>
      <c r="AE75" s="153"/>
      <c r="AF75" s="153"/>
      <c r="AG75" s="153"/>
      <c r="AH75" s="153"/>
      <c r="AI75" s="153"/>
      <c r="AJ75" s="153"/>
      <c r="AK75" s="153"/>
      <c r="AL75" s="153"/>
      <c r="AM75" s="153"/>
      <c r="AN75" s="153"/>
    </row>
    <row r="76" spans="1:40" x14ac:dyDescent="0.2">
      <c r="A76" s="493">
        <f t="shared" si="7"/>
        <v>57</v>
      </c>
      <c r="B76" s="166" t="str">
        <f>CONCATENATE('3. Consumption by Rate Class'!B81,"-",'3. Consumption by Rate Class'!C81)</f>
        <v>2015-September</v>
      </c>
      <c r="C76" s="473">
        <v>16659712</v>
      </c>
      <c r="D76" s="338">
        <v>151059.06776288102</v>
      </c>
      <c r="E76" s="486">
        <v>80132.600000000006</v>
      </c>
      <c r="F76" s="338">
        <v>1331502.2</v>
      </c>
      <c r="G76" s="327"/>
      <c r="H76" s="328"/>
      <c r="I76" s="328"/>
      <c r="J76" s="167">
        <f t="shared" si="6"/>
        <v>18222405.867762882</v>
      </c>
      <c r="K76" s="348">
        <f>+'5.Variables'!$K$21</f>
        <v>17.099999999999998</v>
      </c>
      <c r="L76" s="348">
        <f>+'5.Variables'!$K$31</f>
        <v>83.999999999999986</v>
      </c>
      <c r="M76" s="348">
        <f>+'5.Variables'!$K$42</f>
        <v>12.27</v>
      </c>
      <c r="N76" s="348">
        <f>+'5.Variables'!$K$53</f>
        <v>8906.5</v>
      </c>
      <c r="O76" s="348">
        <f>+'5.Variables'!$K$64</f>
        <v>30</v>
      </c>
      <c r="P76" s="348">
        <f>+'5.Variables'!$K$75</f>
        <v>0</v>
      </c>
      <c r="Q76" s="348">
        <f>+'5.Variables'!$K$85</f>
        <v>10.214</v>
      </c>
      <c r="R76" s="153"/>
      <c r="S76" s="167">
        <f t="shared" si="2"/>
        <v>17176237.449080169</v>
      </c>
      <c r="T76" s="168"/>
      <c r="U76" s="153"/>
      <c r="V76" s="153"/>
      <c r="W76" s="153"/>
      <c r="X76" s="153"/>
      <c r="Y76" s="153"/>
      <c r="Z76" s="153"/>
      <c r="AA76" s="153"/>
      <c r="AB76" s="153"/>
      <c r="AC76" s="153"/>
      <c r="AD76" s="153"/>
      <c r="AE76" s="153"/>
      <c r="AF76" s="153"/>
      <c r="AG76" s="153"/>
      <c r="AH76" s="153"/>
      <c r="AI76" s="153"/>
      <c r="AJ76" s="153"/>
      <c r="AK76" s="153"/>
      <c r="AL76" s="153"/>
      <c r="AM76" s="153"/>
      <c r="AN76" s="153"/>
    </row>
    <row r="77" spans="1:40" x14ac:dyDescent="0.2">
      <c r="A77" s="493">
        <f t="shared" si="7"/>
        <v>58</v>
      </c>
      <c r="B77" s="166" t="str">
        <f>CONCATENATE('3. Consumption by Rate Class'!B82,"-",'3. Consumption by Rate Class'!C82)</f>
        <v>2015-October</v>
      </c>
      <c r="C77" s="473">
        <v>13567240</v>
      </c>
      <c r="D77" s="338">
        <v>109639.51298034481</v>
      </c>
      <c r="E77" s="486">
        <v>60710.6</v>
      </c>
      <c r="F77" s="338">
        <v>1347532.2</v>
      </c>
      <c r="G77" s="327"/>
      <c r="H77" s="328"/>
      <c r="I77" s="328"/>
      <c r="J77" s="167">
        <f t="shared" si="6"/>
        <v>15085122.312980345</v>
      </c>
      <c r="K77" s="348">
        <f>+'5.Variables'!$L$21</f>
        <v>186.04999999999998</v>
      </c>
      <c r="L77" s="348">
        <f>+'5.Variables'!$L$31</f>
        <v>1.8</v>
      </c>
      <c r="M77" s="348">
        <f>+'5.Variables'!$L$42</f>
        <v>10.52</v>
      </c>
      <c r="N77" s="348">
        <f>+'5.Variables'!$L$53</f>
        <v>8940</v>
      </c>
      <c r="O77" s="348">
        <f>+'5.Variables'!$L$64</f>
        <v>31</v>
      </c>
      <c r="P77" s="348">
        <f>+'5.Variables'!$L$75</f>
        <v>0</v>
      </c>
      <c r="Q77" s="348">
        <f>+'5.Variables'!$L$85</f>
        <v>10.214</v>
      </c>
      <c r="R77" s="153"/>
      <c r="S77" s="167">
        <f t="shared" si="2"/>
        <v>15033867.009102764</v>
      </c>
      <c r="T77" s="168"/>
      <c r="U77" s="153"/>
      <c r="V77" s="153"/>
      <c r="W77" s="153"/>
      <c r="X77" s="153"/>
      <c r="Y77" s="153"/>
      <c r="Z77" s="153"/>
      <c r="AA77" s="153"/>
      <c r="AB77" s="153"/>
      <c r="AC77" s="153"/>
      <c r="AD77" s="153"/>
      <c r="AE77" s="153"/>
      <c r="AF77" s="153"/>
      <c r="AG77" s="153"/>
      <c r="AH77" s="153"/>
      <c r="AI77" s="153"/>
      <c r="AJ77" s="153"/>
      <c r="AK77" s="153"/>
      <c r="AL77" s="153"/>
      <c r="AM77" s="153"/>
      <c r="AN77" s="153"/>
    </row>
    <row r="78" spans="1:40" x14ac:dyDescent="0.2">
      <c r="A78" s="493">
        <f t="shared" si="7"/>
        <v>59</v>
      </c>
      <c r="B78" s="166" t="str">
        <f>CONCATENATE('3. Consumption by Rate Class'!B83,"-",'3. Consumption by Rate Class'!C83)</f>
        <v>2015-November</v>
      </c>
      <c r="C78" s="473">
        <v>13560672.664999999</v>
      </c>
      <c r="D78" s="338">
        <v>83757.307430000044</v>
      </c>
      <c r="E78" s="486">
        <v>39954</v>
      </c>
      <c r="F78" s="338">
        <v>1329402.8999999999</v>
      </c>
      <c r="G78" s="327"/>
      <c r="H78" s="328"/>
      <c r="I78" s="328"/>
      <c r="J78" s="167">
        <f t="shared" si="6"/>
        <v>15013786.872429999</v>
      </c>
      <c r="K78" s="348">
        <f>+'5.Variables'!$M$21</f>
        <v>284.45</v>
      </c>
      <c r="L78" s="348">
        <f>+'5.Variables'!$M$31</f>
        <v>0</v>
      </c>
      <c r="M78" s="348">
        <f>+'5.Variables'!$M$42</f>
        <v>9.31</v>
      </c>
      <c r="N78" s="348">
        <f>+'5.Variables'!$M$53</f>
        <v>8965.5</v>
      </c>
      <c r="O78" s="348">
        <f>+'5.Variables'!$M$64</f>
        <v>30</v>
      </c>
      <c r="P78" s="348">
        <f>+'5.Variables'!$M$75</f>
        <v>0</v>
      </c>
      <c r="Q78" s="348">
        <f>+'5.Variables'!$M$85</f>
        <v>10.59</v>
      </c>
      <c r="R78" s="153"/>
      <c r="S78" s="167">
        <f t="shared" si="2"/>
        <v>14887642.887214301</v>
      </c>
      <c r="T78" s="168"/>
      <c r="U78" s="153"/>
      <c r="V78" s="153"/>
      <c r="W78" s="153"/>
      <c r="X78" s="153"/>
      <c r="Y78" s="153"/>
      <c r="Z78" s="153"/>
      <c r="AA78" s="153"/>
      <c r="AB78" s="153"/>
      <c r="AC78" s="153"/>
      <c r="AD78" s="153"/>
      <c r="AE78" s="153"/>
      <c r="AF78" s="153"/>
      <c r="AG78" s="153"/>
      <c r="AH78" s="153"/>
      <c r="AI78" s="153"/>
      <c r="AJ78" s="153"/>
      <c r="AK78" s="153"/>
      <c r="AL78" s="153"/>
      <c r="AM78" s="153"/>
      <c r="AN78" s="153"/>
    </row>
    <row r="79" spans="1:40" x14ac:dyDescent="0.2">
      <c r="A79" s="493">
        <f t="shared" si="7"/>
        <v>60</v>
      </c>
      <c r="B79" s="286" t="str">
        <f>CONCATENATE('3. Consumption by Rate Class'!B84,"-",'3. Consumption by Rate Class'!C84)</f>
        <v>2015-December</v>
      </c>
      <c r="C79" s="324">
        <v>14575986</v>
      </c>
      <c r="D79" s="324">
        <v>39074.428999999982</v>
      </c>
      <c r="E79" s="324">
        <v>19580</v>
      </c>
      <c r="F79" s="324">
        <v>1236160</v>
      </c>
      <c r="G79" s="329"/>
      <c r="H79" s="330"/>
      <c r="I79" s="330"/>
      <c r="J79" s="167">
        <f t="shared" si="6"/>
        <v>15870800.429</v>
      </c>
      <c r="K79" s="348">
        <f>+'5.Variables'!$N$21</f>
        <v>372.95000000000005</v>
      </c>
      <c r="L79" s="348">
        <f>+'5.Variables'!$N$31</f>
        <v>0</v>
      </c>
      <c r="M79" s="348">
        <f>+'5.Variables'!$N$42</f>
        <v>8.5</v>
      </c>
      <c r="N79" s="348">
        <f>+'5.Variables'!$N$53</f>
        <v>8992</v>
      </c>
      <c r="O79" s="348">
        <f>+'5.Variables'!$N$64</f>
        <v>31</v>
      </c>
      <c r="P79" s="348">
        <f>+'5.Variables'!$N$75</f>
        <v>1</v>
      </c>
      <c r="Q79" s="348">
        <f>+'5.Variables'!$N$85</f>
        <v>10.59</v>
      </c>
      <c r="R79" s="153"/>
      <c r="S79" s="167">
        <f t="shared" si="2"/>
        <v>17249415.961895071</v>
      </c>
      <c r="T79" s="168">
        <f>SUM(S68:S79)</f>
        <v>200603195.59949324</v>
      </c>
      <c r="U79" s="153"/>
      <c r="V79" s="153"/>
      <c r="W79" s="153"/>
      <c r="X79" s="153"/>
      <c r="Y79" s="153"/>
      <c r="Z79" s="153"/>
      <c r="AA79" s="153"/>
      <c r="AB79" s="153"/>
      <c r="AC79" s="153"/>
      <c r="AD79" s="153"/>
      <c r="AE79" s="153"/>
      <c r="AF79" s="153"/>
      <c r="AG79" s="153"/>
      <c r="AH79" s="153"/>
      <c r="AI79" s="153"/>
      <c r="AJ79" s="153"/>
      <c r="AK79" s="153"/>
      <c r="AL79" s="153"/>
      <c r="AM79" s="153"/>
      <c r="AN79" s="153"/>
    </row>
    <row r="80" spans="1:40" x14ac:dyDescent="0.2">
      <c r="A80" s="493">
        <f t="shared" si="7"/>
        <v>61</v>
      </c>
      <c r="B80" s="166" t="str">
        <f>CONCATENATE('3. Consumption by Rate Class'!B85,"-",'3. Consumption by Rate Class'!C85)</f>
        <v>2016-January</v>
      </c>
      <c r="C80" s="473">
        <v>17314765</v>
      </c>
      <c r="D80" s="338">
        <v>51366.93526999998</v>
      </c>
      <c r="E80" s="486">
        <v>24980</v>
      </c>
      <c r="F80" s="338">
        <v>49494.2</v>
      </c>
      <c r="G80" s="327"/>
      <c r="H80" s="328"/>
      <c r="I80" s="328"/>
      <c r="J80" s="167">
        <f t="shared" si="6"/>
        <v>17440606.13527</v>
      </c>
      <c r="K80" s="348">
        <f>+'5.Variables'!$C$22</f>
        <v>597.25000000000011</v>
      </c>
      <c r="L80" s="348">
        <f>+'5.Variables'!$C$32</f>
        <v>0</v>
      </c>
      <c r="M80" s="348">
        <f>+'5.Variables'!$C$43</f>
        <v>9.1199999999999992</v>
      </c>
      <c r="N80" s="348">
        <f>+'5.Variables'!$C$54</f>
        <v>9020</v>
      </c>
      <c r="O80" s="348">
        <f>+'5.Variables'!$C$65</f>
        <v>31</v>
      </c>
      <c r="P80" s="348">
        <f>+'5.Variables'!$C$76</f>
        <v>1</v>
      </c>
      <c r="Q80" s="348">
        <f>+'5.Variables'!$C$86</f>
        <v>10.59</v>
      </c>
      <c r="R80" s="153"/>
      <c r="S80" s="167">
        <f t="shared" si="2"/>
        <v>17918567.311314847</v>
      </c>
      <c r="T80" s="168"/>
      <c r="U80" s="153"/>
      <c r="V80" s="153"/>
      <c r="W80" s="153"/>
      <c r="X80" s="153"/>
      <c r="Y80" s="153"/>
      <c r="Z80" s="153"/>
      <c r="AA80" s="153"/>
      <c r="AB80" s="153"/>
      <c r="AC80" s="153"/>
      <c r="AD80" s="153"/>
      <c r="AE80" s="153"/>
      <c r="AF80" s="153"/>
      <c r="AG80" s="153"/>
      <c r="AH80" s="153"/>
      <c r="AI80" s="153"/>
      <c r="AJ80" s="153"/>
      <c r="AK80" s="153"/>
      <c r="AL80" s="153"/>
      <c r="AM80" s="153"/>
      <c r="AN80" s="153"/>
    </row>
    <row r="81" spans="1:40" x14ac:dyDescent="0.2">
      <c r="A81" s="493">
        <f t="shared" si="7"/>
        <v>62</v>
      </c>
      <c r="B81" s="166" t="str">
        <f>CONCATENATE('3. Consumption by Rate Class'!B86,"-",'3. Consumption by Rate Class'!C86)</f>
        <v>2016-February</v>
      </c>
      <c r="C81" s="473">
        <v>15945461</v>
      </c>
      <c r="D81" s="338">
        <v>75671.538400000005</v>
      </c>
      <c r="E81" s="486">
        <v>33620</v>
      </c>
      <c r="F81" s="338">
        <v>0</v>
      </c>
      <c r="G81" s="327"/>
      <c r="H81" s="328"/>
      <c r="I81" s="328"/>
      <c r="J81" s="167">
        <f t="shared" si="6"/>
        <v>16054752.5384</v>
      </c>
      <c r="K81" s="348">
        <f>+'5.Variables'!$D$22</f>
        <v>537.4</v>
      </c>
      <c r="L81" s="348">
        <f>+'5.Variables'!$D$32</f>
        <v>0</v>
      </c>
      <c r="M81" s="348">
        <f>+'5.Variables'!$D$43</f>
        <v>10.199999999999999</v>
      </c>
      <c r="N81" s="348">
        <f>+'5.Variables'!$D$54</f>
        <v>9043.5</v>
      </c>
      <c r="O81" s="348">
        <f>+'5.Variables'!$D$65</f>
        <v>29</v>
      </c>
      <c r="P81" s="348">
        <f>+'5.Variables'!$D$76</f>
        <v>1</v>
      </c>
      <c r="Q81" s="348">
        <f>+'5.Variables'!$D$86</f>
        <v>10.59</v>
      </c>
      <c r="R81" s="153"/>
      <c r="S81" s="167">
        <f t="shared" si="2"/>
        <v>16833575.597178772</v>
      </c>
      <c r="T81" s="168"/>
      <c r="U81" s="153"/>
      <c r="V81" s="153"/>
      <c r="W81" s="153"/>
      <c r="X81" s="153"/>
      <c r="Y81" s="153"/>
      <c r="Z81" s="153"/>
      <c r="AA81" s="153"/>
      <c r="AB81" s="153"/>
      <c r="AC81" s="153"/>
      <c r="AD81" s="153"/>
      <c r="AE81" s="153"/>
      <c r="AF81" s="153"/>
      <c r="AG81" s="153"/>
      <c r="AH81" s="153"/>
      <c r="AI81" s="153"/>
      <c r="AJ81" s="153"/>
      <c r="AK81" s="153"/>
      <c r="AL81" s="153"/>
      <c r="AM81" s="153"/>
      <c r="AN81" s="153"/>
    </row>
    <row r="82" spans="1:40" x14ac:dyDescent="0.2">
      <c r="A82" s="493">
        <f t="shared" si="7"/>
        <v>63</v>
      </c>
      <c r="B82" s="166" t="str">
        <f>CONCATENATE('3. Consumption by Rate Class'!B87,"-",'3. Consumption by Rate Class'!C87)</f>
        <v>2016-March</v>
      </c>
      <c r="C82" s="473">
        <v>15143131.067</v>
      </c>
      <c r="D82" s="338">
        <v>120819.12413000004</v>
      </c>
      <c r="E82" s="486">
        <v>70540.000000000015</v>
      </c>
      <c r="F82" s="338">
        <v>539094.03379999998</v>
      </c>
      <c r="G82" s="327"/>
      <c r="H82" s="328"/>
      <c r="I82" s="328"/>
      <c r="J82" s="167">
        <f t="shared" si="6"/>
        <v>15873584.22493</v>
      </c>
      <c r="K82" s="348">
        <f>+'5.Variables'!$E$22</f>
        <v>444.59999999999997</v>
      </c>
      <c r="L82" s="348">
        <f>+'5.Variables'!$E$32</f>
        <v>0</v>
      </c>
      <c r="M82" s="348">
        <f>+'5.Variables'!$E$43</f>
        <v>11.5</v>
      </c>
      <c r="N82" s="348">
        <f>+'5.Variables'!$E$54</f>
        <v>9066.5</v>
      </c>
      <c r="O82" s="348">
        <f>+'5.Variables'!$E$65</f>
        <v>31</v>
      </c>
      <c r="P82" s="348">
        <f>+'5.Variables'!$E$76</f>
        <v>0</v>
      </c>
      <c r="Q82" s="348">
        <f>+'5.Variables'!$E$86</f>
        <v>10.59</v>
      </c>
      <c r="R82" s="153"/>
      <c r="S82" s="167">
        <f t="shared" si="2"/>
        <v>15840872.304247392</v>
      </c>
      <c r="T82" s="168"/>
      <c r="U82" s="153"/>
      <c r="V82" s="153"/>
      <c r="W82" s="153"/>
      <c r="X82" s="153"/>
      <c r="Y82" s="153"/>
      <c r="Z82" s="153"/>
      <c r="AA82" s="153"/>
      <c r="AB82" s="153"/>
      <c r="AC82" s="153"/>
      <c r="AD82" s="153"/>
      <c r="AE82" s="153"/>
      <c r="AF82" s="153"/>
      <c r="AG82" s="153"/>
      <c r="AH82" s="153"/>
      <c r="AI82" s="153"/>
      <c r="AJ82" s="153"/>
      <c r="AK82" s="153"/>
      <c r="AL82" s="153"/>
      <c r="AM82" s="153"/>
      <c r="AN82" s="153"/>
    </row>
    <row r="83" spans="1:40" x14ac:dyDescent="0.2">
      <c r="A83" s="493">
        <f t="shared" si="7"/>
        <v>64</v>
      </c>
      <c r="B83" s="166" t="str">
        <f>CONCATENATE('3. Consumption by Rate Class'!B88,"-",'3. Consumption by Rate Class'!C88)</f>
        <v>2016-April</v>
      </c>
      <c r="C83" s="473">
        <v>12812881</v>
      </c>
      <c r="D83" s="338">
        <v>164539.77560999998</v>
      </c>
      <c r="E83" s="486">
        <v>83260.000000000029</v>
      </c>
      <c r="F83" s="338">
        <v>1332844.5255999998</v>
      </c>
      <c r="G83" s="327"/>
      <c r="H83" s="328"/>
      <c r="I83" s="328"/>
      <c r="J83" s="167">
        <f>SUM(C83:I83)</f>
        <v>14393525.301209999</v>
      </c>
      <c r="K83" s="348">
        <f>+'5.Variables'!$F$22</f>
        <v>373.25000000000006</v>
      </c>
      <c r="L83" s="348">
        <f>+'5.Variables'!$F$32</f>
        <v>0</v>
      </c>
      <c r="M83" s="348">
        <f>+'5.Variables'!$F$43</f>
        <v>13.26</v>
      </c>
      <c r="N83" s="348">
        <f>+'5.Variables'!$F$54</f>
        <v>9081.5</v>
      </c>
      <c r="O83" s="348">
        <f>+'5.Variables'!$F$65</f>
        <v>30</v>
      </c>
      <c r="P83" s="348">
        <f>+'5.Variables'!$F$76</f>
        <v>0</v>
      </c>
      <c r="Q83" s="348">
        <f>+'5.Variables'!$F$86</f>
        <v>10.59</v>
      </c>
      <c r="R83" s="153"/>
      <c r="S83" s="167">
        <f t="shared" si="2"/>
        <v>15130489.552777555</v>
      </c>
      <c r="T83" s="168"/>
      <c r="U83" s="153"/>
      <c r="V83" s="153"/>
      <c r="W83" s="153"/>
      <c r="X83" s="153"/>
      <c r="Y83" s="153"/>
      <c r="Z83" s="153"/>
      <c r="AA83" s="153"/>
      <c r="AB83" s="153"/>
      <c r="AC83" s="153"/>
      <c r="AD83" s="153"/>
      <c r="AE83" s="153"/>
      <c r="AF83" s="153"/>
      <c r="AG83" s="153"/>
      <c r="AH83" s="153"/>
      <c r="AI83" s="153"/>
      <c r="AJ83" s="153"/>
      <c r="AK83" s="153"/>
      <c r="AL83" s="153"/>
      <c r="AM83" s="153"/>
      <c r="AN83" s="153"/>
    </row>
    <row r="84" spans="1:40" x14ac:dyDescent="0.2">
      <c r="A84" s="493">
        <f t="shared" si="7"/>
        <v>65</v>
      </c>
      <c r="B84" s="166" t="str">
        <f>CONCATENATE('3. Consumption by Rate Class'!B89,"-",'3. Consumption by Rate Class'!C89)</f>
        <v>2016-May</v>
      </c>
      <c r="C84" s="473">
        <v>14120867</v>
      </c>
      <c r="D84" s="338">
        <v>218757.84048000004</v>
      </c>
      <c r="E84" s="486">
        <v>122240.00000000001</v>
      </c>
      <c r="F84" s="338">
        <v>1377929.0244000002</v>
      </c>
      <c r="G84" s="327"/>
      <c r="H84" s="328"/>
      <c r="I84" s="328"/>
      <c r="J84" s="167">
        <f t="shared" si="6"/>
        <v>15839793.864879999</v>
      </c>
      <c r="K84" s="348">
        <f>+'5.Variables'!$G$22</f>
        <v>157.94999999999996</v>
      </c>
      <c r="L84" s="348">
        <f>+'5.Variables'!$G$32</f>
        <v>31</v>
      </c>
      <c r="M84" s="348">
        <f>+'5.Variables'!$G$43</f>
        <v>14.47</v>
      </c>
      <c r="N84" s="348">
        <f>+'5.Variables'!$G$54</f>
        <v>9085.5</v>
      </c>
      <c r="O84" s="348">
        <f>+'5.Variables'!$G$65</f>
        <v>31</v>
      </c>
      <c r="P84" s="348">
        <f>+'5.Variables'!$G$76</f>
        <v>0</v>
      </c>
      <c r="Q84" s="348">
        <f>+'5.Variables'!$G$86</f>
        <v>11</v>
      </c>
      <c r="R84" s="153"/>
      <c r="S84" s="167">
        <f t="shared" si="2"/>
        <v>16105859.460336521</v>
      </c>
      <c r="T84" s="168"/>
      <c r="U84" s="153"/>
      <c r="V84" s="153"/>
      <c r="W84" s="153"/>
      <c r="X84" s="153"/>
      <c r="Y84" s="153"/>
      <c r="Z84" s="153"/>
      <c r="AA84" s="153"/>
      <c r="AB84" s="153"/>
      <c r="AC84" s="153"/>
      <c r="AD84" s="153"/>
      <c r="AE84" s="153"/>
      <c r="AF84" s="153"/>
      <c r="AG84" s="153"/>
      <c r="AH84" s="153"/>
      <c r="AI84" s="153"/>
      <c r="AJ84" s="153"/>
      <c r="AK84" s="153"/>
      <c r="AL84" s="153"/>
      <c r="AM84" s="153"/>
      <c r="AN84" s="153"/>
    </row>
    <row r="85" spans="1:40" x14ac:dyDescent="0.2">
      <c r="A85" s="493">
        <f t="shared" si="7"/>
        <v>66</v>
      </c>
      <c r="B85" s="166" t="str">
        <f>CONCATENATE('3. Consumption by Rate Class'!B90,"-",'3. Consumption by Rate Class'!C90)</f>
        <v>2016-June</v>
      </c>
      <c r="C85" s="473">
        <v>16150289</v>
      </c>
      <c r="D85" s="338">
        <v>232763.04793000003</v>
      </c>
      <c r="E85" s="486">
        <v>124480</v>
      </c>
      <c r="F85" s="338">
        <v>1258967.1299999997</v>
      </c>
      <c r="G85" s="327"/>
      <c r="H85" s="328"/>
      <c r="I85" s="328"/>
      <c r="J85" s="167">
        <f t="shared" si="6"/>
        <v>17766499.177930001</v>
      </c>
      <c r="K85" s="348">
        <f>+'5.Variables'!$H$22</f>
        <v>19.100000000000001</v>
      </c>
      <c r="L85" s="348">
        <f>+'5.Variables'!$H$32</f>
        <v>67.100000000000009</v>
      </c>
      <c r="M85" s="348">
        <f>+'5.Variables'!$H$43</f>
        <v>15.3</v>
      </c>
      <c r="N85" s="348">
        <f>+'5.Variables'!$H$54</f>
        <v>9094.5</v>
      </c>
      <c r="O85" s="348">
        <f>+'5.Variables'!$H$65</f>
        <v>30</v>
      </c>
      <c r="P85" s="348">
        <f>+'5.Variables'!$H$76</f>
        <v>1</v>
      </c>
      <c r="Q85" s="348">
        <f>+'5.Variables'!$H$86</f>
        <v>11</v>
      </c>
      <c r="R85" s="153"/>
      <c r="S85" s="167">
        <f t="shared" ref="S85:S127" si="12">$W$34+(K85*$W$35)+(L85*$W$36)+(M85*$W$37)+(N85*$W$38)+(O85*$W$39)+(P85*$W$40)+(P85*$W$40)</f>
        <v>18221265.850726739</v>
      </c>
      <c r="T85" s="168"/>
      <c r="U85" s="153"/>
      <c r="V85" s="153"/>
      <c r="W85" s="153"/>
      <c r="X85" s="153"/>
      <c r="Y85" s="153"/>
      <c r="Z85" s="153"/>
      <c r="AA85" s="153"/>
      <c r="AB85" s="153"/>
      <c r="AC85" s="153"/>
      <c r="AD85" s="153"/>
      <c r="AE85" s="153"/>
      <c r="AF85" s="153"/>
      <c r="AG85" s="153"/>
      <c r="AH85" s="153"/>
      <c r="AI85" s="153"/>
      <c r="AJ85" s="153"/>
      <c r="AK85" s="153"/>
      <c r="AL85" s="153"/>
      <c r="AM85" s="153"/>
      <c r="AN85" s="153"/>
    </row>
    <row r="86" spans="1:40" x14ac:dyDescent="0.2">
      <c r="A86" s="493">
        <f t="shared" si="7"/>
        <v>67</v>
      </c>
      <c r="B86" s="166" t="str">
        <f>CONCATENATE('3. Consumption by Rate Class'!B91,"-",'3. Consumption by Rate Class'!C91)</f>
        <v>2016-July</v>
      </c>
      <c r="C86" s="473">
        <v>20645212</v>
      </c>
      <c r="D86" s="338">
        <v>217097.80709999995</v>
      </c>
      <c r="E86" s="486">
        <v>111300</v>
      </c>
      <c r="F86" s="338">
        <v>1312714.6599999999</v>
      </c>
      <c r="G86" s="327"/>
      <c r="H86" s="328"/>
      <c r="I86" s="328"/>
      <c r="J86" s="167">
        <f t="shared" si="6"/>
        <v>22286324.467100002</v>
      </c>
      <c r="K86" s="348">
        <f>+'5.Variables'!$I$22</f>
        <v>0</v>
      </c>
      <c r="L86" s="348">
        <f>+'5.Variables'!$I$32</f>
        <v>166.6</v>
      </c>
      <c r="M86" s="348">
        <f>+'5.Variables'!$I$43</f>
        <v>15.11</v>
      </c>
      <c r="N86" s="348">
        <f>+'5.Variables'!$I$54</f>
        <v>9112.5</v>
      </c>
      <c r="O86" s="348">
        <f>+'5.Variables'!$I$65</f>
        <v>31</v>
      </c>
      <c r="P86" s="348">
        <f>+'5.Variables'!$I$76</f>
        <v>1</v>
      </c>
      <c r="Q86" s="348">
        <f>+'5.Variables'!$I$86</f>
        <v>11</v>
      </c>
      <c r="R86" s="153"/>
      <c r="S86" s="167">
        <f t="shared" si="12"/>
        <v>22514893.554671951</v>
      </c>
      <c r="T86" s="168"/>
      <c r="U86" s="153"/>
      <c r="V86" s="153"/>
      <c r="W86" s="153"/>
      <c r="X86" s="153"/>
      <c r="Y86" s="153"/>
      <c r="Z86" s="153"/>
      <c r="AA86" s="153"/>
      <c r="AB86" s="153"/>
      <c r="AC86" s="153"/>
      <c r="AD86" s="153"/>
      <c r="AE86" s="153"/>
      <c r="AF86" s="153"/>
      <c r="AG86" s="153"/>
      <c r="AH86" s="153"/>
      <c r="AI86" s="153"/>
      <c r="AJ86" s="153"/>
      <c r="AK86" s="153"/>
      <c r="AL86" s="153"/>
      <c r="AM86" s="153"/>
      <c r="AN86" s="153"/>
    </row>
    <row r="87" spans="1:40" x14ac:dyDescent="0.2">
      <c r="A87" s="493">
        <f t="shared" si="7"/>
        <v>68</v>
      </c>
      <c r="B87" s="166" t="str">
        <f>CONCATENATE('3. Consumption by Rate Class'!B92,"-",'3. Consumption by Rate Class'!C92)</f>
        <v>2016-August</v>
      </c>
      <c r="C87" s="473">
        <v>21887428</v>
      </c>
      <c r="D87" s="338">
        <v>211027.19999999995</v>
      </c>
      <c r="E87" s="486">
        <v>116080</v>
      </c>
      <c r="F87" s="338">
        <v>1358607.6</v>
      </c>
      <c r="G87" s="327"/>
      <c r="H87" s="328"/>
      <c r="I87" s="328"/>
      <c r="J87" s="167">
        <f t="shared" si="6"/>
        <v>23573142.800000001</v>
      </c>
      <c r="K87" s="348">
        <f>+'5.Variables'!$J$22</f>
        <v>0</v>
      </c>
      <c r="L87" s="348">
        <f>+'5.Variables'!$J$32</f>
        <v>198.84999999999997</v>
      </c>
      <c r="M87" s="348">
        <f>+'5.Variables'!$J$43</f>
        <v>14</v>
      </c>
      <c r="N87" s="348">
        <f>+'5.Variables'!$J$54</f>
        <v>9132.5</v>
      </c>
      <c r="O87" s="348">
        <f>+'5.Variables'!$J$65</f>
        <v>31</v>
      </c>
      <c r="P87" s="348">
        <f>+'5.Variables'!$J$76</f>
        <v>1</v>
      </c>
      <c r="Q87" s="348">
        <f>+'5.Variables'!$J$86</f>
        <v>11</v>
      </c>
      <c r="R87" s="153"/>
      <c r="S87" s="167">
        <f t="shared" si="12"/>
        <v>23840454.847239383</v>
      </c>
      <c r="T87" s="168"/>
      <c r="U87" s="153"/>
      <c r="V87" s="153"/>
      <c r="W87" s="153"/>
      <c r="X87" s="153"/>
      <c r="Y87" s="153"/>
      <c r="Z87" s="153"/>
      <c r="AA87" s="153"/>
      <c r="AB87" s="153"/>
      <c r="AC87" s="153"/>
      <c r="AD87" s="153"/>
      <c r="AE87" s="153"/>
      <c r="AF87" s="153"/>
      <c r="AG87" s="153"/>
      <c r="AH87" s="153"/>
      <c r="AI87" s="153"/>
      <c r="AJ87" s="153"/>
      <c r="AK87" s="153"/>
      <c r="AL87" s="153"/>
      <c r="AM87" s="153"/>
      <c r="AN87" s="153"/>
    </row>
    <row r="88" spans="1:40" x14ac:dyDescent="0.2">
      <c r="A88" s="493">
        <f t="shared" si="7"/>
        <v>69</v>
      </c>
      <c r="B88" s="166" t="str">
        <f>CONCATENATE('3. Consumption by Rate Class'!B93,"-",'3. Consumption by Rate Class'!C93)</f>
        <v>2016-September</v>
      </c>
      <c r="C88" s="473">
        <v>16662759</v>
      </c>
      <c r="D88" s="338">
        <v>173070.30826999989</v>
      </c>
      <c r="E88" s="486">
        <v>85480</v>
      </c>
      <c r="F88" s="338">
        <v>1263864.5114</v>
      </c>
      <c r="G88" s="327"/>
      <c r="H88" s="328"/>
      <c r="I88" s="328"/>
      <c r="J88" s="167">
        <f t="shared" si="6"/>
        <v>18185173.819669999</v>
      </c>
      <c r="K88" s="348">
        <f>+'5.Variables'!$K$22</f>
        <v>14.400000000000002</v>
      </c>
      <c r="L88" s="348">
        <f>+'5.Variables'!$K$32</f>
        <v>88.799999999999983</v>
      </c>
      <c r="M88" s="348">
        <f>+'5.Variables'!$K$43</f>
        <v>12.27</v>
      </c>
      <c r="N88" s="348">
        <f>+'5.Variables'!$K$54</f>
        <v>9150.5</v>
      </c>
      <c r="O88" s="348">
        <f>+'5.Variables'!$K$65</f>
        <v>30</v>
      </c>
      <c r="P88" s="348">
        <f>+'5.Variables'!$K$76</f>
        <v>0</v>
      </c>
      <c r="Q88" s="348">
        <f>+'5.Variables'!$K$86</f>
        <v>11</v>
      </c>
      <c r="R88" s="153"/>
      <c r="S88" s="167">
        <f t="shared" si="12"/>
        <v>17657121.168073989</v>
      </c>
      <c r="T88" s="168"/>
      <c r="U88" s="153"/>
      <c r="V88" s="153"/>
      <c r="W88" s="153"/>
      <c r="X88" s="153"/>
      <c r="Y88" s="153"/>
      <c r="Z88" s="153"/>
      <c r="AA88" s="153"/>
      <c r="AB88" s="153"/>
      <c r="AC88" s="153"/>
      <c r="AD88" s="153"/>
      <c r="AE88" s="153"/>
      <c r="AF88" s="153"/>
      <c r="AG88" s="153"/>
      <c r="AH88" s="153"/>
      <c r="AI88" s="153"/>
      <c r="AJ88" s="153"/>
      <c r="AK88" s="153"/>
      <c r="AL88" s="153"/>
      <c r="AM88" s="153"/>
      <c r="AN88" s="153"/>
    </row>
    <row r="89" spans="1:40" x14ac:dyDescent="0.2">
      <c r="A89" s="493">
        <f t="shared" si="7"/>
        <v>70</v>
      </c>
      <c r="B89" s="166" t="str">
        <f>CONCATENATE('3. Consumption by Rate Class'!B94,"-",'3. Consumption by Rate Class'!C94)</f>
        <v>2016-October</v>
      </c>
      <c r="C89" s="473">
        <v>13874700</v>
      </c>
      <c r="D89" s="338">
        <v>121416.13999999996</v>
      </c>
      <c r="E89" s="486">
        <v>57000</v>
      </c>
      <c r="F89" s="338">
        <v>1387209.67</v>
      </c>
      <c r="G89" s="327"/>
      <c r="H89" s="328"/>
      <c r="I89" s="328"/>
      <c r="J89" s="167">
        <f t="shared" si="6"/>
        <v>15440325.810000001</v>
      </c>
      <c r="K89" s="348">
        <f>+'5.Variables'!$L$22</f>
        <v>141.90000000000003</v>
      </c>
      <c r="L89" s="348">
        <f>+'5.Variables'!$L$32</f>
        <v>12.350000000000001</v>
      </c>
      <c r="M89" s="348">
        <f>+'5.Variables'!$L$43</f>
        <v>10.52</v>
      </c>
      <c r="N89" s="348">
        <f>+'5.Variables'!$L$54</f>
        <v>9174</v>
      </c>
      <c r="O89" s="348">
        <f>+'5.Variables'!$L$65</f>
        <v>31</v>
      </c>
      <c r="P89" s="348">
        <f>+'5.Variables'!$L$76</f>
        <v>0</v>
      </c>
      <c r="Q89" s="348">
        <f>+'5.Variables'!$L$86</f>
        <v>11</v>
      </c>
      <c r="R89" s="153"/>
      <c r="S89" s="167">
        <f t="shared" si="12"/>
        <v>15604233.170264928</v>
      </c>
      <c r="T89" s="168"/>
      <c r="U89" s="153"/>
      <c r="V89" s="153"/>
      <c r="W89" s="153"/>
      <c r="X89" s="153"/>
      <c r="Y89" s="153"/>
      <c r="Z89" s="153"/>
      <c r="AA89" s="153"/>
      <c r="AB89" s="153"/>
      <c r="AC89" s="153"/>
      <c r="AD89" s="153"/>
      <c r="AE89" s="153"/>
      <c r="AF89" s="153"/>
      <c r="AG89" s="153"/>
      <c r="AH89" s="153"/>
      <c r="AI89" s="153"/>
      <c r="AJ89" s="153"/>
      <c r="AK89" s="153"/>
      <c r="AL89" s="153"/>
      <c r="AM89" s="153"/>
      <c r="AN89" s="153"/>
    </row>
    <row r="90" spans="1:40" x14ac:dyDescent="0.2">
      <c r="A90" s="493">
        <f t="shared" si="7"/>
        <v>71</v>
      </c>
      <c r="B90" s="166" t="str">
        <f>CONCATENATE('3. Consumption by Rate Class'!B95,"-",'3. Consumption by Rate Class'!C95)</f>
        <v>2016-November</v>
      </c>
      <c r="C90" s="473">
        <v>13954420</v>
      </c>
      <c r="D90" s="338">
        <v>101587.71984999996</v>
      </c>
      <c r="E90" s="486">
        <v>43960</v>
      </c>
      <c r="F90" s="338">
        <v>795316.11</v>
      </c>
      <c r="G90" s="327"/>
      <c r="H90" s="328"/>
      <c r="I90" s="328"/>
      <c r="J90" s="167">
        <f t="shared" si="6"/>
        <v>14895283.829849999</v>
      </c>
      <c r="K90" s="348">
        <f>+'5.Variables'!$M$22</f>
        <v>270.5</v>
      </c>
      <c r="L90" s="348">
        <f>+'5.Variables'!$M$32</f>
        <v>0</v>
      </c>
      <c r="M90" s="348">
        <f>+'5.Variables'!$M$43</f>
        <v>9.31</v>
      </c>
      <c r="N90" s="348">
        <f>+'5.Variables'!$M$54</f>
        <v>9198.5</v>
      </c>
      <c r="O90" s="348">
        <f>+'5.Variables'!$M$65</f>
        <v>30</v>
      </c>
      <c r="P90" s="348">
        <f>+'5.Variables'!$M$76</f>
        <v>0</v>
      </c>
      <c r="Q90" s="348">
        <f>+'5.Variables'!$M$86</f>
        <v>11</v>
      </c>
      <c r="R90" s="153"/>
      <c r="S90" s="167">
        <f t="shared" si="12"/>
        <v>15134979.560888268</v>
      </c>
      <c r="T90" s="168"/>
      <c r="U90" s="153"/>
      <c r="V90" s="153"/>
      <c r="W90" s="153"/>
      <c r="X90" s="153"/>
      <c r="Y90" s="153"/>
      <c r="Z90" s="153"/>
      <c r="AA90" s="153"/>
      <c r="AB90" s="153"/>
      <c r="AC90" s="153"/>
      <c r="AD90" s="153"/>
      <c r="AE90" s="153"/>
      <c r="AF90" s="153"/>
      <c r="AG90" s="153"/>
      <c r="AH90" s="153"/>
      <c r="AI90" s="153"/>
      <c r="AJ90" s="153"/>
      <c r="AK90" s="153"/>
      <c r="AL90" s="153"/>
      <c r="AM90" s="153"/>
      <c r="AN90" s="153"/>
    </row>
    <row r="91" spans="1:40" x14ac:dyDescent="0.2">
      <c r="A91" s="493">
        <f t="shared" si="7"/>
        <v>72</v>
      </c>
      <c r="B91" s="286" t="str">
        <f>CONCATENATE('3. Consumption by Rate Class'!B96,"-",'3. Consumption by Rate Class'!C96)</f>
        <v>2016-December</v>
      </c>
      <c r="C91" s="324">
        <v>16007630</v>
      </c>
      <c r="D91" s="324">
        <v>48513.819710000011</v>
      </c>
      <c r="E91" s="324">
        <v>22060</v>
      </c>
      <c r="F91" s="324">
        <v>1362085.9000000004</v>
      </c>
      <c r="G91" s="329"/>
      <c r="H91" s="330"/>
      <c r="I91" s="330"/>
      <c r="J91" s="167">
        <f t="shared" si="6"/>
        <v>17440289.71971</v>
      </c>
      <c r="K91" s="348">
        <f>+'5.Variables'!$N$22</f>
        <v>540.9</v>
      </c>
      <c r="L91" s="348">
        <f>+'5.Variables'!$N$32</f>
        <v>0</v>
      </c>
      <c r="M91" s="348">
        <f>+'5.Variables'!$N$43</f>
        <v>8.5</v>
      </c>
      <c r="N91" s="348">
        <f>+'5.Variables'!$N$54</f>
        <v>9220.5</v>
      </c>
      <c r="O91" s="348">
        <f>+'5.Variables'!$N$65</f>
        <v>31</v>
      </c>
      <c r="P91" s="348">
        <f>+'5.Variables'!$N$76</f>
        <v>1</v>
      </c>
      <c r="Q91" s="348">
        <f>+'5.Variables'!$N$86</f>
        <v>11</v>
      </c>
      <c r="R91" s="153"/>
      <c r="S91" s="167">
        <f t="shared" si="12"/>
        <v>18026358.333946466</v>
      </c>
      <c r="T91" s="168">
        <f>SUM(S80:S91)</f>
        <v>212828670.71166679</v>
      </c>
      <c r="U91" s="153"/>
      <c r="V91" s="153"/>
      <c r="W91" s="153"/>
      <c r="X91" s="153"/>
      <c r="Y91" s="153"/>
      <c r="Z91" s="153"/>
      <c r="AA91" s="153"/>
      <c r="AB91" s="153"/>
      <c r="AC91" s="153"/>
      <c r="AD91" s="153"/>
      <c r="AE91" s="153"/>
      <c r="AF91" s="153"/>
      <c r="AG91" s="153"/>
      <c r="AH91" s="153"/>
      <c r="AI91" s="153"/>
      <c r="AJ91" s="153"/>
      <c r="AK91" s="153"/>
      <c r="AL91" s="153"/>
      <c r="AM91" s="153"/>
      <c r="AN91" s="153"/>
    </row>
    <row r="92" spans="1:40" x14ac:dyDescent="0.2">
      <c r="A92" s="493">
        <f t="shared" si="7"/>
        <v>73</v>
      </c>
      <c r="B92" s="166" t="str">
        <f>CONCATENATE('3. Consumption by Rate Class'!B97,"-",'3. Consumption by Rate Class'!C97)</f>
        <v>2017-January</v>
      </c>
      <c r="C92" s="473">
        <v>17263822</v>
      </c>
      <c r="D92" s="338">
        <v>50576.890489999969</v>
      </c>
      <c r="E92" s="486">
        <v>26400.000000000007</v>
      </c>
      <c r="F92" s="338">
        <v>14321.3</v>
      </c>
      <c r="G92" s="327"/>
      <c r="H92" s="328"/>
      <c r="I92" s="328"/>
      <c r="J92" s="167">
        <f t="shared" si="6"/>
        <v>17355120.19049</v>
      </c>
      <c r="K92" s="348">
        <f>+'5.Variables'!$C$23</f>
        <v>556.5</v>
      </c>
      <c r="L92" s="348">
        <f>+'5.Variables'!$C$33</f>
        <v>0</v>
      </c>
      <c r="M92" s="348">
        <f>+'5.Variables'!$C$44</f>
        <v>9.1199999999999992</v>
      </c>
      <c r="N92" s="348">
        <f>+'5.Variables'!$C$55</f>
        <v>9240</v>
      </c>
      <c r="O92" s="348">
        <f>+'5.Variables'!$C$66</f>
        <v>31</v>
      </c>
      <c r="P92" s="348">
        <f>+'5.Variables'!$C$77</f>
        <v>1</v>
      </c>
      <c r="Q92" s="348">
        <f>+'5.Variables'!$C$87</f>
        <v>11</v>
      </c>
      <c r="R92" s="153"/>
      <c r="S92" s="167">
        <f t="shared" si="12"/>
        <v>18070964.789056148</v>
      </c>
      <c r="T92" s="168"/>
      <c r="U92" s="153"/>
      <c r="V92" s="153"/>
      <c r="W92" s="153"/>
      <c r="X92" s="153"/>
      <c r="Y92" s="153"/>
      <c r="Z92" s="153"/>
      <c r="AA92" s="153"/>
      <c r="AB92" s="153"/>
      <c r="AC92" s="153"/>
      <c r="AD92" s="153"/>
      <c r="AE92" s="153"/>
      <c r="AF92" s="153"/>
      <c r="AG92" s="153"/>
      <c r="AH92" s="153"/>
      <c r="AI92" s="153"/>
      <c r="AJ92" s="153"/>
      <c r="AK92" s="153"/>
      <c r="AL92" s="153"/>
      <c r="AM92" s="153"/>
      <c r="AN92" s="153"/>
    </row>
    <row r="93" spans="1:40" x14ac:dyDescent="0.2">
      <c r="A93" s="493">
        <f t="shared" si="7"/>
        <v>74</v>
      </c>
      <c r="B93" s="166" t="str">
        <f>CONCATENATE('3. Consumption by Rate Class'!B98,"-",'3. Consumption by Rate Class'!C98)</f>
        <v>2017-February</v>
      </c>
      <c r="C93" s="473">
        <v>15045537</v>
      </c>
      <c r="D93" s="338">
        <v>91610.813190000015</v>
      </c>
      <c r="E93" s="486">
        <v>91004.943469999998</v>
      </c>
      <c r="F93" s="338">
        <v>0</v>
      </c>
      <c r="G93" s="327"/>
      <c r="H93" s="328"/>
      <c r="I93" s="328"/>
      <c r="J93" s="167">
        <f t="shared" si="6"/>
        <v>15228152.756659999</v>
      </c>
      <c r="K93" s="348">
        <f>+'5.Variables'!$D$23</f>
        <v>468.50000000000006</v>
      </c>
      <c r="L93" s="348">
        <f>+'5.Variables'!$D$33</f>
        <v>0</v>
      </c>
      <c r="M93" s="348">
        <f>+'5.Variables'!$D$44</f>
        <v>10.199999999999999</v>
      </c>
      <c r="N93" s="348">
        <f>+'5.Variables'!$D$55</f>
        <v>9252</v>
      </c>
      <c r="O93" s="348">
        <f>+'5.Variables'!$D$66</f>
        <v>28</v>
      </c>
      <c r="P93" s="348">
        <f>+'5.Variables'!$D$77</f>
        <v>1</v>
      </c>
      <c r="Q93" s="348">
        <f>+'5.Variables'!$D$87</f>
        <v>11</v>
      </c>
      <c r="R93" s="153"/>
      <c r="S93" s="167">
        <f t="shared" si="12"/>
        <v>16442068.408370204</v>
      </c>
      <c r="T93" s="168"/>
      <c r="U93" s="153"/>
      <c r="V93" s="153"/>
      <c r="W93" s="153"/>
      <c r="X93" s="153"/>
      <c r="Y93" s="153"/>
      <c r="Z93" s="153"/>
      <c r="AA93" s="153"/>
      <c r="AB93" s="153"/>
      <c r="AC93" s="153"/>
      <c r="AD93" s="153"/>
      <c r="AE93" s="153"/>
      <c r="AF93" s="153"/>
      <c r="AG93" s="153"/>
      <c r="AH93" s="153"/>
      <c r="AI93" s="153"/>
      <c r="AJ93" s="153"/>
      <c r="AK93" s="153"/>
      <c r="AL93" s="153"/>
      <c r="AM93" s="153"/>
      <c r="AN93" s="153"/>
    </row>
    <row r="94" spans="1:40" x14ac:dyDescent="0.2">
      <c r="A94" s="493">
        <f t="shared" si="7"/>
        <v>75</v>
      </c>
      <c r="B94" s="166" t="str">
        <f>CONCATENATE('3. Consumption by Rate Class'!B99,"-",'3. Consumption by Rate Class'!C99)</f>
        <v>2017-March</v>
      </c>
      <c r="C94" s="473">
        <v>15907915</v>
      </c>
      <c r="D94" s="338">
        <v>134253.1054</v>
      </c>
      <c r="E94" s="486">
        <v>70258.199000000008</v>
      </c>
      <c r="F94" s="338">
        <v>494311.99999999994</v>
      </c>
      <c r="G94" s="327"/>
      <c r="H94" s="328"/>
      <c r="I94" s="328"/>
      <c r="J94" s="167">
        <f t="shared" si="6"/>
        <v>16606738.304399999</v>
      </c>
      <c r="K94" s="348">
        <f>+'5.Variables'!$E$23</f>
        <v>528.4</v>
      </c>
      <c r="L94" s="348">
        <f>+'5.Variables'!$E$33</f>
        <v>0</v>
      </c>
      <c r="M94" s="348">
        <f>+'5.Variables'!$E$44</f>
        <v>11.5</v>
      </c>
      <c r="N94" s="348">
        <f>+'5.Variables'!$E$55</f>
        <v>9264</v>
      </c>
      <c r="O94" s="348">
        <f>+'5.Variables'!$E$66</f>
        <v>31</v>
      </c>
      <c r="P94" s="348">
        <f>+'5.Variables'!$E$77</f>
        <v>0</v>
      </c>
      <c r="Q94" s="348">
        <f>+'5.Variables'!$E$87</f>
        <v>11</v>
      </c>
      <c r="R94" s="153"/>
      <c r="S94" s="167">
        <f t="shared" si="12"/>
        <v>16331865.506583853</v>
      </c>
      <c r="T94" s="168"/>
      <c r="U94" s="153"/>
      <c r="V94" s="153"/>
      <c r="W94" s="153"/>
      <c r="X94" s="153"/>
      <c r="Y94" s="153"/>
      <c r="Z94" s="153"/>
      <c r="AA94" s="153"/>
      <c r="AB94" s="153"/>
      <c r="AC94" s="153"/>
      <c r="AD94" s="153"/>
      <c r="AE94" s="153"/>
      <c r="AF94" s="153"/>
      <c r="AG94" s="153"/>
      <c r="AH94" s="153"/>
      <c r="AI94" s="153"/>
      <c r="AJ94" s="153"/>
      <c r="AK94" s="153"/>
      <c r="AL94" s="153"/>
      <c r="AM94" s="153"/>
      <c r="AN94" s="153"/>
    </row>
    <row r="95" spans="1:40" x14ac:dyDescent="0.2">
      <c r="A95" s="493">
        <f t="shared" si="7"/>
        <v>76</v>
      </c>
      <c r="B95" s="166" t="str">
        <f>CONCATENATE('3. Consumption by Rate Class'!B100,"-",'3. Consumption by Rate Class'!C100)</f>
        <v>2017-April</v>
      </c>
      <c r="C95" s="473">
        <v>13255630</v>
      </c>
      <c r="D95" s="338">
        <v>159255.14543999996</v>
      </c>
      <c r="E95" s="486">
        <v>74953.399400000009</v>
      </c>
      <c r="F95" s="338">
        <v>1151901.7999999998</v>
      </c>
      <c r="G95" s="327"/>
      <c r="H95" s="328"/>
      <c r="I95" s="328"/>
      <c r="J95" s="167">
        <f t="shared" si="6"/>
        <v>14641740.344839998</v>
      </c>
      <c r="K95" s="348">
        <f>+'5.Variables'!$F$23</f>
        <v>273.05</v>
      </c>
      <c r="L95" s="348">
        <f>+'5.Variables'!$F$33</f>
        <v>0</v>
      </c>
      <c r="M95" s="348">
        <f>+'5.Variables'!$F$44</f>
        <v>13.26</v>
      </c>
      <c r="N95" s="348">
        <f>+'5.Variables'!$F$55</f>
        <v>9278</v>
      </c>
      <c r="O95" s="348">
        <f>+'5.Variables'!$F$66</f>
        <v>30</v>
      </c>
      <c r="P95" s="348">
        <f>+'5.Variables'!$F$77</f>
        <v>0</v>
      </c>
      <c r="Q95" s="348">
        <f>+'5.Variables'!$F$87</f>
        <v>11</v>
      </c>
      <c r="R95" s="153"/>
      <c r="S95" s="167">
        <f t="shared" si="12"/>
        <v>15078891.320770198</v>
      </c>
      <c r="T95" s="168"/>
      <c r="U95" s="153"/>
      <c r="V95" s="153"/>
      <c r="W95" s="153"/>
      <c r="X95" s="153"/>
      <c r="Y95" s="153"/>
      <c r="Z95" s="153"/>
      <c r="AA95" s="153"/>
      <c r="AB95" s="153"/>
      <c r="AC95" s="153"/>
      <c r="AD95" s="153"/>
      <c r="AE95" s="153"/>
      <c r="AF95" s="153"/>
      <c r="AG95" s="153"/>
      <c r="AH95" s="153"/>
      <c r="AI95" s="153"/>
      <c r="AJ95" s="153"/>
      <c r="AK95" s="153"/>
      <c r="AL95" s="153"/>
      <c r="AM95" s="153"/>
      <c r="AN95" s="153"/>
    </row>
    <row r="96" spans="1:40" x14ac:dyDescent="0.2">
      <c r="A96" s="493">
        <f t="shared" si="7"/>
        <v>77</v>
      </c>
      <c r="B96" s="166" t="str">
        <f>CONCATENATE('3. Consumption by Rate Class'!B101,"-",'3. Consumption by Rate Class'!C101)</f>
        <v>2017-May</v>
      </c>
      <c r="C96" s="473">
        <v>13925925</v>
      </c>
      <c r="D96" s="338">
        <v>184961.89823999998</v>
      </c>
      <c r="E96" s="486">
        <v>100360.8</v>
      </c>
      <c r="F96" s="338">
        <v>1092416.4999999998</v>
      </c>
      <c r="G96" s="327"/>
      <c r="H96" s="328"/>
      <c r="I96" s="328"/>
      <c r="J96" s="167">
        <f t="shared" si="6"/>
        <v>15303664.198240001</v>
      </c>
      <c r="K96" s="348">
        <f>+'5.Variables'!$G$23</f>
        <v>181.8</v>
      </c>
      <c r="L96" s="348">
        <f>+'5.Variables'!$G$33</f>
        <v>2.8000000000000003</v>
      </c>
      <c r="M96" s="348">
        <f>+'5.Variables'!$G$44</f>
        <v>14.47</v>
      </c>
      <c r="N96" s="348">
        <f>+'5.Variables'!$G$55</f>
        <v>9289</v>
      </c>
      <c r="O96" s="348">
        <f>+'5.Variables'!$G$66</f>
        <v>31</v>
      </c>
      <c r="P96" s="348">
        <f>+'5.Variables'!$G$77</f>
        <v>0</v>
      </c>
      <c r="Q96" s="348">
        <f>+'5.Variables'!$G$87</f>
        <v>9.8000000000000007</v>
      </c>
      <c r="R96" s="153"/>
      <c r="S96" s="167">
        <f t="shared" si="12"/>
        <v>15330250.71997601</v>
      </c>
      <c r="T96" s="168"/>
      <c r="U96" s="153"/>
      <c r="V96" s="153"/>
      <c r="W96" s="153"/>
      <c r="X96" s="153"/>
      <c r="Y96" s="153"/>
      <c r="Z96" s="153"/>
      <c r="AA96" s="153"/>
      <c r="AB96" s="153"/>
      <c r="AC96" s="153"/>
      <c r="AD96" s="153"/>
      <c r="AE96" s="153"/>
      <c r="AF96" s="153"/>
      <c r="AG96" s="153"/>
      <c r="AH96" s="153"/>
      <c r="AI96" s="153"/>
      <c r="AJ96" s="153"/>
      <c r="AK96" s="153"/>
      <c r="AL96" s="153"/>
      <c r="AM96" s="153"/>
      <c r="AN96" s="153"/>
    </row>
    <row r="97" spans="1:40" x14ac:dyDescent="0.2">
      <c r="A97" s="493">
        <f t="shared" si="7"/>
        <v>78</v>
      </c>
      <c r="B97" s="166" t="str">
        <f>CONCATENATE('3. Consumption by Rate Class'!B102,"-",'3. Consumption by Rate Class'!C102)</f>
        <v>2017-June</v>
      </c>
      <c r="C97" s="473">
        <v>15555222</v>
      </c>
      <c r="D97" s="338">
        <v>206251.24417999992</v>
      </c>
      <c r="E97" s="486">
        <v>108653.6</v>
      </c>
      <c r="F97" s="338">
        <v>1251149.2000000002</v>
      </c>
      <c r="G97" s="327"/>
      <c r="H97" s="328"/>
      <c r="I97" s="328"/>
      <c r="J97" s="167">
        <f t="shared" si="6"/>
        <v>17121276.044179998</v>
      </c>
      <c r="K97" s="348">
        <f>+'5.Variables'!$H$23</f>
        <v>27.000000000000004</v>
      </c>
      <c r="L97" s="348">
        <f>+'5.Variables'!$H$33</f>
        <v>62.800000000000004</v>
      </c>
      <c r="M97" s="348">
        <f>+'5.Variables'!$H$44</f>
        <v>15.3</v>
      </c>
      <c r="N97" s="348">
        <f>+'5.Variables'!$H$55</f>
        <v>9295.5</v>
      </c>
      <c r="O97" s="348">
        <f>+'5.Variables'!$H$66</f>
        <v>30</v>
      </c>
      <c r="P97" s="348">
        <f>+'5.Variables'!$H$77</f>
        <v>1</v>
      </c>
      <c r="Q97" s="348">
        <f>+'5.Variables'!$H$87</f>
        <v>9.8000000000000007</v>
      </c>
      <c r="R97" s="153"/>
      <c r="S97" s="167">
        <f t="shared" si="12"/>
        <v>18325910.845748853</v>
      </c>
      <c r="T97" s="168"/>
      <c r="U97" s="153"/>
      <c r="V97" s="153"/>
      <c r="W97" s="153"/>
      <c r="X97" s="153"/>
      <c r="Y97" s="153"/>
      <c r="Z97" s="153"/>
      <c r="AA97" s="153"/>
      <c r="AB97" s="153"/>
      <c r="AC97" s="153"/>
      <c r="AD97" s="153"/>
      <c r="AE97" s="153"/>
      <c r="AF97" s="153"/>
      <c r="AG97" s="153"/>
      <c r="AH97" s="153"/>
      <c r="AI97" s="153"/>
      <c r="AJ97" s="153"/>
      <c r="AK97" s="153"/>
      <c r="AL97" s="153"/>
      <c r="AM97" s="153"/>
      <c r="AN97" s="153"/>
    </row>
    <row r="98" spans="1:40" x14ac:dyDescent="0.2">
      <c r="A98" s="493">
        <f t="shared" si="7"/>
        <v>79</v>
      </c>
      <c r="B98" s="166" t="str">
        <f>CONCATENATE('3. Consumption by Rate Class'!B103,"-",'3. Consumption by Rate Class'!C103)</f>
        <v>2017-July</v>
      </c>
      <c r="C98" s="473">
        <v>18542998</v>
      </c>
      <c r="D98" s="338">
        <v>198128.92277</v>
      </c>
      <c r="E98" s="486">
        <v>97714.800599999988</v>
      </c>
      <c r="F98" s="338">
        <v>1291560.8999999999</v>
      </c>
      <c r="G98" s="327"/>
      <c r="H98" s="328"/>
      <c r="I98" s="328"/>
      <c r="J98" s="167">
        <f t="shared" si="6"/>
        <v>20130402.623369999</v>
      </c>
      <c r="K98" s="348">
        <f>+'5.Variables'!$I$23</f>
        <v>0</v>
      </c>
      <c r="L98" s="348">
        <f>+'5.Variables'!$I$33</f>
        <v>111.60000000000002</v>
      </c>
      <c r="M98" s="348">
        <f>+'5.Variables'!$I$44</f>
        <v>15.11</v>
      </c>
      <c r="N98" s="348">
        <f>+'5.Variables'!$I$55</f>
        <v>9301.5</v>
      </c>
      <c r="O98" s="348">
        <f>+'5.Variables'!$I$66</f>
        <v>31</v>
      </c>
      <c r="P98" s="348">
        <f>+'5.Variables'!$I$77</f>
        <v>1</v>
      </c>
      <c r="Q98" s="348">
        <f>+'5.Variables'!$I$87</f>
        <v>9.8000000000000007</v>
      </c>
      <c r="R98" s="153"/>
      <c r="S98" s="167">
        <f t="shared" si="12"/>
        <v>20608014.7771101</v>
      </c>
      <c r="T98" s="168"/>
      <c r="U98" s="153"/>
      <c r="V98" s="153"/>
      <c r="W98" s="153"/>
      <c r="X98" s="153"/>
      <c r="Y98" s="153"/>
      <c r="Z98" s="153"/>
      <c r="AA98" s="153"/>
      <c r="AB98" s="153"/>
      <c r="AC98" s="153"/>
      <c r="AD98" s="153"/>
      <c r="AE98" s="153"/>
      <c r="AF98" s="153"/>
      <c r="AG98" s="153"/>
      <c r="AH98" s="153"/>
      <c r="AI98" s="153"/>
      <c r="AJ98" s="153"/>
      <c r="AK98" s="153"/>
      <c r="AL98" s="153"/>
      <c r="AM98" s="153"/>
      <c r="AN98" s="153"/>
    </row>
    <row r="99" spans="1:40" x14ac:dyDescent="0.2">
      <c r="A99" s="493">
        <f t="shared" si="7"/>
        <v>80</v>
      </c>
      <c r="B99" s="166" t="str">
        <f>CONCATENATE('3. Consumption by Rate Class'!B104,"-",'3. Consumption by Rate Class'!C104)</f>
        <v>2017-August</v>
      </c>
      <c r="C99" s="473">
        <v>18341581</v>
      </c>
      <c r="D99" s="338">
        <v>193084.71397000001</v>
      </c>
      <c r="E99" s="486">
        <v>105258.39820000001</v>
      </c>
      <c r="F99" s="338">
        <v>1325601.2</v>
      </c>
      <c r="G99" s="327"/>
      <c r="H99" s="328"/>
      <c r="I99" s="328"/>
      <c r="J99" s="167">
        <f t="shared" si="6"/>
        <v>19965525.312170003</v>
      </c>
      <c r="K99" s="348">
        <f>+'5.Variables'!$J$23</f>
        <v>0.3</v>
      </c>
      <c r="L99" s="348">
        <f>+'5.Variables'!$J$33</f>
        <v>102</v>
      </c>
      <c r="M99" s="348">
        <f>+'5.Variables'!$J$44</f>
        <v>14</v>
      </c>
      <c r="N99" s="348">
        <f>+'5.Variables'!$J$55</f>
        <v>9314.5</v>
      </c>
      <c r="O99" s="348">
        <f>+'5.Variables'!$J$66</f>
        <v>31</v>
      </c>
      <c r="P99" s="348">
        <f>+'5.Variables'!$J$77</f>
        <v>1</v>
      </c>
      <c r="Q99" s="348">
        <f>+'5.Variables'!$J$87</f>
        <v>9.8000000000000007</v>
      </c>
      <c r="R99" s="153"/>
      <c r="S99" s="167">
        <f t="shared" si="12"/>
        <v>20296840.487627055</v>
      </c>
      <c r="T99" s="168"/>
      <c r="U99" s="153"/>
      <c r="V99" s="153"/>
      <c r="W99" s="153"/>
      <c r="X99" s="153"/>
      <c r="Y99" s="153"/>
      <c r="Z99" s="153"/>
      <c r="AA99" s="153"/>
      <c r="AB99" s="153"/>
      <c r="AC99" s="153"/>
      <c r="AD99" s="153"/>
      <c r="AE99" s="153"/>
      <c r="AF99" s="153"/>
      <c r="AG99" s="153"/>
      <c r="AH99" s="153"/>
      <c r="AI99" s="153"/>
      <c r="AJ99" s="153"/>
      <c r="AK99" s="153"/>
      <c r="AL99" s="153"/>
      <c r="AM99" s="153"/>
      <c r="AN99" s="153"/>
    </row>
    <row r="100" spans="1:40" x14ac:dyDescent="0.2">
      <c r="A100" s="493">
        <f t="shared" si="7"/>
        <v>81</v>
      </c>
      <c r="B100" s="166" t="str">
        <f>CONCATENATE('3. Consumption by Rate Class'!B105,"-",'3. Consumption by Rate Class'!C105)</f>
        <v>2017-September</v>
      </c>
      <c r="C100" s="473">
        <v>16015096</v>
      </c>
      <c r="D100" s="338">
        <v>174286.04714999991</v>
      </c>
      <c r="E100" s="486">
        <v>85655.800000000017</v>
      </c>
      <c r="F100" s="338">
        <v>1321481.7</v>
      </c>
      <c r="G100" s="327"/>
      <c r="H100" s="328"/>
      <c r="I100" s="328"/>
      <c r="J100" s="167">
        <f t="shared" si="6"/>
        <v>17596519.547150001</v>
      </c>
      <c r="K100" s="348">
        <f>+'5.Variables'!$K$23</f>
        <v>25.099999999999994</v>
      </c>
      <c r="L100" s="348">
        <f>+'5.Variables'!$K$33</f>
        <v>59.5</v>
      </c>
      <c r="M100" s="348">
        <f>+'5.Variables'!$K$44</f>
        <v>12.27</v>
      </c>
      <c r="N100" s="348">
        <f>+'5.Variables'!$K$55</f>
        <v>9325.5</v>
      </c>
      <c r="O100" s="348">
        <f>+'5.Variables'!$K$66</f>
        <v>30</v>
      </c>
      <c r="P100" s="348">
        <f>+'5.Variables'!$K$77</f>
        <v>0</v>
      </c>
      <c r="Q100" s="348">
        <f>+'5.Variables'!$K$87</f>
        <v>9.8000000000000007</v>
      </c>
      <c r="R100" s="153"/>
      <c r="S100" s="167">
        <f t="shared" si="12"/>
        <v>16764733.389248341</v>
      </c>
      <c r="T100" s="168"/>
      <c r="U100" s="153"/>
      <c r="V100" s="153"/>
      <c r="W100" s="153"/>
      <c r="X100" s="153"/>
      <c r="Y100" s="153"/>
      <c r="Z100" s="153"/>
      <c r="AA100" s="153"/>
      <c r="AB100" s="153"/>
      <c r="AC100" s="153"/>
      <c r="AD100" s="153"/>
      <c r="AE100" s="153"/>
      <c r="AF100" s="153"/>
      <c r="AG100" s="153"/>
      <c r="AH100" s="153"/>
      <c r="AI100" s="153"/>
      <c r="AJ100" s="153"/>
      <c r="AK100" s="153"/>
      <c r="AL100" s="153"/>
      <c r="AM100" s="153"/>
      <c r="AN100" s="153"/>
    </row>
    <row r="101" spans="1:40" x14ac:dyDescent="0.2">
      <c r="A101" s="493">
        <f t="shared" si="7"/>
        <v>82</v>
      </c>
      <c r="B101" s="166" t="str">
        <f>CONCATENATE('3. Consumption by Rate Class'!B106,"-",'3. Consumption by Rate Class'!C106)</f>
        <v>2017-October</v>
      </c>
      <c r="C101" s="473">
        <v>14205016</v>
      </c>
      <c r="D101" s="338">
        <v>118003.95308000004</v>
      </c>
      <c r="E101" s="486">
        <v>59110.599799999989</v>
      </c>
      <c r="F101" s="338">
        <v>1350013.7</v>
      </c>
      <c r="G101" s="327"/>
      <c r="H101" s="328"/>
      <c r="I101" s="328"/>
      <c r="J101" s="167">
        <f t="shared" si="6"/>
        <v>15732144.25288</v>
      </c>
      <c r="K101" s="348">
        <f>+'5.Variables'!$L$23</f>
        <v>94.7</v>
      </c>
      <c r="L101" s="348">
        <f>+'5.Variables'!$L$33</f>
        <v>14.9</v>
      </c>
      <c r="M101" s="348">
        <f>+'5.Variables'!$L$44</f>
        <v>10.52</v>
      </c>
      <c r="N101" s="348">
        <f>+'5.Variables'!$L$55</f>
        <v>9326</v>
      </c>
      <c r="O101" s="348">
        <f>+'5.Variables'!$L$66</f>
        <v>31</v>
      </c>
      <c r="P101" s="348">
        <f>+'5.Variables'!$L$77</f>
        <v>0</v>
      </c>
      <c r="Q101" s="348">
        <f>+'5.Variables'!$L$87</f>
        <v>9.8000000000000007</v>
      </c>
      <c r="R101" s="153"/>
      <c r="S101" s="167">
        <f t="shared" si="12"/>
        <v>15752746.869821204</v>
      </c>
      <c r="T101" s="168"/>
      <c r="U101" s="153"/>
      <c r="V101" s="153"/>
      <c r="W101" s="153"/>
      <c r="X101" s="153"/>
      <c r="Y101" s="153"/>
      <c r="Z101" s="153"/>
      <c r="AA101" s="153"/>
      <c r="AB101" s="153"/>
      <c r="AC101" s="153"/>
      <c r="AD101" s="153"/>
      <c r="AE101" s="153"/>
      <c r="AF101" s="153"/>
      <c r="AG101" s="153"/>
      <c r="AH101" s="153"/>
      <c r="AI101" s="153"/>
      <c r="AJ101" s="153"/>
      <c r="AK101" s="153"/>
      <c r="AL101" s="153"/>
      <c r="AM101" s="153"/>
      <c r="AN101" s="153"/>
    </row>
    <row r="102" spans="1:40" x14ac:dyDescent="0.2">
      <c r="A102" s="493">
        <f t="shared" si="7"/>
        <v>83</v>
      </c>
      <c r="B102" s="166" t="str">
        <f>CONCATENATE('3. Consumption by Rate Class'!B107,"-",'3. Consumption by Rate Class'!C107)</f>
        <v>2017-November</v>
      </c>
      <c r="C102" s="473">
        <v>14501902</v>
      </c>
      <c r="D102" s="338">
        <v>64725.963189999988</v>
      </c>
      <c r="E102" s="486">
        <v>31395.799600000002</v>
      </c>
      <c r="F102" s="338">
        <v>1209082.7</v>
      </c>
      <c r="G102" s="327"/>
      <c r="H102" s="328"/>
      <c r="I102" s="328"/>
      <c r="J102" s="167">
        <f t="shared" si="6"/>
        <v>15807106.462789999</v>
      </c>
      <c r="K102" s="348">
        <f>+'5.Variables'!$M$23</f>
        <v>383.84999999999991</v>
      </c>
      <c r="L102" s="348">
        <f>+'5.Variables'!$M$33</f>
        <v>0</v>
      </c>
      <c r="M102" s="348">
        <f>+'5.Variables'!$M$44</f>
        <v>9.31</v>
      </c>
      <c r="N102" s="348">
        <f>+'5.Variables'!$M$55</f>
        <v>9338.5</v>
      </c>
      <c r="O102" s="348">
        <f>+'5.Variables'!$M$66</f>
        <v>30</v>
      </c>
      <c r="P102" s="348">
        <f>+'5.Variables'!$M$77</f>
        <v>0</v>
      </c>
      <c r="Q102" s="348">
        <f>+'5.Variables'!$M$87</f>
        <v>8</v>
      </c>
      <c r="R102" s="153"/>
      <c r="S102" s="167">
        <f t="shared" si="12"/>
        <v>15641746.377980182</v>
      </c>
      <c r="T102" s="168"/>
      <c r="U102" s="153"/>
      <c r="V102" s="153"/>
      <c r="W102" s="153"/>
      <c r="X102" s="153"/>
      <c r="Y102" s="153"/>
      <c r="Z102" s="153"/>
      <c r="AA102" s="153"/>
      <c r="AB102" s="153"/>
      <c r="AC102" s="153"/>
      <c r="AD102" s="153"/>
      <c r="AE102" s="153"/>
      <c r="AF102" s="153"/>
      <c r="AG102" s="153"/>
      <c r="AH102" s="153"/>
      <c r="AI102" s="153"/>
      <c r="AJ102" s="153"/>
      <c r="AK102" s="153"/>
      <c r="AL102" s="153"/>
      <c r="AM102" s="153"/>
      <c r="AN102" s="153"/>
    </row>
    <row r="103" spans="1:40" x14ac:dyDescent="0.2">
      <c r="A103" s="493">
        <f t="shared" si="7"/>
        <v>84</v>
      </c>
      <c r="B103" s="286" t="str">
        <f>CONCATENATE('3. Consumption by Rate Class'!B108,"-",'3. Consumption by Rate Class'!C108)</f>
        <v>2017-December</v>
      </c>
      <c r="C103" s="324">
        <v>17776748</v>
      </c>
      <c r="D103" s="324">
        <v>32921.21222999999</v>
      </c>
      <c r="E103" s="324">
        <v>16956.199800000002</v>
      </c>
      <c r="F103" s="324">
        <v>469751.09999999992</v>
      </c>
      <c r="G103" s="329"/>
      <c r="H103" s="330"/>
      <c r="I103" s="330"/>
      <c r="J103" s="167">
        <f t="shared" si="6"/>
        <v>18296376.512030002</v>
      </c>
      <c r="K103" s="348">
        <f>+'5.Variables'!$N$23</f>
        <v>617.19999999999993</v>
      </c>
      <c r="L103" s="348">
        <f>+'5.Variables'!$N$33</f>
        <v>0</v>
      </c>
      <c r="M103" s="348">
        <f>+'5.Variables'!$N$44</f>
        <v>8.5</v>
      </c>
      <c r="N103" s="348">
        <f>+'5.Variables'!$N$55</f>
        <v>9363.5</v>
      </c>
      <c r="O103" s="348">
        <f>+'5.Variables'!$N$66</f>
        <v>31</v>
      </c>
      <c r="P103" s="348">
        <f>+'5.Variables'!$N$77</f>
        <v>1</v>
      </c>
      <c r="Q103" s="348">
        <f>+'5.Variables'!$N$87</f>
        <v>8</v>
      </c>
      <c r="R103" s="153"/>
      <c r="S103" s="167">
        <f t="shared" si="12"/>
        <v>18427831.906361904</v>
      </c>
      <c r="T103" s="168">
        <f>SUM(S92:S103)</f>
        <v>207071865.39865404</v>
      </c>
      <c r="U103" s="153"/>
      <c r="V103" s="153"/>
      <c r="W103" s="153"/>
      <c r="X103" s="153"/>
      <c r="Y103" s="177" t="s">
        <v>255</v>
      </c>
      <c r="Z103" s="153"/>
      <c r="AA103" s="153"/>
      <c r="AB103" s="153"/>
      <c r="AC103" s="153"/>
      <c r="AD103" s="153"/>
      <c r="AE103" s="153"/>
      <c r="AF103" s="153"/>
      <c r="AG103" s="153"/>
      <c r="AH103" s="153"/>
      <c r="AI103" s="153"/>
      <c r="AJ103" s="153"/>
      <c r="AK103" s="153"/>
      <c r="AL103" s="153"/>
      <c r="AM103" s="153"/>
      <c r="AN103" s="153"/>
    </row>
    <row r="104" spans="1:40" x14ac:dyDescent="0.2">
      <c r="A104" s="493">
        <f t="shared" si="7"/>
        <v>85</v>
      </c>
      <c r="B104" s="166" t="str">
        <f>CONCATENATE('3. Consumption by Rate Class'!B109,"-",'3. Consumption by Rate Class'!C109)</f>
        <v>2018-January</v>
      </c>
      <c r="C104" s="339"/>
      <c r="D104" s="175"/>
      <c r="E104" s="175"/>
      <c r="F104" s="175"/>
      <c r="G104" s="175"/>
      <c r="H104" s="175"/>
      <c r="I104" s="175"/>
      <c r="J104" s="154"/>
      <c r="K104" s="363">
        <f>AVERAGE(K20,K32,K44,K56,K68,K80,K92)</f>
        <v>623.80000000000007</v>
      </c>
      <c r="L104" s="363">
        <f>AVERAGE(L20,L32,L44,L56,L68,L80,L92)</f>
        <v>0</v>
      </c>
      <c r="M104" s="363">
        <f t="shared" ref="M104" si="13">AVERAGE(M20,M32,M44,M56,M68,M80,M92)</f>
        <v>9.1199999999999992</v>
      </c>
      <c r="N104" s="363">
        <f>$A104*$C$140+$D$140+U104</f>
        <v>9375.6326735513485</v>
      </c>
      <c r="O104" s="363">
        <f t="shared" ref="O104:P104" si="14">AVERAGE(O20,O32,O44,O56,O68,O80,O92)</f>
        <v>31</v>
      </c>
      <c r="P104" s="363">
        <f t="shared" si="14"/>
        <v>1</v>
      </c>
      <c r="Q104" s="363">
        <f>+Q103</f>
        <v>8</v>
      </c>
      <c r="R104" s="153"/>
      <c r="S104" s="167">
        <f t="shared" si="12"/>
        <v>18436840.706441246</v>
      </c>
      <c r="T104" s="168"/>
      <c r="U104" s="510">
        <v>-51</v>
      </c>
      <c r="V104" s="494">
        <f>AVERAGE(N104:N115)</f>
        <v>9441.4226021734012</v>
      </c>
      <c r="W104" s="494">
        <f>+'4. Customer Growth'!C33+'4. Customer Growth'!E33+'4. Customer Growth'!I33</f>
        <v>9443.5492188784738</v>
      </c>
      <c r="X104" s="494">
        <f>+V104-W104</f>
        <v>-2.1266167050725926</v>
      </c>
      <c r="Y104" s="511">
        <f>+N104-N103</f>
        <v>12.132673551348489</v>
      </c>
      <c r="Z104" s="153"/>
      <c r="AA104" s="153"/>
      <c r="AB104" s="153"/>
      <c r="AC104" s="153"/>
      <c r="AD104" s="153"/>
      <c r="AE104" s="153"/>
      <c r="AF104" s="153"/>
      <c r="AG104" s="153"/>
      <c r="AH104" s="153"/>
      <c r="AI104" s="153"/>
      <c r="AJ104" s="153"/>
      <c r="AK104" s="153"/>
      <c r="AL104" s="153"/>
      <c r="AM104" s="153"/>
      <c r="AN104" s="153"/>
    </row>
    <row r="105" spans="1:40" x14ac:dyDescent="0.2">
      <c r="A105" s="493">
        <f t="shared" si="7"/>
        <v>86</v>
      </c>
      <c r="B105" s="166" t="str">
        <f>CONCATENATE('3. Consumption by Rate Class'!B110,"-",'3. Consumption by Rate Class'!C110)</f>
        <v>2018-February</v>
      </c>
      <c r="C105" s="339"/>
      <c r="D105" s="175"/>
      <c r="E105" s="175"/>
      <c r="F105" s="175"/>
      <c r="G105" s="175"/>
      <c r="H105" s="175"/>
      <c r="I105" s="175"/>
      <c r="J105" s="154"/>
      <c r="K105" s="363">
        <f t="shared" ref="K105:L115" si="15">AVERAGE(K21,K33,K45,K57,K69,K81,K93)</f>
        <v>579.6</v>
      </c>
      <c r="L105" s="363">
        <f t="shared" si="15"/>
        <v>0</v>
      </c>
      <c r="M105" s="363">
        <f t="shared" ref="M105" si="16">AVERAGE(M21,M33,M45,M57,M69,M81,M93)</f>
        <v>10.200000000000001</v>
      </c>
      <c r="N105" s="363">
        <f t="shared" ref="N105:N127" si="17">$A105*$C$140+$D$140+U105</f>
        <v>9387.5944787553599</v>
      </c>
      <c r="O105" s="363">
        <f t="shared" ref="O105:P105" si="18">AVERAGE(O21,O33,O45,O57,O69,O81,O93)</f>
        <v>28.285714285714285</v>
      </c>
      <c r="P105" s="363">
        <f t="shared" si="18"/>
        <v>1</v>
      </c>
      <c r="Q105" s="363">
        <f t="shared" ref="Q105:Q127" si="19">+Q104</f>
        <v>8</v>
      </c>
      <c r="R105" s="153"/>
      <c r="S105" s="167">
        <f t="shared" si="12"/>
        <v>17064434.241147701</v>
      </c>
      <c r="T105" s="168"/>
      <c r="U105" s="510">
        <f t="shared" ref="U105:U115" si="20">+U104+$U$129</f>
        <v>-58.8</v>
      </c>
      <c r="V105" s="165"/>
      <c r="W105" s="165"/>
      <c r="X105" s="165"/>
      <c r="Y105" s="511">
        <f t="shared" ref="Y105:Y127" si="21">+N105-N104</f>
        <v>11.961805204011398</v>
      </c>
      <c r="Z105" s="153"/>
      <c r="AA105" s="153"/>
      <c r="AB105" s="153"/>
      <c r="AC105" s="153"/>
      <c r="AD105" s="153"/>
      <c r="AE105" s="153"/>
      <c r="AF105" s="153"/>
      <c r="AG105" s="153"/>
      <c r="AH105" s="153"/>
      <c r="AI105" s="153"/>
      <c r="AJ105" s="153"/>
      <c r="AK105" s="153"/>
      <c r="AL105" s="153"/>
      <c r="AM105" s="153"/>
      <c r="AN105" s="153"/>
    </row>
    <row r="106" spans="1:40" x14ac:dyDescent="0.2">
      <c r="A106" s="493">
        <f t="shared" si="7"/>
        <v>87</v>
      </c>
      <c r="B106" s="166" t="str">
        <f>CONCATENATE('3. Consumption by Rate Class'!B111,"-",'3. Consumption by Rate Class'!C111)</f>
        <v>2018-March</v>
      </c>
      <c r="C106" s="339"/>
      <c r="D106" s="175"/>
      <c r="E106" s="175"/>
      <c r="F106" s="175"/>
      <c r="G106" s="175"/>
      <c r="H106" s="175"/>
      <c r="I106" s="175"/>
      <c r="J106" s="154"/>
      <c r="K106" s="363">
        <f t="shared" si="15"/>
        <v>515.56428571428569</v>
      </c>
      <c r="L106" s="363">
        <f t="shared" si="15"/>
        <v>0</v>
      </c>
      <c r="M106" s="363">
        <f t="shared" ref="M106" si="22">AVERAGE(M22,M34,M46,M58,M70,M82,M94)</f>
        <v>11.5</v>
      </c>
      <c r="N106" s="363">
        <f t="shared" si="17"/>
        <v>9399.5562839593676</v>
      </c>
      <c r="O106" s="363">
        <f t="shared" ref="O106:P106" si="23">AVERAGE(O22,O34,O46,O58,O70,O82,O94)</f>
        <v>31</v>
      </c>
      <c r="P106" s="363">
        <f t="shared" si="23"/>
        <v>0</v>
      </c>
      <c r="Q106" s="363">
        <f t="shared" si="19"/>
        <v>8</v>
      </c>
      <c r="R106" s="153"/>
      <c r="S106" s="167">
        <f t="shared" si="12"/>
        <v>16461876.390266445</v>
      </c>
      <c r="T106" s="168"/>
      <c r="U106" s="510">
        <f t="shared" si="20"/>
        <v>-66.599999999999994</v>
      </c>
      <c r="V106" s="494"/>
      <c r="W106" s="494"/>
      <c r="X106" s="494"/>
      <c r="Y106" s="511">
        <f t="shared" si="21"/>
        <v>11.96180520400776</v>
      </c>
      <c r="Z106" s="153"/>
      <c r="AA106" s="153"/>
      <c r="AB106" s="153"/>
      <c r="AC106" s="153"/>
      <c r="AD106" s="153"/>
      <c r="AE106" s="153"/>
      <c r="AF106" s="153"/>
      <c r="AG106" s="153"/>
      <c r="AH106" s="153"/>
      <c r="AI106" s="153"/>
      <c r="AJ106" s="153"/>
      <c r="AK106" s="153"/>
      <c r="AL106" s="153"/>
      <c r="AM106" s="153"/>
      <c r="AN106" s="153"/>
    </row>
    <row r="107" spans="1:40" x14ac:dyDescent="0.2">
      <c r="A107" s="493">
        <f t="shared" si="7"/>
        <v>88</v>
      </c>
      <c r="B107" s="166" t="str">
        <f>CONCATENATE('3. Consumption by Rate Class'!B112,"-",'3. Consumption by Rate Class'!C112)</f>
        <v>2018-April</v>
      </c>
      <c r="C107" s="339"/>
      <c r="D107" s="175"/>
      <c r="E107" s="175"/>
      <c r="F107" s="175"/>
      <c r="G107" s="175"/>
      <c r="H107" s="175"/>
      <c r="I107" s="175"/>
      <c r="J107" s="154"/>
      <c r="K107" s="363">
        <f t="shared" si="15"/>
        <v>329.85714285714283</v>
      </c>
      <c r="L107" s="363">
        <f t="shared" si="15"/>
        <v>0</v>
      </c>
      <c r="M107" s="363">
        <f t="shared" ref="M107" si="24">AVERAGE(M23,M35,M47,M59,M71,M83,M95)</f>
        <v>13.260000000000002</v>
      </c>
      <c r="N107" s="363">
        <f t="shared" si="17"/>
        <v>9411.5180891633772</v>
      </c>
      <c r="O107" s="363">
        <f t="shared" ref="O107:P107" si="25">AVERAGE(O23,O35,O47,O59,O71,O83,O95)</f>
        <v>30</v>
      </c>
      <c r="P107" s="363">
        <f t="shared" si="25"/>
        <v>0</v>
      </c>
      <c r="Q107" s="363">
        <f t="shared" si="19"/>
        <v>8</v>
      </c>
      <c r="R107" s="153"/>
      <c r="S107" s="167">
        <f t="shared" si="12"/>
        <v>15411278.604196895</v>
      </c>
      <c r="T107" s="168"/>
      <c r="U107" s="510">
        <f t="shared" si="20"/>
        <v>-74.399999999999991</v>
      </c>
      <c r="V107" s="494"/>
      <c r="W107" s="494"/>
      <c r="X107" s="494"/>
      <c r="Y107" s="511">
        <f t="shared" si="21"/>
        <v>11.961805204009579</v>
      </c>
      <c r="Z107" s="153"/>
      <c r="AA107" s="153"/>
      <c r="AB107" s="153"/>
      <c r="AC107" s="153"/>
      <c r="AD107" s="153"/>
      <c r="AE107" s="153"/>
      <c r="AF107" s="153"/>
      <c r="AG107" s="153"/>
      <c r="AH107" s="153"/>
      <c r="AI107" s="153"/>
      <c r="AJ107" s="153"/>
      <c r="AK107" s="153"/>
      <c r="AL107" s="153"/>
      <c r="AM107" s="153"/>
      <c r="AN107" s="153"/>
    </row>
    <row r="108" spans="1:40" x14ac:dyDescent="0.2">
      <c r="A108" s="493">
        <f t="shared" si="7"/>
        <v>89</v>
      </c>
      <c r="B108" s="166" t="str">
        <f>CONCATENATE('3. Consumption by Rate Class'!B113,"-",'3. Consumption by Rate Class'!C113)</f>
        <v>2018-May</v>
      </c>
      <c r="C108" s="339"/>
      <c r="D108" s="175"/>
      <c r="E108" s="175"/>
      <c r="F108" s="175"/>
      <c r="G108" s="175"/>
      <c r="H108" s="176"/>
      <c r="I108" s="175"/>
      <c r="J108" s="154"/>
      <c r="K108" s="363">
        <f t="shared" si="15"/>
        <v>154.7428571428571</v>
      </c>
      <c r="L108" s="363">
        <f t="shared" si="15"/>
        <v>12.171428571428573</v>
      </c>
      <c r="M108" s="363">
        <f t="shared" ref="M108" si="26">AVERAGE(M24,M36,M48,M60,M72,M84,M96)</f>
        <v>14.47</v>
      </c>
      <c r="N108" s="363">
        <f t="shared" si="17"/>
        <v>9423.479894367385</v>
      </c>
      <c r="O108" s="363">
        <f t="shared" ref="O108:P108" si="27">AVERAGE(O24,O36,O48,O60,O72,O84,O96)</f>
        <v>31</v>
      </c>
      <c r="P108" s="363">
        <f t="shared" si="27"/>
        <v>0</v>
      </c>
      <c r="Q108" s="363">
        <f t="shared" si="19"/>
        <v>8</v>
      </c>
      <c r="R108" s="153"/>
      <c r="S108" s="167">
        <f t="shared" si="12"/>
        <v>15781858.084538575</v>
      </c>
      <c r="T108" s="168"/>
      <c r="U108" s="510">
        <f t="shared" si="20"/>
        <v>-82.199999999999989</v>
      </c>
      <c r="V108" s="494"/>
      <c r="W108" s="494"/>
      <c r="X108" s="494"/>
      <c r="Y108" s="511">
        <f t="shared" si="21"/>
        <v>11.96180520400776</v>
      </c>
      <c r="Z108" s="153"/>
      <c r="AA108" s="153"/>
      <c r="AB108" s="153"/>
      <c r="AC108" s="153"/>
      <c r="AD108" s="153"/>
      <c r="AE108" s="153"/>
      <c r="AF108" s="153"/>
      <c r="AG108" s="153"/>
      <c r="AH108" s="153"/>
      <c r="AI108" s="153"/>
      <c r="AJ108" s="153"/>
      <c r="AK108" s="153"/>
      <c r="AL108" s="153"/>
      <c r="AM108" s="153"/>
      <c r="AN108" s="153"/>
    </row>
    <row r="109" spans="1:40" x14ac:dyDescent="0.2">
      <c r="A109" s="493">
        <f t="shared" si="7"/>
        <v>90</v>
      </c>
      <c r="B109" s="166" t="str">
        <f>CONCATENATE('3. Consumption by Rate Class'!B114,"-",'3. Consumption by Rate Class'!C114)</f>
        <v>2018-June</v>
      </c>
      <c r="C109" s="339"/>
      <c r="D109" s="175"/>
      <c r="E109" s="175"/>
      <c r="F109" s="175"/>
      <c r="G109" s="175"/>
      <c r="H109" s="175"/>
      <c r="I109" s="175"/>
      <c r="J109" s="154"/>
      <c r="K109" s="363">
        <f t="shared" si="15"/>
        <v>31.342857142857145</v>
      </c>
      <c r="L109" s="363">
        <f t="shared" si="15"/>
        <v>54.771428571428579</v>
      </c>
      <c r="M109" s="363">
        <f t="shared" ref="M109" si="28">AVERAGE(M25,M37,M49,M61,M73,M85,M97)</f>
        <v>15.299999999999999</v>
      </c>
      <c r="N109" s="363">
        <f t="shared" si="17"/>
        <v>9435.4416995713964</v>
      </c>
      <c r="O109" s="363">
        <f t="shared" ref="O109:P109" si="29">AVERAGE(O25,O37,O49,O61,O73,O85,O97)</f>
        <v>30</v>
      </c>
      <c r="P109" s="363">
        <f t="shared" si="29"/>
        <v>1</v>
      </c>
      <c r="Q109" s="363">
        <f t="shared" si="19"/>
        <v>8</v>
      </c>
      <c r="R109" s="153"/>
      <c r="S109" s="167">
        <f t="shared" si="12"/>
        <v>18199389.98537882</v>
      </c>
      <c r="T109" s="168"/>
      <c r="U109" s="510">
        <f t="shared" si="20"/>
        <v>-89.999999999999986</v>
      </c>
      <c r="V109" s="494"/>
      <c r="W109" s="494"/>
      <c r="X109" s="494"/>
      <c r="Y109" s="511">
        <f t="shared" si="21"/>
        <v>11.961805204011398</v>
      </c>
      <c r="Z109" s="153"/>
      <c r="AA109" s="153"/>
      <c r="AB109" s="153"/>
      <c r="AC109" s="153"/>
      <c r="AD109" s="153"/>
      <c r="AE109" s="153"/>
      <c r="AF109" s="153"/>
      <c r="AG109" s="153"/>
      <c r="AH109" s="153"/>
      <c r="AI109" s="153"/>
      <c r="AJ109" s="153"/>
      <c r="AK109" s="153"/>
      <c r="AL109" s="153"/>
      <c r="AM109" s="153"/>
      <c r="AN109" s="153"/>
    </row>
    <row r="110" spans="1:40" x14ac:dyDescent="0.2">
      <c r="A110" s="493">
        <f t="shared" si="7"/>
        <v>91</v>
      </c>
      <c r="B110" s="166" t="str">
        <f>CONCATENATE('3. Consumption by Rate Class'!B115,"-",'3. Consumption by Rate Class'!C115)</f>
        <v>2018-July</v>
      </c>
      <c r="C110" s="339"/>
      <c r="D110" s="175"/>
      <c r="E110" s="175"/>
      <c r="F110" s="175"/>
      <c r="G110" s="175"/>
      <c r="H110" s="175"/>
      <c r="I110" s="175"/>
      <c r="J110" s="154"/>
      <c r="K110" s="363">
        <f t="shared" si="15"/>
        <v>0.91428571428571437</v>
      </c>
      <c r="L110" s="363">
        <f t="shared" si="15"/>
        <v>145.3857142857143</v>
      </c>
      <c r="M110" s="363">
        <f t="shared" ref="M110" si="30">AVERAGE(M26,M38,M50,M62,M74,M86,M98)</f>
        <v>15.11</v>
      </c>
      <c r="N110" s="363">
        <f t="shared" si="17"/>
        <v>9447.403504775406</v>
      </c>
      <c r="O110" s="363">
        <f t="shared" ref="O110:P110" si="31">AVERAGE(O26,O38,O50,O62,O74,O86,O98)</f>
        <v>31</v>
      </c>
      <c r="P110" s="363">
        <f t="shared" si="31"/>
        <v>1</v>
      </c>
      <c r="Q110" s="363">
        <f t="shared" si="19"/>
        <v>8</v>
      </c>
      <c r="R110" s="153"/>
      <c r="S110" s="167">
        <f t="shared" si="12"/>
        <v>22106349.720322128</v>
      </c>
      <c r="T110" s="168"/>
      <c r="U110" s="510">
        <f t="shared" si="20"/>
        <v>-97.799999999999983</v>
      </c>
      <c r="V110" s="494"/>
      <c r="W110" s="494"/>
      <c r="X110" s="494"/>
      <c r="Y110" s="511">
        <f t="shared" si="21"/>
        <v>11.961805204009579</v>
      </c>
      <c r="Z110" s="153"/>
      <c r="AA110" s="153"/>
      <c r="AB110" s="153"/>
      <c r="AC110" s="153"/>
      <c r="AD110" s="153"/>
      <c r="AE110" s="153"/>
      <c r="AF110" s="153"/>
      <c r="AG110" s="153"/>
      <c r="AH110" s="153"/>
      <c r="AI110" s="153"/>
      <c r="AJ110" s="153"/>
      <c r="AK110" s="153"/>
      <c r="AL110" s="153"/>
      <c r="AM110" s="153"/>
      <c r="AN110" s="153"/>
    </row>
    <row r="111" spans="1:40" x14ac:dyDescent="0.2">
      <c r="A111" s="493">
        <f t="shared" si="7"/>
        <v>92</v>
      </c>
      <c r="B111" s="166" t="str">
        <f>CONCATENATE('3. Consumption by Rate Class'!B116,"-",'3. Consumption by Rate Class'!C116)</f>
        <v>2018-August</v>
      </c>
      <c r="C111" s="339"/>
      <c r="D111" s="175"/>
      <c r="E111" s="175"/>
      <c r="F111" s="175"/>
      <c r="G111" s="175"/>
      <c r="H111" s="175"/>
      <c r="I111" s="175"/>
      <c r="J111" s="154"/>
      <c r="K111" s="363">
        <f t="shared" si="15"/>
        <v>0.48571428571428571</v>
      </c>
      <c r="L111" s="363">
        <f t="shared" si="15"/>
        <v>127.80714285714284</v>
      </c>
      <c r="M111" s="363">
        <f t="shared" ref="M111" si="32">AVERAGE(M27,M39,M51,M63,M75,M87,M99)</f>
        <v>14</v>
      </c>
      <c r="N111" s="363">
        <f t="shared" si="17"/>
        <v>9459.3653099794137</v>
      </c>
      <c r="O111" s="363">
        <f t="shared" ref="O111:P111" si="33">AVERAGE(O27,O39,O51,O63,O75,O87,O99)</f>
        <v>31</v>
      </c>
      <c r="P111" s="363">
        <f t="shared" si="33"/>
        <v>1</v>
      </c>
      <c r="Q111" s="363">
        <f t="shared" si="19"/>
        <v>8</v>
      </c>
      <c r="R111" s="153"/>
      <c r="S111" s="167">
        <f t="shared" si="12"/>
        <v>21481191.85210279</v>
      </c>
      <c r="T111" s="168"/>
      <c r="U111" s="510">
        <f t="shared" si="20"/>
        <v>-105.59999999999998</v>
      </c>
      <c r="V111" s="494"/>
      <c r="W111" s="494"/>
      <c r="X111" s="494"/>
      <c r="Y111" s="511">
        <f t="shared" si="21"/>
        <v>11.96180520400776</v>
      </c>
      <c r="Z111" s="153"/>
      <c r="AA111" s="153"/>
      <c r="AB111" s="153"/>
      <c r="AC111" s="153"/>
      <c r="AD111" s="153"/>
      <c r="AE111" s="153"/>
      <c r="AF111" s="153"/>
      <c r="AG111" s="153"/>
      <c r="AH111" s="153"/>
      <c r="AI111" s="153"/>
      <c r="AJ111" s="153"/>
      <c r="AK111" s="153"/>
      <c r="AL111" s="153"/>
      <c r="AM111" s="153"/>
      <c r="AN111" s="153"/>
    </row>
    <row r="112" spans="1:40" x14ac:dyDescent="0.2">
      <c r="A112" s="493">
        <f t="shared" si="7"/>
        <v>93</v>
      </c>
      <c r="B112" s="166" t="str">
        <f>CONCATENATE('3. Consumption by Rate Class'!B117,"-",'3. Consumption by Rate Class'!C117)</f>
        <v>2018-September</v>
      </c>
      <c r="C112" s="339"/>
      <c r="D112" s="175"/>
      <c r="E112" s="175"/>
      <c r="F112" s="175"/>
      <c r="G112" s="175"/>
      <c r="H112" s="175"/>
      <c r="I112" s="175"/>
      <c r="J112" s="154"/>
      <c r="K112" s="363">
        <f t="shared" si="15"/>
        <v>31.342857142857145</v>
      </c>
      <c r="L112" s="363">
        <f t="shared" si="15"/>
        <v>57.028571428571418</v>
      </c>
      <c r="M112" s="363">
        <f t="shared" ref="M112" si="34">AVERAGE(M28,M40,M52,M64,M76,M88,M100)</f>
        <v>12.269999999999998</v>
      </c>
      <c r="N112" s="363">
        <f t="shared" si="17"/>
        <v>9471.3271151834251</v>
      </c>
      <c r="O112" s="363">
        <f t="shared" ref="O112:P112" si="35">AVERAGE(O28,O40,O52,O64,O76,O88,O100)</f>
        <v>30</v>
      </c>
      <c r="P112" s="363">
        <f t="shared" si="35"/>
        <v>0</v>
      </c>
      <c r="Q112" s="363">
        <f t="shared" si="19"/>
        <v>8</v>
      </c>
      <c r="R112" s="153"/>
      <c r="S112" s="167">
        <f t="shared" si="12"/>
        <v>16867391.10311234</v>
      </c>
      <c r="T112" s="168"/>
      <c r="U112" s="510">
        <f t="shared" si="20"/>
        <v>-113.39999999999998</v>
      </c>
      <c r="V112" s="494"/>
      <c r="W112" s="494"/>
      <c r="X112" s="494"/>
      <c r="Y112" s="511">
        <f t="shared" si="21"/>
        <v>11.961805204011398</v>
      </c>
      <c r="Z112" s="153"/>
      <c r="AA112" s="153"/>
      <c r="AB112" s="153"/>
      <c r="AC112" s="153"/>
      <c r="AD112" s="153"/>
      <c r="AE112" s="153"/>
      <c r="AF112" s="153"/>
      <c r="AG112" s="153"/>
      <c r="AH112" s="153"/>
      <c r="AI112" s="153"/>
      <c r="AJ112" s="153"/>
      <c r="AK112" s="153"/>
      <c r="AL112" s="153"/>
      <c r="AM112" s="153"/>
      <c r="AN112" s="153"/>
    </row>
    <row r="113" spans="1:40" x14ac:dyDescent="0.2">
      <c r="A113" s="493">
        <f t="shared" si="7"/>
        <v>94</v>
      </c>
      <c r="B113" s="166" t="str">
        <f>CONCATENATE('3. Consumption by Rate Class'!B118,"-",'3. Consumption by Rate Class'!C118)</f>
        <v>2018-October</v>
      </c>
      <c r="C113" s="339"/>
      <c r="D113" s="175"/>
      <c r="E113" s="175"/>
      <c r="F113" s="175"/>
      <c r="G113" s="175"/>
      <c r="H113" s="175"/>
      <c r="I113" s="175"/>
      <c r="J113" s="154"/>
      <c r="K113" s="363">
        <f t="shared" si="15"/>
        <v>161.98571428571429</v>
      </c>
      <c r="L113" s="363">
        <f t="shared" si="15"/>
        <v>6.6214285714285719</v>
      </c>
      <c r="M113" s="363">
        <f t="shared" ref="M113" si="36">AVERAGE(M29,M41,M53,M65,M77,M89,M101)</f>
        <v>10.519999999999998</v>
      </c>
      <c r="N113" s="363">
        <f t="shared" si="17"/>
        <v>9483.2889203874329</v>
      </c>
      <c r="O113" s="363">
        <f t="shared" ref="O113:P113" si="37">AVERAGE(O29,O41,O53,O65,O77,O89,O101)</f>
        <v>31</v>
      </c>
      <c r="P113" s="363">
        <f t="shared" si="37"/>
        <v>0</v>
      </c>
      <c r="Q113" s="363">
        <f t="shared" si="19"/>
        <v>8</v>
      </c>
      <c r="R113" s="153"/>
      <c r="S113" s="167">
        <f t="shared" si="12"/>
        <v>15823152.109021243</v>
      </c>
      <c r="T113" s="168"/>
      <c r="U113" s="510">
        <f t="shared" si="20"/>
        <v>-121.19999999999997</v>
      </c>
      <c r="V113" s="494"/>
      <c r="W113" s="494"/>
      <c r="X113" s="494"/>
      <c r="Y113" s="511">
        <f t="shared" si="21"/>
        <v>11.96180520400776</v>
      </c>
      <c r="Z113" s="153"/>
      <c r="AA113" s="153"/>
      <c r="AB113" s="153"/>
      <c r="AC113" s="153"/>
      <c r="AD113" s="153"/>
      <c r="AE113" s="153"/>
      <c r="AF113" s="153"/>
      <c r="AG113" s="153"/>
      <c r="AH113" s="153"/>
      <c r="AI113" s="153"/>
      <c r="AJ113" s="153"/>
      <c r="AK113" s="153"/>
      <c r="AL113" s="153"/>
      <c r="AM113" s="153"/>
      <c r="AN113" s="153"/>
    </row>
    <row r="114" spans="1:40" x14ac:dyDescent="0.2">
      <c r="A114" s="493">
        <f t="shared" ref="A114:A127" si="38">+A113+1</f>
        <v>95</v>
      </c>
      <c r="B114" s="166" t="str">
        <f>CONCATENATE('3. Consumption by Rate Class'!B119,"-",'3. Consumption by Rate Class'!C119)</f>
        <v>2018-November</v>
      </c>
      <c r="C114" s="339"/>
      <c r="D114" s="175"/>
      <c r="E114" s="175"/>
      <c r="F114" s="175"/>
      <c r="G114" s="175"/>
      <c r="H114" s="175"/>
      <c r="I114" s="175"/>
      <c r="J114" s="154"/>
      <c r="K114" s="363">
        <f t="shared" si="15"/>
        <v>348.2714285714286</v>
      </c>
      <c r="L114" s="363">
        <f t="shared" si="15"/>
        <v>0</v>
      </c>
      <c r="M114" s="363">
        <f t="shared" ref="M114" si="39">AVERAGE(M30,M42,M54,M66,M78,M90,M102)</f>
        <v>9.31</v>
      </c>
      <c r="N114" s="363">
        <f t="shared" si="17"/>
        <v>9495.2507255914425</v>
      </c>
      <c r="O114" s="363">
        <f t="shared" ref="O114:P114" si="40">AVERAGE(O30,O42,O54,O66,O78,O90,O102)</f>
        <v>30</v>
      </c>
      <c r="P114" s="363">
        <f t="shared" si="40"/>
        <v>0</v>
      </c>
      <c r="Q114" s="363">
        <f t="shared" si="19"/>
        <v>8</v>
      </c>
      <c r="R114" s="153"/>
      <c r="S114" s="167">
        <f t="shared" si="12"/>
        <v>15731076.53705512</v>
      </c>
      <c r="T114" s="168"/>
      <c r="U114" s="510">
        <f t="shared" si="20"/>
        <v>-128.99999999999997</v>
      </c>
      <c r="V114" s="494"/>
      <c r="W114" s="494"/>
      <c r="X114" s="494"/>
      <c r="Y114" s="511">
        <f t="shared" si="21"/>
        <v>11.961805204009579</v>
      </c>
      <c r="Z114" s="153"/>
      <c r="AA114" s="153"/>
      <c r="AB114" s="153"/>
      <c r="AC114" s="153"/>
      <c r="AD114" s="153"/>
      <c r="AE114" s="153"/>
      <c r="AF114" s="153"/>
      <c r="AG114" s="153"/>
      <c r="AH114" s="153"/>
      <c r="AI114" s="153"/>
      <c r="AJ114" s="153"/>
      <c r="AK114" s="153"/>
      <c r="AL114" s="153"/>
      <c r="AM114" s="153"/>
      <c r="AN114" s="153"/>
    </row>
    <row r="115" spans="1:40" x14ac:dyDescent="0.2">
      <c r="A115" s="493">
        <f t="shared" si="38"/>
        <v>96</v>
      </c>
      <c r="B115" s="166" t="str">
        <f>CONCATENATE('3. Consumption by Rate Class'!B120,"-",'3. Consumption by Rate Class'!C120)</f>
        <v>2018-December</v>
      </c>
      <c r="C115" s="339"/>
      <c r="D115" s="175"/>
      <c r="E115" s="175"/>
      <c r="F115" s="175"/>
      <c r="G115" s="175"/>
      <c r="H115" s="175"/>
      <c r="I115" s="175"/>
      <c r="J115" s="154"/>
      <c r="K115" s="363">
        <f t="shared" si="15"/>
        <v>510.78571428571422</v>
      </c>
      <c r="L115" s="363">
        <f t="shared" si="15"/>
        <v>0</v>
      </c>
      <c r="M115" s="363">
        <f t="shared" ref="M115" si="41">AVERAGE(M31,M43,M55,M67,M79,M91,M103)</f>
        <v>8.5</v>
      </c>
      <c r="N115" s="363">
        <f t="shared" si="17"/>
        <v>9507.212530795452</v>
      </c>
      <c r="O115" s="363">
        <f t="shared" ref="O115:P115" si="42">AVERAGE(O31,O43,O55,O67,O79,O91,O103)</f>
        <v>31</v>
      </c>
      <c r="P115" s="363">
        <f t="shared" si="42"/>
        <v>1</v>
      </c>
      <c r="Q115" s="363">
        <f t="shared" si="19"/>
        <v>8</v>
      </c>
      <c r="R115" s="153"/>
      <c r="S115" s="167">
        <f t="shared" si="12"/>
        <v>18292616.361568589</v>
      </c>
      <c r="T115" s="168">
        <f>SUM(S104:S115)</f>
        <v>211657455.6951519</v>
      </c>
      <c r="U115" s="510">
        <f t="shared" si="20"/>
        <v>-136.79999999999998</v>
      </c>
      <c r="V115" s="494"/>
      <c r="W115" s="494"/>
      <c r="X115" s="494"/>
      <c r="Y115" s="511">
        <f t="shared" si="21"/>
        <v>11.961805204009579</v>
      </c>
      <c r="Z115" s="153"/>
      <c r="AA115" s="153"/>
      <c r="AB115" s="153"/>
      <c r="AC115" s="153"/>
      <c r="AD115" s="153"/>
      <c r="AE115" s="153"/>
      <c r="AF115" s="153"/>
      <c r="AG115" s="153"/>
      <c r="AH115" s="153"/>
      <c r="AI115" s="153"/>
      <c r="AJ115" s="153"/>
      <c r="AK115" s="153"/>
      <c r="AL115" s="153"/>
      <c r="AM115" s="153"/>
      <c r="AN115" s="153"/>
    </row>
    <row r="116" spans="1:40" x14ac:dyDescent="0.2">
      <c r="A116" s="493">
        <f t="shared" si="38"/>
        <v>97</v>
      </c>
      <c r="B116" s="166" t="str">
        <f>CONCATENATE('3. Consumption by Rate Class'!B121,"-",'3. Consumption by Rate Class'!C121)</f>
        <v>2019-January</v>
      </c>
      <c r="C116" s="339"/>
      <c r="D116" s="175"/>
      <c r="E116" s="175"/>
      <c r="F116" s="175"/>
      <c r="G116" s="175"/>
      <c r="H116" s="175"/>
      <c r="I116" s="175"/>
      <c r="J116" s="154"/>
      <c r="K116" s="363">
        <f>+K104</f>
        <v>623.80000000000007</v>
      </c>
      <c r="L116" s="363">
        <f>+L104</f>
        <v>0</v>
      </c>
      <c r="M116" s="363">
        <f t="shared" ref="M116" si="43">+M104</f>
        <v>9.1199999999999992</v>
      </c>
      <c r="N116" s="363">
        <f t="shared" si="17"/>
        <v>9524.7243359994627</v>
      </c>
      <c r="O116" s="363">
        <f t="shared" ref="O116:P116" si="44">+O104</f>
        <v>31</v>
      </c>
      <c r="P116" s="363">
        <f t="shared" si="44"/>
        <v>1</v>
      </c>
      <c r="Q116" s="363">
        <f t="shared" si="19"/>
        <v>8</v>
      </c>
      <c r="R116" s="153"/>
      <c r="S116" s="167">
        <f t="shared" si="12"/>
        <v>18621368.530388478</v>
      </c>
      <c r="T116" s="168"/>
      <c r="U116" s="510">
        <f>+U115+$U$130</f>
        <v>-139.04999999999998</v>
      </c>
      <c r="V116" s="494">
        <f>AVERAGE(N116:N127)</f>
        <v>9621.0392646215132</v>
      </c>
      <c r="W116" s="494">
        <f>+'4. Customer Growth'!C34+'4. Customer Growth'!E34+'4. Customer Growth'!I34</f>
        <v>9625.0416666666661</v>
      </c>
      <c r="X116" s="494">
        <f>+V116-W116</f>
        <v>-4.0024020451528486</v>
      </c>
      <c r="Y116" s="511">
        <f t="shared" si="21"/>
        <v>17.51180520401067</v>
      </c>
      <c r="Z116" s="153"/>
      <c r="AA116" s="153"/>
      <c r="AB116" s="153"/>
      <c r="AC116" s="153"/>
      <c r="AD116" s="153"/>
      <c r="AE116" s="153"/>
      <c r="AF116" s="153"/>
      <c r="AG116" s="153"/>
      <c r="AH116" s="153"/>
      <c r="AI116" s="153"/>
      <c r="AJ116" s="153"/>
      <c r="AK116" s="153"/>
      <c r="AL116" s="153"/>
      <c r="AM116" s="153"/>
      <c r="AN116" s="153"/>
    </row>
    <row r="117" spans="1:40" x14ac:dyDescent="0.2">
      <c r="A117" s="493">
        <f t="shared" si="38"/>
        <v>98</v>
      </c>
      <c r="B117" s="166" t="str">
        <f>CONCATENATE('3. Consumption by Rate Class'!B122,"-",'3. Consumption by Rate Class'!C122)</f>
        <v>2019-February</v>
      </c>
      <c r="C117" s="339"/>
      <c r="D117" s="175"/>
      <c r="E117" s="175"/>
      <c r="F117" s="175"/>
      <c r="G117" s="175"/>
      <c r="H117" s="175"/>
      <c r="I117" s="175"/>
      <c r="J117" s="154"/>
      <c r="K117" s="363">
        <f t="shared" ref="K117:L127" si="45">+K105</f>
        <v>579.6</v>
      </c>
      <c r="L117" s="363">
        <f t="shared" si="45"/>
        <v>0</v>
      </c>
      <c r="M117" s="363">
        <f t="shared" ref="M117" si="46">+M105</f>
        <v>10.200000000000001</v>
      </c>
      <c r="N117" s="363">
        <f t="shared" si="17"/>
        <v>9542.2361412034716</v>
      </c>
      <c r="O117" s="363">
        <f t="shared" ref="O117:P117" si="47">+O105</f>
        <v>28.285714285714285</v>
      </c>
      <c r="P117" s="363">
        <f t="shared" si="47"/>
        <v>1</v>
      </c>
      <c r="Q117" s="363">
        <f t="shared" si="19"/>
        <v>8</v>
      </c>
      <c r="R117" s="153"/>
      <c r="S117" s="167">
        <f t="shared" si="12"/>
        <v>17255831.191148598</v>
      </c>
      <c r="T117" s="168"/>
      <c r="U117" s="510">
        <f t="shared" ref="U117:U127" si="48">+U116+$U$130</f>
        <v>-141.29999999999998</v>
      </c>
      <c r="V117" s="494"/>
      <c r="W117" s="494"/>
      <c r="X117" s="494"/>
      <c r="Y117" s="511">
        <f t="shared" si="21"/>
        <v>17.511805204008851</v>
      </c>
      <c r="Z117" s="153"/>
      <c r="AA117" s="153"/>
      <c r="AB117" s="153"/>
      <c r="AC117" s="153"/>
      <c r="AD117" s="153"/>
      <c r="AE117" s="153"/>
      <c r="AF117" s="153"/>
      <c r="AG117" s="153"/>
      <c r="AH117" s="153"/>
      <c r="AI117" s="153"/>
      <c r="AJ117" s="153"/>
      <c r="AK117" s="153"/>
      <c r="AL117" s="153"/>
      <c r="AM117" s="153"/>
      <c r="AN117" s="153"/>
    </row>
    <row r="118" spans="1:40" x14ac:dyDescent="0.2">
      <c r="A118" s="493">
        <f t="shared" si="38"/>
        <v>99</v>
      </c>
      <c r="B118" s="166" t="str">
        <f>CONCATENATE('3. Consumption by Rate Class'!B123,"-",'3. Consumption by Rate Class'!C123)</f>
        <v>2019-March</v>
      </c>
      <c r="C118" s="339"/>
      <c r="D118" s="175"/>
      <c r="E118" s="175"/>
      <c r="F118" s="175"/>
      <c r="G118" s="175"/>
      <c r="H118" s="175"/>
      <c r="I118" s="175"/>
      <c r="J118" s="154"/>
      <c r="K118" s="363">
        <f t="shared" si="45"/>
        <v>515.56428571428569</v>
      </c>
      <c r="L118" s="363">
        <f t="shared" si="45"/>
        <v>0</v>
      </c>
      <c r="M118" s="363">
        <f t="shared" ref="M118" si="49">+M106</f>
        <v>11.5</v>
      </c>
      <c r="N118" s="363">
        <f t="shared" si="17"/>
        <v>9559.7479464074804</v>
      </c>
      <c r="O118" s="363">
        <f t="shared" ref="O118:P118" si="50">+O106</f>
        <v>31</v>
      </c>
      <c r="P118" s="363">
        <f t="shared" si="50"/>
        <v>0</v>
      </c>
      <c r="Q118" s="363">
        <f t="shared" si="19"/>
        <v>8</v>
      </c>
      <c r="R118" s="153"/>
      <c r="S118" s="167">
        <f t="shared" si="12"/>
        <v>16660142.466321014</v>
      </c>
      <c r="T118" s="168"/>
      <c r="U118" s="510">
        <f t="shared" si="48"/>
        <v>-143.54999999999998</v>
      </c>
      <c r="V118" s="494"/>
      <c r="W118" s="494"/>
      <c r="X118" s="494"/>
      <c r="Y118" s="511">
        <f t="shared" si="21"/>
        <v>17.511805204008851</v>
      </c>
      <c r="Z118" s="153"/>
      <c r="AA118" s="153"/>
      <c r="AB118" s="153"/>
      <c r="AC118" s="153"/>
      <c r="AD118" s="153"/>
      <c r="AE118" s="153"/>
      <c r="AF118" s="153"/>
      <c r="AG118" s="153"/>
      <c r="AH118" s="153"/>
      <c r="AI118" s="153"/>
      <c r="AJ118" s="153"/>
      <c r="AK118" s="153"/>
      <c r="AL118" s="153"/>
      <c r="AM118" s="153"/>
      <c r="AN118" s="153"/>
    </row>
    <row r="119" spans="1:40" x14ac:dyDescent="0.2">
      <c r="A119" s="493">
        <f t="shared" si="38"/>
        <v>100</v>
      </c>
      <c r="B119" s="166" t="str">
        <f>CONCATENATE('3. Consumption by Rate Class'!B124,"-",'3. Consumption by Rate Class'!C124)</f>
        <v>2019-April</v>
      </c>
      <c r="C119" s="339"/>
      <c r="D119" s="175"/>
      <c r="E119" s="175"/>
      <c r="F119" s="175"/>
      <c r="G119" s="175"/>
      <c r="H119" s="175"/>
      <c r="I119" s="175"/>
      <c r="J119" s="154"/>
      <c r="K119" s="363">
        <f t="shared" si="45"/>
        <v>329.85714285714283</v>
      </c>
      <c r="L119" s="363">
        <f t="shared" si="45"/>
        <v>0</v>
      </c>
      <c r="M119" s="363">
        <f t="shared" ref="M119" si="51">+M107</f>
        <v>13.260000000000002</v>
      </c>
      <c r="N119" s="363">
        <f t="shared" si="17"/>
        <v>9577.2597516114893</v>
      </c>
      <c r="O119" s="363">
        <f t="shared" ref="O119:P119" si="52">+O107</f>
        <v>30</v>
      </c>
      <c r="P119" s="363">
        <f t="shared" si="52"/>
        <v>0</v>
      </c>
      <c r="Q119" s="363">
        <f t="shared" si="19"/>
        <v>8</v>
      </c>
      <c r="R119" s="153"/>
      <c r="S119" s="167">
        <f t="shared" si="12"/>
        <v>15616413.806305131</v>
      </c>
      <c r="T119" s="168"/>
      <c r="U119" s="510">
        <f t="shared" si="48"/>
        <v>-145.79999999999998</v>
      </c>
      <c r="V119" s="494"/>
      <c r="W119" s="494"/>
      <c r="X119" s="494"/>
      <c r="Y119" s="511">
        <f t="shared" si="21"/>
        <v>17.511805204008851</v>
      </c>
      <c r="Z119" s="153"/>
      <c r="AA119" s="153"/>
      <c r="AB119" s="153"/>
      <c r="AC119" s="153"/>
      <c r="AD119" s="153"/>
      <c r="AE119" s="153"/>
      <c r="AF119" s="153"/>
      <c r="AG119" s="153"/>
      <c r="AH119" s="153"/>
      <c r="AI119" s="153"/>
      <c r="AJ119" s="153"/>
      <c r="AK119" s="153"/>
      <c r="AL119" s="153"/>
      <c r="AM119" s="153"/>
      <c r="AN119" s="153"/>
    </row>
    <row r="120" spans="1:40" x14ac:dyDescent="0.2">
      <c r="A120" s="493">
        <f t="shared" si="38"/>
        <v>101</v>
      </c>
      <c r="B120" s="166" t="str">
        <f>CONCATENATE('3. Consumption by Rate Class'!B125,"-",'3. Consumption by Rate Class'!C125)</f>
        <v>2019-May</v>
      </c>
      <c r="C120" s="339"/>
      <c r="D120" s="175"/>
      <c r="E120" s="175"/>
      <c r="F120" s="175"/>
      <c r="G120" s="175"/>
      <c r="H120" s="175"/>
      <c r="I120" s="175"/>
      <c r="J120" s="154"/>
      <c r="K120" s="363">
        <f t="shared" si="45"/>
        <v>154.7428571428571</v>
      </c>
      <c r="L120" s="363">
        <f t="shared" si="45"/>
        <v>12.171428571428573</v>
      </c>
      <c r="M120" s="363">
        <f t="shared" ref="M120" si="53">+M108</f>
        <v>14.47</v>
      </c>
      <c r="N120" s="363">
        <f t="shared" si="17"/>
        <v>9594.7715568154999</v>
      </c>
      <c r="O120" s="363">
        <f t="shared" ref="O120:P120" si="54">+O108</f>
        <v>31</v>
      </c>
      <c r="P120" s="363">
        <f t="shared" si="54"/>
        <v>0</v>
      </c>
      <c r="Q120" s="363">
        <f t="shared" si="19"/>
        <v>8</v>
      </c>
      <c r="R120" s="153"/>
      <c r="S120" s="167">
        <f t="shared" si="12"/>
        <v>15993862.412700485</v>
      </c>
      <c r="T120" s="168"/>
      <c r="U120" s="510">
        <f t="shared" si="48"/>
        <v>-148.04999999999998</v>
      </c>
      <c r="V120" s="153"/>
      <c r="W120" s="153"/>
      <c r="X120" s="153"/>
      <c r="Y120" s="511">
        <f t="shared" si="21"/>
        <v>17.51180520401067</v>
      </c>
      <c r="Z120" s="153"/>
      <c r="AA120" s="153"/>
      <c r="AB120" s="153"/>
      <c r="AC120" s="153"/>
      <c r="AD120" s="153"/>
      <c r="AE120" s="153"/>
      <c r="AF120" s="153"/>
      <c r="AG120" s="153"/>
      <c r="AH120" s="153"/>
      <c r="AI120" s="153"/>
      <c r="AJ120" s="153"/>
      <c r="AK120" s="153"/>
      <c r="AL120" s="153"/>
      <c r="AM120" s="153"/>
      <c r="AN120" s="153"/>
    </row>
    <row r="121" spans="1:40" x14ac:dyDescent="0.2">
      <c r="A121" s="493">
        <f t="shared" si="38"/>
        <v>102</v>
      </c>
      <c r="B121" s="166" t="str">
        <f>CONCATENATE('3. Consumption by Rate Class'!B126,"-",'3. Consumption by Rate Class'!C126)</f>
        <v>2019-June</v>
      </c>
      <c r="C121" s="339"/>
      <c r="D121" s="175"/>
      <c r="E121" s="175"/>
      <c r="F121" s="175"/>
      <c r="G121" s="175"/>
      <c r="H121" s="175"/>
      <c r="I121" s="175"/>
      <c r="J121" s="154"/>
      <c r="K121" s="363">
        <f t="shared" si="45"/>
        <v>31.342857142857145</v>
      </c>
      <c r="L121" s="363">
        <f t="shared" si="45"/>
        <v>54.771428571428579</v>
      </c>
      <c r="M121" s="363">
        <f t="shared" ref="M121" si="55">+M109</f>
        <v>15.299999999999999</v>
      </c>
      <c r="N121" s="363">
        <f t="shared" si="17"/>
        <v>9612.2833620195088</v>
      </c>
      <c r="O121" s="363">
        <f t="shared" ref="O121:P121" si="56">+O109</f>
        <v>30</v>
      </c>
      <c r="P121" s="363">
        <f t="shared" si="56"/>
        <v>1</v>
      </c>
      <c r="Q121" s="363">
        <f t="shared" si="19"/>
        <v>8</v>
      </c>
      <c r="R121" s="153"/>
      <c r="S121" s="167">
        <f t="shared" si="12"/>
        <v>18418263.439594395</v>
      </c>
      <c r="T121" s="168"/>
      <c r="U121" s="510">
        <f t="shared" si="48"/>
        <v>-150.29999999999998</v>
      </c>
      <c r="Y121" s="511">
        <f t="shared" si="21"/>
        <v>17.511805204008851</v>
      </c>
      <c r="AB121" s="153"/>
      <c r="AC121" s="153"/>
      <c r="AD121" s="153"/>
      <c r="AE121" s="153"/>
      <c r="AF121" s="153"/>
      <c r="AG121" s="153"/>
      <c r="AH121" s="153"/>
      <c r="AI121" s="153"/>
      <c r="AJ121" s="153"/>
      <c r="AK121" s="153"/>
      <c r="AL121" s="153"/>
      <c r="AM121" s="153"/>
      <c r="AN121" s="153"/>
    </row>
    <row r="122" spans="1:40" x14ac:dyDescent="0.2">
      <c r="A122" s="493">
        <f t="shared" si="38"/>
        <v>103</v>
      </c>
      <c r="B122" s="166" t="str">
        <f>CONCATENATE('3. Consumption by Rate Class'!B127,"-",'3. Consumption by Rate Class'!C127)</f>
        <v>2019-July</v>
      </c>
      <c r="C122" s="339"/>
      <c r="D122" s="175"/>
      <c r="E122" s="175"/>
      <c r="F122" s="175"/>
      <c r="G122" s="175"/>
      <c r="H122" s="175"/>
      <c r="I122" s="175"/>
      <c r="J122" s="154"/>
      <c r="K122" s="363">
        <f t="shared" si="45"/>
        <v>0.91428571428571437</v>
      </c>
      <c r="L122" s="363">
        <f t="shared" si="45"/>
        <v>145.3857142857143</v>
      </c>
      <c r="M122" s="363">
        <f t="shared" ref="M122" si="57">+M110</f>
        <v>15.11</v>
      </c>
      <c r="N122" s="363">
        <f t="shared" si="17"/>
        <v>9629.7951672235176</v>
      </c>
      <c r="O122" s="363">
        <f t="shared" ref="O122:P122" si="58">+O110</f>
        <v>31</v>
      </c>
      <c r="P122" s="363">
        <f t="shared" si="58"/>
        <v>1</v>
      </c>
      <c r="Q122" s="363">
        <f t="shared" si="19"/>
        <v>8</v>
      </c>
      <c r="R122" s="153"/>
      <c r="S122" s="167">
        <f t="shared" si="12"/>
        <v>22332092.300591372</v>
      </c>
      <c r="T122" s="168"/>
      <c r="U122" s="510">
        <f t="shared" si="48"/>
        <v>-152.54999999999998</v>
      </c>
      <c r="Y122" s="511">
        <f t="shared" si="21"/>
        <v>17.511805204008851</v>
      </c>
      <c r="AB122" s="153"/>
      <c r="AC122" s="153"/>
      <c r="AD122" s="153"/>
      <c r="AE122" s="153"/>
      <c r="AF122" s="153"/>
      <c r="AG122" s="153"/>
      <c r="AH122" s="153"/>
      <c r="AI122" s="153"/>
      <c r="AJ122" s="153"/>
      <c r="AK122" s="153"/>
      <c r="AL122" s="153"/>
      <c r="AM122" s="153"/>
      <c r="AN122" s="153"/>
    </row>
    <row r="123" spans="1:40" x14ac:dyDescent="0.2">
      <c r="A123" s="493">
        <f t="shared" si="38"/>
        <v>104</v>
      </c>
      <c r="B123" s="166" t="str">
        <f>CONCATENATE('3. Consumption by Rate Class'!B128,"-",'3. Consumption by Rate Class'!C128)</f>
        <v>2019-August</v>
      </c>
      <c r="C123" s="339"/>
      <c r="D123" s="175"/>
      <c r="E123" s="175"/>
      <c r="F123" s="175"/>
      <c r="G123" s="175"/>
      <c r="H123" s="175"/>
      <c r="I123" s="175"/>
      <c r="J123" s="154"/>
      <c r="K123" s="363">
        <f t="shared" si="45"/>
        <v>0.48571428571428571</v>
      </c>
      <c r="L123" s="363">
        <f t="shared" si="45"/>
        <v>127.80714285714284</v>
      </c>
      <c r="M123" s="363">
        <f t="shared" ref="M123" si="59">+M111</f>
        <v>14</v>
      </c>
      <c r="N123" s="363">
        <f t="shared" si="17"/>
        <v>9647.3069724275265</v>
      </c>
      <c r="O123" s="363">
        <f t="shared" ref="O123:P123" si="60">+O111</f>
        <v>31</v>
      </c>
      <c r="P123" s="363">
        <f t="shared" si="60"/>
        <v>1</v>
      </c>
      <c r="Q123" s="363">
        <f t="shared" si="19"/>
        <v>8</v>
      </c>
      <c r="R123" s="153"/>
      <c r="S123" s="167">
        <f t="shared" si="12"/>
        <v>21713803.558425702</v>
      </c>
      <c r="T123" s="168"/>
      <c r="U123" s="510">
        <f t="shared" si="48"/>
        <v>-154.79999999999998</v>
      </c>
      <c r="Y123" s="511">
        <f t="shared" si="21"/>
        <v>17.511805204008851</v>
      </c>
      <c r="AF123" s="153"/>
      <c r="AG123" s="153"/>
      <c r="AH123" s="153"/>
      <c r="AI123" s="153"/>
      <c r="AJ123" s="153"/>
      <c r="AK123" s="153"/>
      <c r="AL123" s="153"/>
      <c r="AM123" s="153"/>
      <c r="AN123" s="153"/>
    </row>
    <row r="124" spans="1:40" x14ac:dyDescent="0.2">
      <c r="A124" s="493">
        <f t="shared" si="38"/>
        <v>105</v>
      </c>
      <c r="B124" s="166" t="str">
        <f>CONCATENATE('3. Consumption by Rate Class'!B129,"-",'3. Consumption by Rate Class'!C129)</f>
        <v>2019-September</v>
      </c>
      <c r="C124" s="339"/>
      <c r="D124" s="175"/>
      <c r="E124" s="175"/>
      <c r="F124" s="175"/>
      <c r="G124" s="175"/>
      <c r="H124" s="175"/>
      <c r="I124" s="175"/>
      <c r="J124" s="154"/>
      <c r="K124" s="363">
        <f t="shared" si="45"/>
        <v>31.342857142857145</v>
      </c>
      <c r="L124" s="363">
        <f t="shared" si="45"/>
        <v>57.028571428571418</v>
      </c>
      <c r="M124" s="363">
        <f t="shared" ref="M124" si="61">+M112</f>
        <v>12.269999999999998</v>
      </c>
      <c r="N124" s="363">
        <f t="shared" si="17"/>
        <v>9664.8187776315372</v>
      </c>
      <c r="O124" s="363">
        <f t="shared" ref="O124:P124" si="62">+O112</f>
        <v>30</v>
      </c>
      <c r="P124" s="363">
        <f t="shared" si="62"/>
        <v>0</v>
      </c>
      <c r="Q124" s="363">
        <f t="shared" si="19"/>
        <v>8</v>
      </c>
      <c r="R124" s="153"/>
      <c r="S124" s="167">
        <f t="shared" si="12"/>
        <v>17106871.935488921</v>
      </c>
      <c r="T124" s="168"/>
      <c r="U124" s="510">
        <f t="shared" si="48"/>
        <v>-157.04999999999998</v>
      </c>
      <c r="Y124" s="511">
        <f t="shared" si="21"/>
        <v>17.51180520401067</v>
      </c>
      <c r="AF124" s="153"/>
      <c r="AG124" s="153"/>
      <c r="AH124" s="153"/>
      <c r="AI124" s="153"/>
      <c r="AJ124" s="153"/>
      <c r="AK124" s="153"/>
      <c r="AL124" s="153"/>
      <c r="AM124" s="153"/>
      <c r="AN124" s="153"/>
    </row>
    <row r="125" spans="1:40" x14ac:dyDescent="0.2">
      <c r="A125" s="493">
        <f t="shared" si="38"/>
        <v>106</v>
      </c>
      <c r="B125" s="166" t="str">
        <f>CONCATENATE('3. Consumption by Rate Class'!B130,"-",'3. Consumption by Rate Class'!C130)</f>
        <v>2019-October</v>
      </c>
      <c r="C125" s="339"/>
      <c r="D125" s="175"/>
      <c r="E125" s="175"/>
      <c r="F125" s="175"/>
      <c r="G125" s="175"/>
      <c r="H125" s="175"/>
      <c r="I125" s="175"/>
      <c r="J125" s="154"/>
      <c r="K125" s="363">
        <f t="shared" si="45"/>
        <v>161.98571428571429</v>
      </c>
      <c r="L125" s="363">
        <f t="shared" si="45"/>
        <v>6.6214285714285719</v>
      </c>
      <c r="M125" s="363">
        <f t="shared" ref="M125" si="63">+M113</f>
        <v>10.519999999999998</v>
      </c>
      <c r="N125" s="363">
        <f t="shared" si="17"/>
        <v>9682.330582835546</v>
      </c>
      <c r="O125" s="363">
        <f t="shared" ref="O125:P125" si="64">+O113</f>
        <v>31</v>
      </c>
      <c r="P125" s="363">
        <f t="shared" si="64"/>
        <v>0</v>
      </c>
      <c r="Q125" s="363">
        <f t="shared" si="19"/>
        <v>8</v>
      </c>
      <c r="R125" s="153"/>
      <c r="S125" s="167">
        <f t="shared" si="12"/>
        <v>16069502.067451494</v>
      </c>
      <c r="T125" s="168"/>
      <c r="U125" s="510">
        <f t="shared" si="48"/>
        <v>-159.29999999999998</v>
      </c>
      <c r="Y125" s="511">
        <f t="shared" si="21"/>
        <v>17.511805204008851</v>
      </c>
      <c r="AF125" s="153"/>
      <c r="AG125" s="153"/>
      <c r="AH125" s="153"/>
      <c r="AI125" s="153"/>
      <c r="AJ125" s="153"/>
      <c r="AK125" s="153"/>
      <c r="AL125" s="153"/>
      <c r="AM125" s="153"/>
      <c r="AN125" s="153"/>
    </row>
    <row r="126" spans="1:40" x14ac:dyDescent="0.2">
      <c r="A126" s="493">
        <f t="shared" si="38"/>
        <v>107</v>
      </c>
      <c r="B126" s="116" t="str">
        <f>CONCATENATE('3. Consumption by Rate Class'!B131,"-",'3. Consumption by Rate Class'!C131)</f>
        <v>2019-November</v>
      </c>
      <c r="C126" s="340"/>
      <c r="D126" s="39"/>
      <c r="E126" s="39"/>
      <c r="F126" s="39"/>
      <c r="G126" s="39"/>
      <c r="H126" s="39"/>
      <c r="I126" s="39"/>
      <c r="K126" s="363">
        <f t="shared" si="45"/>
        <v>348.2714285714286</v>
      </c>
      <c r="L126" s="363">
        <f t="shared" si="45"/>
        <v>0</v>
      </c>
      <c r="M126" s="363">
        <f t="shared" ref="M126" si="65">+M114</f>
        <v>9.31</v>
      </c>
      <c r="N126" s="363">
        <f t="shared" si="17"/>
        <v>9699.8423880395549</v>
      </c>
      <c r="O126" s="363">
        <f t="shared" ref="O126:P126" si="66">+O114</f>
        <v>30</v>
      </c>
      <c r="P126" s="363">
        <f t="shared" si="66"/>
        <v>0</v>
      </c>
      <c r="Q126" s="363">
        <f t="shared" si="19"/>
        <v>8</v>
      </c>
      <c r="S126" s="167">
        <f t="shared" si="12"/>
        <v>15984295.621539038</v>
      </c>
      <c r="T126" s="139"/>
      <c r="U126" s="510">
        <f t="shared" si="48"/>
        <v>-161.54999999999998</v>
      </c>
      <c r="Y126" s="511">
        <f t="shared" si="21"/>
        <v>17.511805204008851</v>
      </c>
    </row>
    <row r="127" spans="1:40" x14ac:dyDescent="0.2">
      <c r="A127" s="493">
        <f t="shared" si="38"/>
        <v>108</v>
      </c>
      <c r="B127" s="116" t="str">
        <f>CONCATENATE('3. Consumption by Rate Class'!B132,"-",'3. Consumption by Rate Class'!C132)</f>
        <v>2019-December</v>
      </c>
      <c r="C127" s="340"/>
      <c r="D127" s="39"/>
      <c r="E127" s="39"/>
      <c r="F127" s="39"/>
      <c r="G127" s="39"/>
      <c r="H127" s="39"/>
      <c r="I127" s="39"/>
      <c r="K127" s="363">
        <f t="shared" si="45"/>
        <v>510.78571428571422</v>
      </c>
      <c r="L127" s="363">
        <f t="shared" si="45"/>
        <v>0</v>
      </c>
      <c r="M127" s="363">
        <f t="shared" ref="M127" si="67">+M115</f>
        <v>8.5</v>
      </c>
      <c r="N127" s="363">
        <f t="shared" si="17"/>
        <v>9717.3541932435655</v>
      </c>
      <c r="O127" s="363">
        <f t="shared" ref="O127:P127" si="68">+O115</f>
        <v>31</v>
      </c>
      <c r="P127" s="363">
        <f t="shared" si="68"/>
        <v>1</v>
      </c>
      <c r="Q127" s="363">
        <f t="shared" si="19"/>
        <v>8</v>
      </c>
      <c r="S127" s="167">
        <f t="shared" si="12"/>
        <v>18552704.572106179</v>
      </c>
      <c r="T127" s="139">
        <f>SUM(S116:S127)</f>
        <v>214325151.90206081</v>
      </c>
      <c r="U127" s="510">
        <f t="shared" si="48"/>
        <v>-163.79999999999998</v>
      </c>
      <c r="V127" s="512">
        <f>+V116-V104</f>
        <v>179.61666244811204</v>
      </c>
      <c r="W127" s="512">
        <f>+W116-W104</f>
        <v>181.49244778819229</v>
      </c>
      <c r="Y127" s="511">
        <f t="shared" si="21"/>
        <v>17.51180520401067</v>
      </c>
    </row>
    <row r="128" spans="1:40" x14ac:dyDescent="0.2">
      <c r="B128" s="117"/>
      <c r="C128" s="340"/>
      <c r="D128" s="39"/>
      <c r="E128" s="39"/>
      <c r="F128" s="39"/>
      <c r="G128" s="39"/>
      <c r="H128" s="39"/>
      <c r="I128" s="39"/>
    </row>
    <row r="129" spans="1:21" x14ac:dyDescent="0.2">
      <c r="T129" s="1" t="s">
        <v>256</v>
      </c>
      <c r="U129" s="153">
        <v>-7.8</v>
      </c>
    </row>
    <row r="130" spans="1:21" ht="13.5" thickBot="1" x14ac:dyDescent="0.25">
      <c r="T130" s="1" t="s">
        <v>257</v>
      </c>
      <c r="U130" s="1">
        <v>-2.25</v>
      </c>
    </row>
    <row r="131" spans="1:21" x14ac:dyDescent="0.2">
      <c r="B131" s="495"/>
      <c r="C131" s="496"/>
      <c r="D131" s="465"/>
    </row>
    <row r="132" spans="1:21" x14ac:dyDescent="0.2">
      <c r="A132" s="388"/>
      <c r="B132" s="497" t="s">
        <v>139</v>
      </c>
      <c r="C132" s="341"/>
      <c r="D132" s="498"/>
      <c r="L132" s="349"/>
    </row>
    <row r="133" spans="1:21" x14ac:dyDescent="0.2">
      <c r="A133" s="388"/>
      <c r="B133" s="499" t="s">
        <v>137</v>
      </c>
      <c r="C133" s="342"/>
      <c r="D133" s="498"/>
    </row>
    <row r="134" spans="1:21" x14ac:dyDescent="0.2">
      <c r="A134" s="388"/>
      <c r="B134" s="500" t="s">
        <v>138</v>
      </c>
      <c r="C134" s="343"/>
      <c r="D134" s="498"/>
    </row>
    <row r="135" spans="1:21" x14ac:dyDescent="0.2">
      <c r="B135" s="501" t="s">
        <v>175</v>
      </c>
      <c r="C135" s="342"/>
      <c r="D135" s="498"/>
    </row>
    <row r="136" spans="1:21" x14ac:dyDescent="0.2">
      <c r="B136" s="502"/>
      <c r="C136" s="350"/>
      <c r="D136" s="503"/>
    </row>
    <row r="137" spans="1:21" x14ac:dyDescent="0.2">
      <c r="B137" s="502"/>
      <c r="C137" s="350"/>
      <c r="D137" s="503"/>
    </row>
    <row r="138" spans="1:21" x14ac:dyDescent="0.2">
      <c r="B138" s="868" t="s">
        <v>176</v>
      </c>
      <c r="C138" s="869"/>
      <c r="D138" s="870"/>
    </row>
    <row r="139" spans="1:21" x14ac:dyDescent="0.2">
      <c r="B139" s="504" t="s">
        <v>121</v>
      </c>
      <c r="C139" s="344" t="s">
        <v>177</v>
      </c>
      <c r="D139" s="505" t="s">
        <v>178</v>
      </c>
    </row>
    <row r="140" spans="1:21" ht="14.25" x14ac:dyDescent="0.2">
      <c r="B140" s="504" t="s">
        <v>107</v>
      </c>
      <c r="C140" s="345">
        <f>INDEX(LINEST($N$20:$N103,$A$20:$A$103,TRUE,FALSE),1)</f>
        <v>19.761805204009331</v>
      </c>
      <c r="D140" s="509">
        <f>INDEX(LINEST($N$20:$N103,$A$20:$A$103,TRUE,FALSE),2)</f>
        <v>7746.8792312105561</v>
      </c>
    </row>
    <row r="141" spans="1:21" ht="13.5" thickBot="1" x14ac:dyDescent="0.25">
      <c r="B141" s="506"/>
      <c r="C141" s="507"/>
      <c r="D141" s="508"/>
    </row>
  </sheetData>
  <mergeCells count="4">
    <mergeCell ref="K17:Q17"/>
    <mergeCell ref="D17:I17"/>
    <mergeCell ref="R19:T19"/>
    <mergeCell ref="B138:D138"/>
  </mergeCells>
  <phoneticPr fontId="0" type="noConversion"/>
  <pageMargins left="0.7" right="0.7" top="0.75" bottom="0.75" header="0.3" footer="0.3"/>
  <pageSetup orientation="portrait"/>
  <ignoredErrors>
    <ignoredError sqref="V57:Y65 A104:U127" unlocked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53"/>
  <sheetViews>
    <sheetView showGridLines="0" topLeftCell="A22" zoomScaleNormal="100" workbookViewId="0">
      <selection activeCell="L41" sqref="L41"/>
    </sheetView>
  </sheetViews>
  <sheetFormatPr defaultColWidth="11.1640625" defaultRowHeight="12.75" x14ac:dyDescent="0.2"/>
  <cols>
    <col min="1" max="1" width="13.6640625" style="1" customWidth="1"/>
    <col min="2" max="2" width="15" style="38" customWidth="1"/>
    <col min="3" max="3" width="16" style="38" customWidth="1"/>
    <col min="4" max="8" width="15" style="38" customWidth="1"/>
    <col min="9" max="9" width="15" style="1" customWidth="1"/>
    <col min="10" max="10" width="3.33203125" style="43" customWidth="1"/>
    <col min="11" max="16" width="15" style="1" customWidth="1"/>
    <col min="17" max="17" width="15" style="296" customWidth="1"/>
    <col min="18" max="18" width="15" style="1" customWidth="1"/>
    <col min="19" max="19" width="3.1640625" style="43" customWidth="1"/>
    <col min="20" max="20" width="3.83203125" style="1" customWidth="1"/>
    <col min="21" max="16384" width="11.1640625" style="1"/>
  </cols>
  <sheetData>
    <row r="1" spans="1:19" s="296" customFormat="1" x14ac:dyDescent="0.2">
      <c r="A1" s="366" t="s">
        <v>198</v>
      </c>
      <c r="B1" s="38"/>
      <c r="C1" s="38"/>
      <c r="D1" s="38"/>
      <c r="E1" s="38"/>
      <c r="F1" s="38"/>
      <c r="G1" s="38"/>
      <c r="H1" s="38"/>
      <c r="J1" s="43"/>
      <c r="S1" s="43"/>
    </row>
    <row r="2" spans="1:19" s="296" customFormat="1" x14ac:dyDescent="0.2">
      <c r="B2" s="38"/>
      <c r="C2" s="38"/>
      <c r="D2" s="38"/>
      <c r="E2" s="38"/>
      <c r="F2" s="38"/>
      <c r="G2" s="38"/>
      <c r="H2" s="38"/>
      <c r="J2" s="43"/>
      <c r="S2" s="43"/>
    </row>
    <row r="3" spans="1:19" s="296" customFormat="1" x14ac:dyDescent="0.2">
      <c r="B3" s="38"/>
      <c r="C3" s="38"/>
      <c r="D3" s="38"/>
      <c r="E3" s="38"/>
      <c r="F3" s="38"/>
      <c r="G3" s="38"/>
      <c r="H3" s="38"/>
      <c r="J3" s="43"/>
      <c r="S3" s="43"/>
    </row>
    <row r="4" spans="1:19" s="296" customFormat="1" x14ac:dyDescent="0.2">
      <c r="B4" s="38"/>
      <c r="C4" s="38"/>
      <c r="D4" s="38"/>
      <c r="E4" s="38"/>
      <c r="F4" s="38"/>
      <c r="G4" s="38"/>
      <c r="H4" s="38"/>
      <c r="J4" s="43"/>
      <c r="S4" s="43"/>
    </row>
    <row r="5" spans="1:19" s="296" customFormat="1" x14ac:dyDescent="0.2">
      <c r="B5" s="38"/>
      <c r="C5" s="38"/>
      <c r="D5" s="38"/>
      <c r="E5" s="38"/>
      <c r="F5" s="38"/>
      <c r="G5" s="38"/>
      <c r="H5" s="38"/>
      <c r="J5" s="43"/>
      <c r="S5" s="43"/>
    </row>
    <row r="6" spans="1:19" s="296" customFormat="1" x14ac:dyDescent="0.2">
      <c r="B6" s="38"/>
      <c r="C6" s="38"/>
      <c r="D6" s="38"/>
      <c r="E6" s="38"/>
      <c r="F6" s="38"/>
      <c r="G6" s="38"/>
      <c r="H6" s="38"/>
      <c r="J6" s="43"/>
      <c r="S6" s="43"/>
    </row>
    <row r="7" spans="1:19" s="296" customFormat="1" x14ac:dyDescent="0.2">
      <c r="B7" s="38"/>
      <c r="C7" s="38"/>
      <c r="D7" s="38"/>
      <c r="E7" s="38"/>
      <c r="F7" s="38"/>
      <c r="G7" s="38"/>
      <c r="H7" s="38"/>
      <c r="J7" s="43"/>
      <c r="S7" s="43"/>
    </row>
    <row r="8" spans="1:19" s="296" customFormat="1" x14ac:dyDescent="0.2">
      <c r="B8" s="38"/>
      <c r="C8" s="38"/>
      <c r="D8" s="38"/>
      <c r="E8" s="38"/>
      <c r="F8" s="38"/>
      <c r="G8" s="38"/>
      <c r="H8" s="38"/>
      <c r="J8" s="43"/>
      <c r="S8" s="43"/>
    </row>
    <row r="9" spans="1:19" s="296" customFormat="1" x14ac:dyDescent="0.2">
      <c r="B9" s="38"/>
      <c r="C9" s="38"/>
      <c r="D9" s="38"/>
      <c r="E9" s="38"/>
      <c r="F9" s="38"/>
      <c r="G9" s="38"/>
      <c r="H9" s="38"/>
      <c r="J9" s="43"/>
      <c r="S9" s="43"/>
    </row>
    <row r="10" spans="1:19" s="296" customFormat="1" x14ac:dyDescent="0.2">
      <c r="B10" s="38"/>
      <c r="C10" s="38"/>
      <c r="D10" s="38"/>
      <c r="E10" s="38"/>
      <c r="F10" s="38"/>
      <c r="G10" s="38"/>
      <c r="H10" s="38"/>
      <c r="J10" s="43"/>
      <c r="S10" s="43"/>
    </row>
    <row r="11" spans="1:19" s="43" customFormat="1" ht="15.75" customHeight="1" x14ac:dyDescent="0.2">
      <c r="B11" s="79" t="s">
        <v>43</v>
      </c>
      <c r="D11" s="3"/>
      <c r="E11" s="3"/>
      <c r="F11" s="3"/>
      <c r="G11" s="3"/>
      <c r="H11" s="3"/>
      <c r="I11" s="3"/>
      <c r="J11" s="3"/>
    </row>
    <row r="12" spans="1:19" s="43" customFormat="1" ht="15.75" customHeight="1" x14ac:dyDescent="0.2">
      <c r="B12" s="42" t="s">
        <v>55</v>
      </c>
      <c r="D12" s="3"/>
      <c r="E12" s="3"/>
      <c r="F12" s="3"/>
      <c r="G12" s="3"/>
      <c r="H12" s="3"/>
      <c r="I12" s="3"/>
      <c r="J12" s="3"/>
    </row>
    <row r="13" spans="1:19" s="43" customFormat="1" ht="15.75" customHeight="1" x14ac:dyDescent="0.2">
      <c r="B13" s="71" t="s">
        <v>187</v>
      </c>
      <c r="D13" s="3"/>
      <c r="E13" s="3"/>
      <c r="F13" s="3"/>
      <c r="G13" s="3"/>
      <c r="H13" s="3"/>
      <c r="I13" s="3"/>
      <c r="J13" s="3"/>
    </row>
    <row r="14" spans="1:19" s="43" customFormat="1" ht="38.25" customHeight="1" x14ac:dyDescent="0.2">
      <c r="B14" s="871" t="s">
        <v>188</v>
      </c>
      <c r="C14" s="871"/>
      <c r="D14" s="871"/>
      <c r="E14" s="871"/>
      <c r="F14" s="871"/>
      <c r="G14" s="871"/>
      <c r="H14" s="871"/>
      <c r="I14" s="871"/>
      <c r="J14" s="871"/>
      <c r="K14" s="871"/>
      <c r="L14" s="871"/>
      <c r="M14" s="871"/>
      <c r="N14" s="871"/>
      <c r="O14" s="871"/>
      <c r="P14" s="871"/>
      <c r="Q14" s="871"/>
      <c r="R14" s="871"/>
    </row>
    <row r="15" spans="1:19" ht="12.75" customHeight="1" thickBot="1" x14ac:dyDescent="0.25"/>
    <row r="16" spans="1:19" ht="15.75" thickBot="1" x14ac:dyDescent="0.3">
      <c r="B16" s="197" t="s">
        <v>148</v>
      </c>
      <c r="G16" s="320" t="s">
        <v>147</v>
      </c>
      <c r="H16" s="542"/>
    </row>
    <row r="17" spans="2:19" ht="12.75" customHeight="1" x14ac:dyDescent="0.2"/>
    <row r="18" spans="2:19" ht="12.75" customHeight="1" thickBot="1" x14ac:dyDescent="0.25"/>
    <row r="19" spans="2:19" ht="14.25" customHeight="1" thickBot="1" x14ac:dyDescent="0.25">
      <c r="B19" s="876" t="s">
        <v>6</v>
      </c>
      <c r="C19" s="877"/>
      <c r="D19" s="877"/>
      <c r="E19" s="877"/>
      <c r="F19" s="877"/>
      <c r="G19" s="877"/>
      <c r="H19" s="877"/>
      <c r="I19" s="878"/>
      <c r="J19" s="92"/>
      <c r="K19" s="876" t="s">
        <v>73</v>
      </c>
      <c r="L19" s="877"/>
      <c r="M19" s="877"/>
      <c r="N19" s="877"/>
      <c r="O19" s="877"/>
      <c r="P19" s="877"/>
      <c r="Q19" s="877"/>
      <c r="R19" s="878"/>
      <c r="S19" s="92"/>
    </row>
    <row r="20" spans="2:19" ht="59.25" customHeight="1" thickBot="1" x14ac:dyDescent="0.25">
      <c r="B20" s="44" t="s">
        <v>32</v>
      </c>
      <c r="C20" s="138" t="s">
        <v>125</v>
      </c>
      <c r="D20" s="138" t="s">
        <v>123</v>
      </c>
      <c r="E20" s="138" t="s">
        <v>120</v>
      </c>
      <c r="F20" s="46" t="s">
        <v>124</v>
      </c>
      <c r="G20" s="45" t="s">
        <v>33</v>
      </c>
      <c r="H20" s="536" t="s">
        <v>258</v>
      </c>
      <c r="I20" s="47" t="s">
        <v>37</v>
      </c>
      <c r="J20" s="93"/>
      <c r="K20" s="44" t="s">
        <v>32</v>
      </c>
      <c r="L20" s="138" t="s">
        <v>126</v>
      </c>
      <c r="M20" s="138" t="s">
        <v>123</v>
      </c>
      <c r="N20" s="138" t="s">
        <v>120</v>
      </c>
      <c r="O20" s="46" t="s">
        <v>124</v>
      </c>
      <c r="P20" s="45" t="s">
        <v>33</v>
      </c>
      <c r="Q20" s="536" t="s">
        <v>258</v>
      </c>
      <c r="R20" s="47" t="s">
        <v>37</v>
      </c>
      <c r="S20" s="93"/>
    </row>
    <row r="21" spans="2:19" x14ac:dyDescent="0.2">
      <c r="B21" s="119">
        <f>'4. Customer Growth'!B17</f>
        <v>2011</v>
      </c>
      <c r="C21" s="49">
        <f>+'3. Consumption by Rate Class'!D134</f>
        <v>66976829.959999993</v>
      </c>
      <c r="D21" s="50">
        <f>SUM('6. WS Regression Analysis'!J20:J31)</f>
        <v>188298521</v>
      </c>
      <c r="E21" s="50">
        <f>SUM('6. WS Regression Analysis'!S20:S31)</f>
        <v>190530219.37423924</v>
      </c>
      <c r="F21" s="51">
        <f t="shared" ref="F21:F26" si="0">C21/D21</f>
        <v>0.35569493379079697</v>
      </c>
      <c r="G21" s="50">
        <f t="shared" ref="G21:G29" si="1">E21*F21</f>
        <v>67770633.765466049</v>
      </c>
      <c r="H21" s="49">
        <f>+'3. Consumption by Rate Class'!E134</f>
        <v>6594.125</v>
      </c>
      <c r="I21" s="49">
        <f t="shared" ref="I21:I29" si="2">+G21/H21</f>
        <v>10277.426309854007</v>
      </c>
      <c r="J21" s="56"/>
      <c r="K21" s="119">
        <f t="shared" ref="K21:K29" si="3">B21</f>
        <v>2011</v>
      </c>
      <c r="L21" s="49">
        <f>+'3. Consumption by Rate Class'!F134</f>
        <v>34321035.060000002</v>
      </c>
      <c r="M21" s="50">
        <f t="shared" ref="M21:M27" si="4">D21</f>
        <v>188298521</v>
      </c>
      <c r="N21" s="50">
        <f t="shared" ref="N21:N27" si="5">E21</f>
        <v>190530219.37423924</v>
      </c>
      <c r="O21" s="51">
        <f t="shared" ref="O21:O26" si="6">L21/M21</f>
        <v>0.18226927581656366</v>
      </c>
      <c r="P21" s="50">
        <f t="shared" ref="P21:P27" si="7">N21*O21</f>
        <v>34727805.10651359</v>
      </c>
      <c r="Q21" s="49">
        <f>+'3. Consumption by Rate Class'!G134</f>
        <v>1234.6666666666667</v>
      </c>
      <c r="R21" s="49">
        <f t="shared" ref="R21:R29" si="8">+P21/Q21</f>
        <v>28127.271954519645</v>
      </c>
      <c r="S21" s="56"/>
    </row>
    <row r="22" spans="2:19" x14ac:dyDescent="0.2">
      <c r="B22" s="119">
        <f>'4. Customer Growth'!B18</f>
        <v>2012</v>
      </c>
      <c r="C22" s="49">
        <f>+'3. Consumption by Rate Class'!D135</f>
        <v>67086975.060000002</v>
      </c>
      <c r="D22" s="50">
        <f>SUM('6. WS Regression Analysis'!J32:J43)</f>
        <v>189169072.93239999</v>
      </c>
      <c r="E22" s="50">
        <f>SUM('6. WS Regression Analysis'!S32:S43)</f>
        <v>195964358.12512141</v>
      </c>
      <c r="F22" s="51">
        <f>C22/D22</f>
        <v>0.35464029093156096</v>
      </c>
      <c r="G22" s="50">
        <f t="shared" si="1"/>
        <v>69496856.977709666</v>
      </c>
      <c r="H22" s="49">
        <f>+'3. Consumption by Rate Class'!E135</f>
        <v>6716.25</v>
      </c>
      <c r="I22" s="49">
        <f t="shared" si="2"/>
        <v>10347.568505893863</v>
      </c>
      <c r="J22" s="56"/>
      <c r="K22" s="119">
        <f t="shared" si="3"/>
        <v>2012</v>
      </c>
      <c r="L22" s="49">
        <f>+'3. Consumption by Rate Class'!F135</f>
        <v>35374878.009999998</v>
      </c>
      <c r="M22" s="50">
        <f t="shared" si="4"/>
        <v>189169072.93239999</v>
      </c>
      <c r="N22" s="50">
        <f t="shared" si="5"/>
        <v>195964358.12512141</v>
      </c>
      <c r="O22" s="51">
        <f t="shared" si="6"/>
        <v>0.18700138168273042</v>
      </c>
      <c r="P22" s="50">
        <f t="shared" si="7"/>
        <v>36645605.729967102</v>
      </c>
      <c r="Q22" s="49">
        <f>+'3. Consumption by Rate Class'!G135</f>
        <v>1268.9583333333333</v>
      </c>
      <c r="R22" s="49">
        <f t="shared" si="8"/>
        <v>28878.494090271237</v>
      </c>
      <c r="S22" s="56"/>
    </row>
    <row r="23" spans="2:19" x14ac:dyDescent="0.2">
      <c r="B23" s="119">
        <f>'4. Customer Growth'!B19</f>
        <v>2013</v>
      </c>
      <c r="C23" s="49">
        <f>+'3. Consumption by Rate Class'!D136</f>
        <v>68126808.569999993</v>
      </c>
      <c r="D23" s="50">
        <f>SUM('6. WS Regression Analysis'!J44:J55)</f>
        <v>189823053.13865024</v>
      </c>
      <c r="E23" s="50">
        <f>SUM('6. WS Regression Analysis'!S44:S55)</f>
        <v>191903721.59167364</v>
      </c>
      <c r="F23" s="51">
        <f t="shared" si="0"/>
        <v>0.35889639031482085</v>
      </c>
      <c r="G23" s="50">
        <f t="shared" si="1"/>
        <v>68873552.967232019</v>
      </c>
      <c r="H23" s="49">
        <f>+'3. Consumption by Rate Class'!E136</f>
        <v>6912.458333333333</v>
      </c>
      <c r="I23" s="49">
        <f t="shared" si="2"/>
        <v>9963.6843574317409</v>
      </c>
      <c r="J23" s="56"/>
      <c r="K23" s="119">
        <f t="shared" si="3"/>
        <v>2013</v>
      </c>
      <c r="L23" s="49">
        <f>+'3. Consumption by Rate Class'!F136</f>
        <v>35291130.910000004</v>
      </c>
      <c r="M23" s="50">
        <f t="shared" si="4"/>
        <v>189823053.13865024</v>
      </c>
      <c r="N23" s="50">
        <f t="shared" si="5"/>
        <v>191903721.59167364</v>
      </c>
      <c r="O23" s="51">
        <f t="shared" si="6"/>
        <v>0.1859159376402123</v>
      </c>
      <c r="P23" s="50">
        <f t="shared" si="7"/>
        <v>35677960.336362258</v>
      </c>
      <c r="Q23" s="49">
        <f>+'3. Consumption by Rate Class'!G136</f>
        <v>1221.0416666666667</v>
      </c>
      <c r="R23" s="49">
        <f t="shared" si="8"/>
        <v>29219.281626776799</v>
      </c>
      <c r="S23" s="56"/>
    </row>
    <row r="24" spans="2:19" x14ac:dyDescent="0.2">
      <c r="B24" s="119">
        <f>'4. Customer Growth'!B20</f>
        <v>2014</v>
      </c>
      <c r="C24" s="49">
        <f>+'3. Consumption by Rate Class'!D137</f>
        <v>68599527.920000017</v>
      </c>
      <c r="D24" s="50">
        <f>SUM('6. WS Regression Analysis'!J56:J67)</f>
        <v>196751647.39219356</v>
      </c>
      <c r="E24" s="50">
        <f>SUM('6. WS Regression Analysis'!S56:S67)</f>
        <v>193844611.69432142</v>
      </c>
      <c r="F24" s="51">
        <f t="shared" si="0"/>
        <v>0.34866050083564287</v>
      </c>
      <c r="G24" s="50">
        <f t="shared" si="1"/>
        <v>67585959.397632822</v>
      </c>
      <c r="H24" s="49">
        <f>+'3. Consumption by Rate Class'!E137</f>
        <v>7110.208333333333</v>
      </c>
      <c r="I24" s="49">
        <f t="shared" si="2"/>
        <v>9505.4822909735867</v>
      </c>
      <c r="J24" s="56"/>
      <c r="K24" s="119">
        <f t="shared" si="3"/>
        <v>2014</v>
      </c>
      <c r="L24" s="49">
        <f>+'3. Consumption by Rate Class'!F137</f>
        <v>39288460.370000005</v>
      </c>
      <c r="M24" s="50">
        <f t="shared" si="4"/>
        <v>196751647.39219356</v>
      </c>
      <c r="N24" s="50">
        <f t="shared" si="5"/>
        <v>193844611.69432142</v>
      </c>
      <c r="O24" s="51">
        <f t="shared" si="6"/>
        <v>0.19968554718977585</v>
      </c>
      <c r="P24" s="50">
        <f t="shared" si="7"/>
        <v>38707967.355970196</v>
      </c>
      <c r="Q24" s="49">
        <f>+'3. Consumption by Rate Class'!G137</f>
        <v>1311.8333333333333</v>
      </c>
      <c r="R24" s="49">
        <f t="shared" si="8"/>
        <v>29506.772219009174</v>
      </c>
      <c r="S24" s="56"/>
    </row>
    <row r="25" spans="2:19" x14ac:dyDescent="0.2">
      <c r="B25" s="119">
        <f>'4. Customer Growth'!B21</f>
        <v>2015</v>
      </c>
      <c r="C25" s="49">
        <f>+'3. Consumption by Rate Class'!D138</f>
        <v>69624978.280000001</v>
      </c>
      <c r="D25" s="50">
        <f>SUM('6. WS Regression Analysis'!J68:J79)</f>
        <v>201773815.25724146</v>
      </c>
      <c r="E25" s="50">
        <f>SUM('6. WS Regression Analysis'!S68:S79)</f>
        <v>200603195.59949324</v>
      </c>
      <c r="F25" s="51">
        <f t="shared" si="0"/>
        <v>0.34506448813110419</v>
      </c>
      <c r="G25" s="50">
        <f t="shared" si="1"/>
        <v>69221039.007002905</v>
      </c>
      <c r="H25" s="49">
        <f>+'3. Consumption by Rate Class'!E138</f>
        <v>7389.208333333333</v>
      </c>
      <c r="I25" s="49">
        <f t="shared" si="2"/>
        <v>9367.8559169513519</v>
      </c>
      <c r="J25" s="56"/>
      <c r="K25" s="119">
        <f t="shared" si="3"/>
        <v>2015</v>
      </c>
      <c r="L25" s="49">
        <f>+'3. Consumption by Rate Class'!F138</f>
        <v>41172287.869999997</v>
      </c>
      <c r="M25" s="50">
        <f t="shared" si="4"/>
        <v>201773815.25724146</v>
      </c>
      <c r="N25" s="50">
        <f t="shared" si="5"/>
        <v>200603195.59949324</v>
      </c>
      <c r="O25" s="51">
        <f t="shared" si="6"/>
        <v>0.20405168935081811</v>
      </c>
      <c r="P25" s="50">
        <f t="shared" si="7"/>
        <v>40933420.951249197</v>
      </c>
      <c r="Q25" s="49">
        <f>+'3. Consumption by Rate Class'!G138</f>
        <v>1321.5416666666667</v>
      </c>
      <c r="R25" s="49">
        <f t="shared" si="8"/>
        <v>30973.991954787045</v>
      </c>
      <c r="S25" s="56"/>
    </row>
    <row r="26" spans="2:19" x14ac:dyDescent="0.2">
      <c r="B26" s="119">
        <f>'4. Customer Growth'!B22</f>
        <v>2016</v>
      </c>
      <c r="C26" s="49">
        <f>+'3. Consumption by Rate Class'!D139</f>
        <v>74189661.459999993</v>
      </c>
      <c r="D26" s="50">
        <f>SUM('6. WS Regression Analysis'!J80:J91)</f>
        <v>209189301.68894997</v>
      </c>
      <c r="E26" s="50">
        <f>SUM('6. WS Regression Analysis'!S80:S91)</f>
        <v>212828670.71166679</v>
      </c>
      <c r="F26" s="51">
        <f t="shared" si="0"/>
        <v>0.35465322968721835</v>
      </c>
      <c r="G26" s="50">
        <f t="shared" si="1"/>
        <v>75480375.437930122</v>
      </c>
      <c r="H26" s="49">
        <f>+'3. Consumption by Rate Class'!E139</f>
        <v>7660.791666666667</v>
      </c>
      <c r="I26" s="49">
        <f t="shared" si="2"/>
        <v>9852.8166176816085</v>
      </c>
      <c r="J26" s="56"/>
      <c r="K26" s="119">
        <f t="shared" si="3"/>
        <v>2016</v>
      </c>
      <c r="L26" s="49">
        <f>+'3. Consumption by Rate Class'!F139</f>
        <v>43510840.949999996</v>
      </c>
      <c r="M26" s="50">
        <f t="shared" si="4"/>
        <v>209189301.68894997</v>
      </c>
      <c r="N26" s="50">
        <f t="shared" si="5"/>
        <v>212828670.71166679</v>
      </c>
      <c r="O26" s="51">
        <f t="shared" si="6"/>
        <v>0.20799744823804425</v>
      </c>
      <c r="P26" s="50">
        <f t="shared" si="7"/>
        <v>44267820.419921681</v>
      </c>
      <c r="Q26" s="49">
        <f>+'3. Consumption by Rate Class'!G139</f>
        <v>1332.7083333333333</v>
      </c>
      <c r="R26" s="49">
        <f t="shared" si="8"/>
        <v>33216.435519090839</v>
      </c>
      <c r="S26" s="56"/>
    </row>
    <row r="27" spans="2:19" x14ac:dyDescent="0.2">
      <c r="B27" s="119">
        <f>'4. Customer Growth'!B23</f>
        <v>2017</v>
      </c>
      <c r="C27" s="49">
        <f>+'3. Consumption by Rate Class'!D140</f>
        <v>71017298.550000012</v>
      </c>
      <c r="D27" s="50">
        <f>SUM('6. WS Regression Analysis'!J92:J103)</f>
        <v>203784766.54920003</v>
      </c>
      <c r="E27" s="50">
        <f>SUM('6. WS Regression Analysis'!S92:S103)</f>
        <v>207071865.39865404</v>
      </c>
      <c r="F27" s="51">
        <f>C27/D27</f>
        <v>0.34849169421529952</v>
      </c>
      <c r="G27" s="50">
        <f>E27*F27</f>
        <v>72162825.197099403</v>
      </c>
      <c r="H27" s="49">
        <f>+'3. Consumption by Rate Class'!E140</f>
        <v>7838.375</v>
      </c>
      <c r="I27" s="49">
        <f t="shared" si="2"/>
        <v>9206.3501933882217</v>
      </c>
      <c r="J27" s="56"/>
      <c r="K27" s="119">
        <f t="shared" si="3"/>
        <v>2017</v>
      </c>
      <c r="L27" s="49">
        <f>+'3. Consumption by Rate Class'!F140</f>
        <v>40733064.149999999</v>
      </c>
      <c r="M27" s="50">
        <f t="shared" si="4"/>
        <v>203784766.54920003</v>
      </c>
      <c r="N27" s="50">
        <f t="shared" si="5"/>
        <v>207071865.39865404</v>
      </c>
      <c r="O27" s="51">
        <f>L27/M27</f>
        <v>0.19988277259264992</v>
      </c>
      <c r="P27" s="50">
        <f t="shared" si="7"/>
        <v>41390098.581814982</v>
      </c>
      <c r="Q27" s="49">
        <f>+'3. Consumption by Rate Class'!G140</f>
        <v>1331.6666666666667</v>
      </c>
      <c r="R27" s="49">
        <f t="shared" si="8"/>
        <v>31081.42571850937</v>
      </c>
      <c r="S27" s="56"/>
    </row>
    <row r="28" spans="2:19" ht="14.25" customHeight="1" x14ac:dyDescent="0.2">
      <c r="B28" s="513" t="str">
        <f>'4. Customer Growth'!B27</f>
        <v>2018</v>
      </c>
      <c r="C28" s="514"/>
      <c r="D28" s="514"/>
      <c r="E28" s="515">
        <f>SUM('6. WS Regression Analysis'!S104:S115)</f>
        <v>211657455.6951519</v>
      </c>
      <c r="F28" s="516">
        <f>F27</f>
        <v>0.34849169421529952</v>
      </c>
      <c r="G28" s="515">
        <f>E28*F28</f>
        <v>73760865.328503177</v>
      </c>
      <c r="H28" s="537">
        <f>+'4. Customer Growth'!C33</f>
        <v>7976.375</v>
      </c>
      <c r="I28" s="49">
        <f t="shared" si="2"/>
        <v>9247.4169442263155</v>
      </c>
      <c r="J28" s="56"/>
      <c r="K28" s="513" t="str">
        <f t="shared" si="3"/>
        <v>2018</v>
      </c>
      <c r="L28" s="514"/>
      <c r="M28" s="514"/>
      <c r="N28" s="515">
        <f>E28</f>
        <v>211657455.6951519</v>
      </c>
      <c r="O28" s="516">
        <f>O27</f>
        <v>0.19988277259264992</v>
      </c>
      <c r="P28" s="515">
        <f>N28*O28</f>
        <v>42306679.084252924</v>
      </c>
      <c r="Q28" s="537">
        <f>+'4. Customer Growth'!E33</f>
        <v>1336.6666666666667</v>
      </c>
      <c r="R28" s="49">
        <f t="shared" si="8"/>
        <v>31650.88210791989</v>
      </c>
      <c r="S28" s="56"/>
    </row>
    <row r="29" spans="2:19" ht="14.25" customHeight="1" thickBot="1" x14ac:dyDescent="0.25">
      <c r="B29" s="518" t="str">
        <f>'4. Customer Growth'!B28</f>
        <v>2019</v>
      </c>
      <c r="C29" s="519"/>
      <c r="D29" s="519"/>
      <c r="E29" s="520">
        <f>SUM('6. WS Regression Analysis'!S116:S127)</f>
        <v>214325151.90206081</v>
      </c>
      <c r="F29" s="521">
        <f>F28</f>
        <v>0.34849169421529952</v>
      </c>
      <c r="G29" s="520">
        <f t="shared" si="1"/>
        <v>74690535.299300596</v>
      </c>
      <c r="H29" s="537">
        <f>+'4. Customer Growth'!C34</f>
        <v>8152.375</v>
      </c>
      <c r="I29" s="49">
        <f t="shared" si="2"/>
        <v>9161.8130053267414</v>
      </c>
      <c r="J29" s="56"/>
      <c r="K29" s="518" t="str">
        <f t="shared" si="3"/>
        <v>2019</v>
      </c>
      <c r="L29" s="519"/>
      <c r="M29" s="519"/>
      <c r="N29" s="520">
        <f>E29</f>
        <v>214325151.90206081</v>
      </c>
      <c r="O29" s="521">
        <f>O28</f>
        <v>0.19988277259264992</v>
      </c>
      <c r="P29" s="520">
        <f>N29*O29</f>
        <v>42839905.598524772</v>
      </c>
      <c r="Q29" s="537">
        <f>+'4. Customer Growth'!E34</f>
        <v>1341.6666666666667</v>
      </c>
      <c r="R29" s="49">
        <f t="shared" si="8"/>
        <v>31930.364421260696</v>
      </c>
      <c r="S29" s="56"/>
    </row>
    <row r="30" spans="2:19" ht="13.5" customHeight="1" x14ac:dyDescent="0.2">
      <c r="B30" s="885" t="s">
        <v>127</v>
      </c>
      <c r="C30" s="885"/>
      <c r="D30" s="885"/>
      <c r="E30" s="885"/>
      <c r="F30" s="885"/>
      <c r="G30" s="885"/>
      <c r="H30" s="885"/>
      <c r="I30" s="885"/>
      <c r="J30" s="17"/>
      <c r="K30" s="885" t="s">
        <v>127</v>
      </c>
      <c r="L30" s="885"/>
      <c r="M30" s="885"/>
      <c r="N30" s="885"/>
      <c r="O30" s="885"/>
      <c r="P30" s="885"/>
      <c r="Q30" s="885"/>
      <c r="R30" s="885"/>
    </row>
    <row r="31" spans="2:19" x14ac:dyDescent="0.2">
      <c r="B31" s="95"/>
      <c r="C31" s="95"/>
      <c r="D31" s="95"/>
      <c r="E31" s="96"/>
      <c r="F31" s="97"/>
      <c r="G31" s="98"/>
      <c r="H31" s="98"/>
      <c r="I31" s="100"/>
      <c r="J31" s="17"/>
      <c r="K31" s="99"/>
      <c r="L31" s="99"/>
      <c r="M31" s="99"/>
      <c r="N31" s="99"/>
      <c r="O31" s="99"/>
      <c r="P31" s="527"/>
      <c r="Q31" s="527"/>
      <c r="R31" s="99"/>
    </row>
    <row r="32" spans="2:19" x14ac:dyDescent="0.2">
      <c r="B32" s="95"/>
      <c r="C32" s="95"/>
      <c r="D32" s="95"/>
      <c r="E32" s="96"/>
      <c r="F32" s="97"/>
      <c r="G32" s="98"/>
      <c r="H32" s="98"/>
      <c r="I32" s="100"/>
      <c r="J32" s="17"/>
      <c r="K32" s="99"/>
      <c r="L32" s="99"/>
      <c r="M32" s="99"/>
      <c r="N32" s="99"/>
      <c r="O32" s="99"/>
      <c r="P32" s="527"/>
      <c r="Q32" s="527"/>
      <c r="R32" s="99"/>
    </row>
    <row r="33" spans="2:19" x14ac:dyDescent="0.2">
      <c r="B33" s="95"/>
      <c r="C33" s="95"/>
      <c r="D33" s="95"/>
      <c r="E33" s="96"/>
      <c r="F33" s="97"/>
      <c r="G33" s="98"/>
      <c r="H33" s="98"/>
      <c r="I33" s="100"/>
      <c r="J33" s="17"/>
      <c r="K33" s="99"/>
      <c r="L33" s="99"/>
      <c r="M33" s="99"/>
      <c r="N33" s="99"/>
      <c r="O33" s="99"/>
      <c r="P33" s="527"/>
      <c r="Q33" s="527"/>
      <c r="R33" s="99"/>
    </row>
    <row r="34" spans="2:19" x14ac:dyDescent="0.2">
      <c r="B34" s="95"/>
      <c r="C34" s="95"/>
      <c r="D34" s="95"/>
      <c r="E34" s="96"/>
      <c r="F34" s="97"/>
      <c r="G34" s="98"/>
      <c r="H34" s="98"/>
      <c r="I34" s="100"/>
      <c r="J34" s="17"/>
      <c r="K34" s="99"/>
      <c r="L34" s="99"/>
      <c r="M34" s="99"/>
      <c r="N34" s="99"/>
      <c r="O34" s="99"/>
      <c r="P34" s="527"/>
      <c r="Q34" s="527"/>
      <c r="R34" s="99"/>
    </row>
    <row r="35" spans="2:19" ht="15" x14ac:dyDescent="0.2">
      <c r="B35" s="883" t="s">
        <v>144</v>
      </c>
      <c r="C35" s="883"/>
      <c r="D35" s="883"/>
      <c r="E35" s="883"/>
      <c r="F35" s="883"/>
      <c r="G35" s="883"/>
      <c r="H35" s="883"/>
      <c r="I35" s="883"/>
      <c r="J35" s="56"/>
      <c r="K35" s="884" t="s">
        <v>144</v>
      </c>
      <c r="L35" s="884"/>
      <c r="M35" s="884"/>
      <c r="N35" s="884"/>
      <c r="O35" s="884"/>
      <c r="P35" s="884"/>
      <c r="Q35" s="884"/>
      <c r="R35" s="884"/>
      <c r="S35" s="56"/>
    </row>
    <row r="36" spans="2:19" ht="13.5" thickBot="1" x14ac:dyDescent="0.25">
      <c r="B36" s="53"/>
      <c r="C36" s="54"/>
      <c r="D36" s="54"/>
      <c r="E36" s="54"/>
      <c r="F36" s="54"/>
      <c r="G36" s="54"/>
      <c r="H36" s="54"/>
      <c r="I36" s="56"/>
      <c r="J36" s="56"/>
      <c r="K36" s="528"/>
      <c r="L36" s="529"/>
      <c r="M36" s="529"/>
      <c r="N36" s="529"/>
      <c r="O36" s="529"/>
      <c r="P36" s="529"/>
      <c r="Q36" s="529"/>
      <c r="R36" s="529"/>
      <c r="S36" s="56"/>
    </row>
    <row r="37" spans="2:19" ht="14.25" customHeight="1" thickBot="1" x14ac:dyDescent="0.25">
      <c r="B37" s="879" t="str">
        <f>B19</f>
        <v>Residential</v>
      </c>
      <c r="C37" s="880"/>
      <c r="D37" s="880"/>
      <c r="E37" s="880"/>
      <c r="F37" s="880"/>
      <c r="G37" s="880"/>
      <c r="H37" s="881"/>
      <c r="I37" s="882"/>
      <c r="J37" s="92"/>
      <c r="K37" s="879" t="str">
        <f>K19</f>
        <v>General Service &lt; 50 kW</v>
      </c>
      <c r="L37" s="880"/>
      <c r="M37" s="880"/>
      <c r="N37" s="880"/>
      <c r="O37" s="880"/>
      <c r="P37" s="880"/>
      <c r="Q37" s="881"/>
      <c r="R37" s="882"/>
      <c r="S37" s="92"/>
    </row>
    <row r="38" spans="2:19" ht="42" customHeight="1" x14ac:dyDescent="0.2">
      <c r="B38" s="48" t="s">
        <v>32</v>
      </c>
      <c r="C38" s="179" t="s">
        <v>39</v>
      </c>
      <c r="D38" s="874" t="s">
        <v>130</v>
      </c>
      <c r="E38" s="874"/>
      <c r="F38" s="893" t="s">
        <v>38</v>
      </c>
      <c r="G38" s="894"/>
      <c r="H38" s="538"/>
      <c r="I38" s="55" t="s">
        <v>16</v>
      </c>
      <c r="J38" s="93"/>
      <c r="K38" s="530" t="s">
        <v>32</v>
      </c>
      <c r="L38" s="531" t="s">
        <v>39</v>
      </c>
      <c r="M38" s="892" t="s">
        <v>130</v>
      </c>
      <c r="N38" s="892"/>
      <c r="O38" s="889" t="s">
        <v>38</v>
      </c>
      <c r="P38" s="890"/>
      <c r="Q38" s="541"/>
      <c r="R38" s="532" t="s">
        <v>16</v>
      </c>
      <c r="S38" s="93"/>
    </row>
    <row r="39" spans="2:19" x14ac:dyDescent="0.2">
      <c r="B39" s="522" t="str">
        <f>B28</f>
        <v>2018</v>
      </c>
      <c r="C39" s="517">
        <v>0</v>
      </c>
      <c r="D39" s="875">
        <f>IF(F27&gt;0,+I28,0)</f>
        <v>9247.4169442263155</v>
      </c>
      <c r="E39" s="875"/>
      <c r="F39" s="872">
        <f>IF(+$G$16="yes",+C39*D39,0)</f>
        <v>0</v>
      </c>
      <c r="G39" s="873"/>
      <c r="H39" s="539"/>
      <c r="I39" s="523">
        <f>G28+F39</f>
        <v>73760865.328503177</v>
      </c>
      <c r="J39" s="94"/>
      <c r="K39" s="522" t="str">
        <f>B39</f>
        <v>2018</v>
      </c>
      <c r="L39" s="517">
        <v>2</v>
      </c>
      <c r="M39" s="875">
        <f>IF(O27&gt;0,+R28,0)</f>
        <v>31650.88210791989</v>
      </c>
      <c r="N39" s="875"/>
      <c r="O39" s="872">
        <f>+L39*M39</f>
        <v>63301.764215839779</v>
      </c>
      <c r="P39" s="873"/>
      <c r="Q39" s="539"/>
      <c r="R39" s="523">
        <f>P28+O39</f>
        <v>42369980.848468766</v>
      </c>
      <c r="S39" s="94"/>
    </row>
    <row r="40" spans="2:19" ht="13.5" thickBot="1" x14ac:dyDescent="0.25">
      <c r="B40" s="524" t="str">
        <f>B29</f>
        <v>2019</v>
      </c>
      <c r="C40" s="525">
        <v>0</v>
      </c>
      <c r="D40" s="891">
        <f>IF(F27&gt;0,+I29,0)</f>
        <v>9161.8130053267414</v>
      </c>
      <c r="E40" s="891"/>
      <c r="F40" s="887">
        <f>IF(+$G$16="yes",+C40*D40,0)</f>
        <v>0</v>
      </c>
      <c r="G40" s="888"/>
      <c r="H40" s="540"/>
      <c r="I40" s="526">
        <f>G29+F40</f>
        <v>74690535.299300596</v>
      </c>
      <c r="J40" s="94"/>
      <c r="K40" s="524" t="str">
        <f>B40</f>
        <v>2019</v>
      </c>
      <c r="L40" s="525">
        <v>2</v>
      </c>
      <c r="M40" s="891">
        <f>IF(O27&gt;0,+R29,0)</f>
        <v>31930.364421260696</v>
      </c>
      <c r="N40" s="891"/>
      <c r="O40" s="887">
        <f>+L40*M40</f>
        <v>63860.728842521392</v>
      </c>
      <c r="P40" s="888"/>
      <c r="Q40" s="540"/>
      <c r="R40" s="526">
        <f>P29+O40</f>
        <v>42903766.327367291</v>
      </c>
      <c r="S40" s="94"/>
    </row>
    <row r="41" spans="2:19" x14ac:dyDescent="0.2">
      <c r="B41" s="1"/>
      <c r="C41" s="1"/>
      <c r="D41" s="1"/>
      <c r="E41" s="1"/>
      <c r="F41" s="1"/>
      <c r="G41" s="1"/>
      <c r="H41" s="296"/>
    </row>
    <row r="42" spans="2:19" x14ac:dyDescent="0.2">
      <c r="L42" s="296"/>
    </row>
    <row r="43" spans="2:19" x14ac:dyDescent="0.2">
      <c r="L43" s="296"/>
    </row>
    <row r="44" spans="2:19" x14ac:dyDescent="0.2">
      <c r="G44" s="147"/>
      <c r="H44" s="147"/>
    </row>
    <row r="51" spans="2:3" x14ac:dyDescent="0.2">
      <c r="B51" s="886" t="s">
        <v>145</v>
      </c>
      <c r="C51" s="886"/>
    </row>
    <row r="52" spans="2:3" x14ac:dyDescent="0.2">
      <c r="B52" s="321" t="s">
        <v>146</v>
      </c>
      <c r="C52" s="322"/>
    </row>
    <row r="53" spans="2:3" x14ac:dyDescent="0.2">
      <c r="B53" s="321" t="s">
        <v>147</v>
      </c>
      <c r="C53" s="322"/>
    </row>
  </sheetData>
  <mergeCells count="22">
    <mergeCell ref="B51:C51"/>
    <mergeCell ref="F40:G40"/>
    <mergeCell ref="O38:P38"/>
    <mergeCell ref="O39:P39"/>
    <mergeCell ref="O40:P40"/>
    <mergeCell ref="D40:E40"/>
    <mergeCell ref="M38:N38"/>
    <mergeCell ref="M39:N39"/>
    <mergeCell ref="M40:N40"/>
    <mergeCell ref="F38:G38"/>
    <mergeCell ref="B14:R14"/>
    <mergeCell ref="F39:G39"/>
    <mergeCell ref="D38:E38"/>
    <mergeCell ref="D39:E39"/>
    <mergeCell ref="K19:R19"/>
    <mergeCell ref="B19:I19"/>
    <mergeCell ref="B37:I37"/>
    <mergeCell ref="K37:R37"/>
    <mergeCell ref="B35:I35"/>
    <mergeCell ref="K35:R35"/>
    <mergeCell ref="B30:I30"/>
    <mergeCell ref="K30:R30"/>
  </mergeCells>
  <pageMargins left="0.7" right="0.7" top="0.75" bottom="0.75" header="0.3" footer="0.3"/>
  <pageSetup scale="44" orientation="landscape" horizontalDpi="4294967293"/>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'2. Customer Classes'!$B$14:$B$21</xm:f>
          </x14:formula1>
          <xm:sqref>B19:I19 K19:R19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AO65"/>
  <sheetViews>
    <sheetView showGridLines="0" topLeftCell="H1" workbookViewId="0">
      <selection activeCell="U32" sqref="M18:U32"/>
    </sheetView>
  </sheetViews>
  <sheetFormatPr defaultColWidth="11.1640625" defaultRowHeight="12.75" x14ac:dyDescent="0.2"/>
  <cols>
    <col min="1" max="1" width="13.6640625" style="1" customWidth="1"/>
    <col min="2" max="6" width="15.1640625" style="38" customWidth="1"/>
    <col min="7" max="7" width="17" style="38" customWidth="1"/>
    <col min="8" max="8" width="16.6640625" style="38" customWidth="1"/>
    <col min="9" max="9" width="17.83203125" style="38" customWidth="1"/>
    <col min="10" max="10" width="16.1640625" style="38" customWidth="1"/>
    <col min="11" max="12" width="4.33203125" style="38" customWidth="1"/>
    <col min="13" max="15" width="15.1640625" style="92" customWidth="1"/>
    <col min="16" max="16" width="15.1640625" style="38" customWidth="1"/>
    <col min="17" max="21" width="15.1640625" style="1" customWidth="1"/>
    <col min="22" max="22" width="4.33203125" style="1" customWidth="1"/>
    <col min="23" max="29" width="15.1640625" style="1" customWidth="1"/>
    <col min="30" max="30" width="13.83203125" style="43" customWidth="1"/>
    <col min="31" max="31" width="13.83203125" style="1" customWidth="1"/>
    <col min="32" max="32" width="2.33203125" style="1" customWidth="1"/>
    <col min="33" max="38" width="15.1640625" style="1" customWidth="1"/>
    <col min="39" max="39" width="16.33203125" style="1" bestFit="1" customWidth="1"/>
    <col min="40" max="40" width="15.1640625" style="1" customWidth="1"/>
    <col min="41" max="41" width="20.33203125" style="1" customWidth="1"/>
    <col min="42" max="16384" width="11.1640625" style="1"/>
  </cols>
  <sheetData>
    <row r="1" spans="1:30" s="296" customFormat="1" x14ac:dyDescent="0.2">
      <c r="A1" s="366" t="s">
        <v>198</v>
      </c>
      <c r="B1" s="38"/>
      <c r="C1" s="38"/>
      <c r="D1" s="38"/>
      <c r="E1" s="38"/>
      <c r="F1" s="38"/>
      <c r="G1" s="38"/>
      <c r="H1" s="38"/>
      <c r="I1" s="38"/>
      <c r="J1" s="38"/>
      <c r="K1" s="38"/>
      <c r="L1" s="38"/>
      <c r="M1" s="92"/>
      <c r="N1" s="92"/>
      <c r="O1" s="92"/>
      <c r="P1" s="38"/>
      <c r="AD1" s="43"/>
    </row>
    <row r="2" spans="1:30" s="296" customFormat="1" x14ac:dyDescent="0.2">
      <c r="B2" s="38"/>
      <c r="C2" s="38"/>
      <c r="D2" s="38"/>
      <c r="E2" s="38"/>
      <c r="F2" s="38"/>
      <c r="G2" s="38"/>
      <c r="H2" s="38"/>
      <c r="I2" s="38"/>
      <c r="J2" s="38"/>
      <c r="K2" s="38"/>
      <c r="L2" s="38"/>
      <c r="M2" s="92"/>
      <c r="N2" s="92"/>
      <c r="O2" s="92"/>
      <c r="P2" s="38"/>
      <c r="AD2" s="43"/>
    </row>
    <row r="3" spans="1:30" s="296" customFormat="1" x14ac:dyDescent="0.2">
      <c r="B3" s="38"/>
      <c r="C3" s="38"/>
      <c r="D3" s="38"/>
      <c r="E3" s="38"/>
      <c r="F3" s="38"/>
      <c r="G3" s="38"/>
      <c r="H3" s="38"/>
      <c r="I3" s="38"/>
      <c r="J3" s="38"/>
      <c r="K3" s="38"/>
      <c r="L3" s="38"/>
      <c r="M3" s="92"/>
      <c r="N3" s="92"/>
      <c r="O3" s="92"/>
      <c r="P3" s="38"/>
      <c r="AD3" s="43"/>
    </row>
    <row r="4" spans="1:30" s="296" customFormat="1" x14ac:dyDescent="0.2">
      <c r="B4" s="38"/>
      <c r="C4" s="38"/>
      <c r="D4" s="38"/>
      <c r="E4" s="38"/>
      <c r="F4" s="38"/>
      <c r="G4" s="38"/>
      <c r="H4" s="38"/>
      <c r="I4" s="38"/>
      <c r="J4" s="38"/>
      <c r="K4" s="38"/>
      <c r="L4" s="38"/>
      <c r="M4" s="92"/>
      <c r="N4" s="92"/>
      <c r="O4" s="92"/>
      <c r="P4" s="38"/>
      <c r="AD4" s="43"/>
    </row>
    <row r="5" spans="1:30" s="296" customFormat="1" x14ac:dyDescent="0.2">
      <c r="B5" s="38"/>
      <c r="C5" s="38"/>
      <c r="D5" s="38"/>
      <c r="E5" s="38"/>
      <c r="F5" s="38"/>
      <c r="G5" s="38"/>
      <c r="H5" s="38"/>
      <c r="I5" s="38"/>
      <c r="J5" s="38"/>
      <c r="K5" s="38"/>
      <c r="L5" s="38"/>
      <c r="M5" s="92"/>
      <c r="N5" s="92"/>
      <c r="O5" s="92"/>
      <c r="P5" s="38"/>
      <c r="AD5" s="43"/>
    </row>
    <row r="6" spans="1:30" s="296" customFormat="1" x14ac:dyDescent="0.2">
      <c r="B6" s="38"/>
      <c r="C6" s="38"/>
      <c r="D6" s="38"/>
      <c r="E6" s="38"/>
      <c r="F6" s="38"/>
      <c r="G6" s="38"/>
      <c r="H6" s="38"/>
      <c r="I6" s="38"/>
      <c r="J6" s="38"/>
      <c r="K6" s="38"/>
      <c r="L6" s="38"/>
      <c r="M6" s="92"/>
      <c r="N6" s="92"/>
      <c r="O6" s="92"/>
      <c r="P6" s="38"/>
      <c r="AD6" s="43"/>
    </row>
    <row r="7" spans="1:30" s="296" customFormat="1" x14ac:dyDescent="0.2">
      <c r="B7" s="38"/>
      <c r="C7" s="38"/>
      <c r="D7" s="38"/>
      <c r="E7" s="38"/>
      <c r="F7" s="38"/>
      <c r="G7" s="38"/>
      <c r="H7" s="38"/>
      <c r="I7" s="38"/>
      <c r="J7" s="38"/>
      <c r="K7" s="38"/>
      <c r="L7" s="38"/>
      <c r="M7" s="92"/>
      <c r="N7" s="92"/>
      <c r="O7" s="92"/>
      <c r="P7" s="38"/>
      <c r="AD7" s="43"/>
    </row>
    <row r="8" spans="1:30" s="296" customFormat="1" x14ac:dyDescent="0.2">
      <c r="B8" s="38"/>
      <c r="C8" s="38"/>
      <c r="D8" s="38"/>
      <c r="E8" s="38"/>
      <c r="F8" s="38"/>
      <c r="G8" s="38"/>
      <c r="H8" s="38"/>
      <c r="I8" s="38"/>
      <c r="J8" s="38"/>
      <c r="K8" s="38"/>
      <c r="L8" s="38"/>
      <c r="M8" s="92"/>
      <c r="N8" s="92"/>
      <c r="O8" s="92"/>
      <c r="P8" s="38"/>
      <c r="AD8" s="43"/>
    </row>
    <row r="9" spans="1:30" s="296" customFormat="1" x14ac:dyDescent="0.2">
      <c r="B9" s="38"/>
      <c r="C9" s="38"/>
      <c r="D9" s="38"/>
      <c r="E9" s="38"/>
      <c r="F9" s="38"/>
      <c r="G9" s="38"/>
      <c r="H9" s="38"/>
      <c r="I9" s="38"/>
      <c r="J9" s="38"/>
      <c r="K9" s="38"/>
      <c r="L9" s="38"/>
      <c r="M9" s="92"/>
      <c r="N9" s="92"/>
      <c r="O9" s="92"/>
      <c r="P9" s="38"/>
      <c r="AD9" s="43"/>
    </row>
    <row r="11" spans="1:30" ht="23.25" x14ac:dyDescent="0.2">
      <c r="B11" s="79" t="s">
        <v>75</v>
      </c>
      <c r="C11" s="79"/>
      <c r="D11" s="79"/>
      <c r="Z11" s="43"/>
      <c r="AD11" s="1"/>
    </row>
    <row r="12" spans="1:30" ht="15" customHeight="1" x14ac:dyDescent="0.2">
      <c r="B12" s="42" t="s">
        <v>55</v>
      </c>
      <c r="C12" s="79"/>
      <c r="D12" s="79"/>
    </row>
    <row r="13" spans="1:30" ht="15" customHeight="1" x14ac:dyDescent="0.2">
      <c r="B13" s="71" t="s">
        <v>189</v>
      </c>
      <c r="C13" s="79"/>
      <c r="D13" s="79"/>
    </row>
    <row r="14" spans="1:30" ht="15" customHeight="1" x14ac:dyDescent="0.2">
      <c r="B14" s="71" t="s">
        <v>190</v>
      </c>
      <c r="C14" s="79"/>
      <c r="D14" s="79"/>
    </row>
    <row r="15" spans="1:30" ht="15" customHeight="1" x14ac:dyDescent="0.2">
      <c r="B15" s="71" t="s">
        <v>191</v>
      </c>
      <c r="C15" s="79"/>
      <c r="D15" s="79"/>
    </row>
    <row r="16" spans="1:30" ht="14.25" x14ac:dyDescent="0.2">
      <c r="B16" s="71" t="s">
        <v>192</v>
      </c>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7"/>
      <c r="AD16" s="17"/>
    </row>
    <row r="17" spans="2:41" s="296" customFormat="1" ht="15" thickBot="1" x14ac:dyDescent="0.25">
      <c r="B17" s="71"/>
      <c r="C17" s="297"/>
      <c r="D17" s="297"/>
      <c r="E17" s="297"/>
      <c r="F17" s="297"/>
      <c r="G17" s="297"/>
      <c r="H17" s="297"/>
      <c r="I17" s="297"/>
      <c r="J17" s="297"/>
      <c r="K17" s="297"/>
      <c r="L17" s="297"/>
      <c r="M17" s="297"/>
      <c r="N17" s="297"/>
      <c r="O17" s="297"/>
      <c r="P17" s="297"/>
      <c r="Q17" s="297"/>
      <c r="R17" s="297"/>
      <c r="S17" s="297"/>
      <c r="T17" s="297"/>
      <c r="U17" s="297"/>
      <c r="V17" s="297"/>
      <c r="W17" s="297"/>
      <c r="X17" s="297"/>
      <c r="Y17" s="297"/>
      <c r="Z17" s="297"/>
      <c r="AA17" s="297"/>
      <c r="AB17" s="297"/>
      <c r="AC17" s="17"/>
      <c r="AD17" s="17"/>
    </row>
    <row r="18" spans="2:41" ht="12.75" customHeight="1" thickBot="1" x14ac:dyDescent="0.25">
      <c r="B18" s="876" t="s">
        <v>197</v>
      </c>
      <c r="C18" s="877"/>
      <c r="D18" s="877"/>
      <c r="E18" s="877"/>
      <c r="F18" s="877"/>
      <c r="G18" s="877"/>
      <c r="H18" s="877"/>
      <c r="I18" s="877"/>
      <c r="J18" s="878"/>
      <c r="K18" s="123"/>
      <c r="L18" s="123"/>
      <c r="M18" s="876" t="s">
        <v>79</v>
      </c>
      <c r="N18" s="877"/>
      <c r="O18" s="877"/>
      <c r="P18" s="877"/>
      <c r="Q18" s="877"/>
      <c r="R18" s="877"/>
      <c r="S18" s="877"/>
      <c r="T18" s="877"/>
      <c r="U18" s="878"/>
      <c r="V18" s="123"/>
      <c r="W18" s="876" t="s">
        <v>80</v>
      </c>
      <c r="X18" s="877"/>
      <c r="Y18" s="877"/>
      <c r="Z18" s="877"/>
      <c r="AA18" s="877"/>
      <c r="AB18" s="877"/>
      <c r="AC18" s="877"/>
      <c r="AD18" s="877"/>
      <c r="AE18" s="878"/>
      <c r="AG18" s="876" t="s">
        <v>241</v>
      </c>
      <c r="AH18" s="877"/>
      <c r="AI18" s="877"/>
      <c r="AJ18" s="877"/>
      <c r="AK18" s="877"/>
      <c r="AL18" s="877"/>
      <c r="AM18" s="877"/>
      <c r="AN18" s="877"/>
      <c r="AO18" s="878"/>
    </row>
    <row r="19" spans="2:41" ht="46.5" customHeight="1" x14ac:dyDescent="0.2">
      <c r="B19" s="251" t="s">
        <v>32</v>
      </c>
      <c r="C19" s="271" t="s">
        <v>35</v>
      </c>
      <c r="D19" s="271" t="s">
        <v>174</v>
      </c>
      <c r="E19" s="249" t="s">
        <v>35</v>
      </c>
      <c r="F19" s="249" t="s">
        <v>36</v>
      </c>
      <c r="G19" s="249" t="s">
        <v>151</v>
      </c>
      <c r="H19" s="249" t="s">
        <v>149</v>
      </c>
      <c r="I19" s="249" t="s">
        <v>150</v>
      </c>
      <c r="J19" s="250" t="s">
        <v>40</v>
      </c>
      <c r="K19" s="124"/>
      <c r="L19" s="124"/>
      <c r="M19" s="251" t="s">
        <v>32</v>
      </c>
      <c r="N19" s="271" t="s">
        <v>35</v>
      </c>
      <c r="O19" s="271" t="s">
        <v>174</v>
      </c>
      <c r="P19" s="249" t="s">
        <v>35</v>
      </c>
      <c r="Q19" s="249" t="s">
        <v>36</v>
      </c>
      <c r="R19" s="249" t="s">
        <v>151</v>
      </c>
      <c r="S19" s="249" t="s">
        <v>149</v>
      </c>
      <c r="T19" s="249" t="s">
        <v>150</v>
      </c>
      <c r="U19" s="250" t="s">
        <v>40</v>
      </c>
      <c r="V19" s="43"/>
      <c r="W19" s="241" t="s">
        <v>32</v>
      </c>
      <c r="X19" s="271" t="s">
        <v>35</v>
      </c>
      <c r="Y19" s="271" t="s">
        <v>174</v>
      </c>
      <c r="Z19" s="236" t="s">
        <v>35</v>
      </c>
      <c r="AA19" s="236" t="s">
        <v>36</v>
      </c>
      <c r="AB19" s="236" t="s">
        <v>151</v>
      </c>
      <c r="AC19" s="236" t="s">
        <v>149</v>
      </c>
      <c r="AD19" s="236" t="s">
        <v>150</v>
      </c>
      <c r="AE19" s="215" t="s">
        <v>40</v>
      </c>
      <c r="AG19" s="251" t="s">
        <v>32</v>
      </c>
      <c r="AH19" s="271" t="s">
        <v>35</v>
      </c>
      <c r="AI19" s="271" t="s">
        <v>174</v>
      </c>
      <c r="AJ19" s="236" t="s">
        <v>35</v>
      </c>
      <c r="AK19" s="249" t="s">
        <v>36</v>
      </c>
      <c r="AL19" s="249" t="s">
        <v>151</v>
      </c>
      <c r="AM19" s="249" t="s">
        <v>149</v>
      </c>
      <c r="AN19" s="249" t="s">
        <v>150</v>
      </c>
      <c r="AO19" s="250" t="s">
        <v>40</v>
      </c>
    </row>
    <row r="20" spans="2:41" x14ac:dyDescent="0.2">
      <c r="B20" s="65" t="s">
        <v>29</v>
      </c>
      <c r="C20" s="272"/>
      <c r="D20" s="272"/>
      <c r="E20" s="66"/>
      <c r="F20" s="66"/>
      <c r="G20" s="209"/>
      <c r="H20" s="209"/>
      <c r="I20" s="298"/>
      <c r="J20" s="238"/>
      <c r="K20" s="93"/>
      <c r="L20" s="93"/>
      <c r="M20" s="65" t="s">
        <v>29</v>
      </c>
      <c r="N20" s="272"/>
      <c r="O20" s="272"/>
      <c r="P20" s="66"/>
      <c r="Q20" s="66"/>
      <c r="R20" s="66"/>
      <c r="S20" s="66"/>
      <c r="T20" s="66"/>
      <c r="U20" s="67"/>
      <c r="V20" s="43"/>
      <c r="W20" s="65" t="s">
        <v>29</v>
      </c>
      <c r="X20" s="272"/>
      <c r="Y20" s="272"/>
      <c r="Z20" s="66"/>
      <c r="AA20" s="66"/>
      <c r="AB20" s="66"/>
      <c r="AC20" s="66"/>
      <c r="AD20" s="66"/>
      <c r="AE20" s="150"/>
      <c r="AG20" s="65" t="s">
        <v>29</v>
      </c>
      <c r="AH20" s="272"/>
      <c r="AI20" s="272"/>
      <c r="AJ20" s="66"/>
      <c r="AK20" s="66"/>
      <c r="AL20" s="66"/>
      <c r="AM20" s="66"/>
      <c r="AN20" s="66"/>
      <c r="AO20" s="150"/>
    </row>
    <row r="21" spans="2:41" ht="12.75" customHeight="1" x14ac:dyDescent="0.2">
      <c r="B21" s="127">
        <f>'4. Customer Growth'!B17</f>
        <v>2011</v>
      </c>
      <c r="C21" s="49">
        <f>+'3. Consumption by Rate Class'!J134</f>
        <v>78632456.620000005</v>
      </c>
      <c r="D21" s="253"/>
      <c r="E21" s="49">
        <f t="shared" ref="E21:E29" si="0">+D21+C21</f>
        <v>78632456.620000005</v>
      </c>
      <c r="F21" s="49">
        <f>+'3. Consumption by Rate Class'!K134</f>
        <v>199917.50000000003</v>
      </c>
      <c r="G21" s="49">
        <f>+'3. Consumption by Rate Class'!L134</f>
        <v>120.04166666666667</v>
      </c>
      <c r="H21" s="237">
        <f t="shared" ref="H21:H29" si="1">IF(F21&gt;0,+E21/G21,0)</f>
        <v>655043.02633807703</v>
      </c>
      <c r="I21" s="240">
        <f t="shared" ref="I21:I29" si="2">IF(F21&gt;0,+F21/G21,0)</f>
        <v>1665.4009024644222</v>
      </c>
      <c r="J21" s="220">
        <f t="shared" ref="J21:J27" si="3">IF(F21&gt;0,+F21/E21,0)</f>
        <v>2.5424297878180679E-3</v>
      </c>
      <c r="K21" s="121"/>
      <c r="L21" s="121"/>
      <c r="M21" s="127">
        <f t="shared" ref="M21:M29" si="4">B21</f>
        <v>2011</v>
      </c>
      <c r="N21" s="49">
        <f>+'3. Consumption by Rate Class'!M134</f>
        <v>1153887.57</v>
      </c>
      <c r="O21" s="253"/>
      <c r="P21" s="49">
        <f t="shared" ref="P21:P29" si="5">+N21+O21</f>
        <v>1153887.57</v>
      </c>
      <c r="Q21" s="49">
        <f>+'3. Consumption by Rate Class'!N134</f>
        <v>3221.89</v>
      </c>
      <c r="R21" s="49">
        <f>+'3. Consumption by Rate Class'!O134</f>
        <v>1946</v>
      </c>
      <c r="S21" s="237">
        <f t="shared" ref="S21:S29" si="6">IF(Q21&gt;0,+P21/R21,0)</f>
        <v>592.95353031860225</v>
      </c>
      <c r="T21" s="240">
        <f t="shared" ref="T21:T29" si="7">IF(Q21&gt;0,+Q21/R21,0)</f>
        <v>1.6556474820143885</v>
      </c>
      <c r="U21" s="220">
        <f t="shared" ref="U21:U27" si="8">IF(Q21&gt;0,+Q21/P21,0)</f>
        <v>2.7922044432803794E-3</v>
      </c>
      <c r="V21" s="43"/>
      <c r="W21" s="127">
        <f t="shared" ref="W21:W29" si="9">B21</f>
        <v>2011</v>
      </c>
      <c r="X21" s="49">
        <f>+'3. Consumption by Rate Class'!H134</f>
        <v>225362.2</v>
      </c>
      <c r="Y21" s="253"/>
      <c r="Z21" s="49">
        <f t="shared" ref="Z21:Z29" si="10">+X21+Y21</f>
        <v>225362.2</v>
      </c>
      <c r="AA21" s="298"/>
      <c r="AB21" s="49">
        <f>+'3. Consumption by Rate Class'!I134</f>
        <v>22.083333333333332</v>
      </c>
      <c r="AC21" s="237">
        <f>+Z21/AB21</f>
        <v>10205.080754716982</v>
      </c>
      <c r="AD21" s="240">
        <f t="shared" ref="AD21:AD29" si="11">IF(AA21&gt;0,+AA21/AB21,0)</f>
        <v>0</v>
      </c>
      <c r="AE21" s="220">
        <f t="shared" ref="AE21:AE29" si="12">IF(AA21&gt;0,+AA21/Z21,0)</f>
        <v>0</v>
      </c>
      <c r="AG21" s="235">
        <f t="shared" ref="AG21:AG29" si="13">+B21</f>
        <v>2011</v>
      </c>
      <c r="AH21" s="49">
        <f>IF($AG$18='2. Customer Classes'!$B$14,+SUM('3. Consumption by Rate Class'!$D$25:$D$36),+IF($AG$18='2. Customer Classes'!$B$15,+SUM('3. Consumption by Rate Class'!$F$25:$F$36),+IF($AG$18='2. Customer Classes'!$B$16,+SUM('3. Consumption by Rate Class'!$H$25:$H$36),+IF($AG$18='2. Customer Classes'!$B$17,+SUM('3. Consumption by Rate Class'!#REF!),+IF($AG$18='2. Customer Classes'!$B$18,+SUM('3. Consumption by Rate Class'!$J$25:$J$36),+IF($AG$18='2. Customer Classes'!$B$19,+SUM('3. Consumption by Rate Class'!$M$25:$M$36),IF($AG$18='2. Customer Classes'!$B$20,+SUM('3. Consumption by Rate Class'!$P$25:$P$36),IF($AG$18='2. Customer Classes'!$B$21,+SUM('3. Consumption by Rate Class'!#REF!),0))))))))</f>
        <v>0</v>
      </c>
      <c r="AI21" s="253"/>
      <c r="AJ21" s="49">
        <f t="shared" ref="AJ21:AJ29" si="14">+AH21+AI21</f>
        <v>0</v>
      </c>
      <c r="AK21" s="298">
        <f>+IF($AG$18='2. Customer Classes'!$B$18,+SUM('3. Consumption by Rate Class'!$K$25:$K$36),+IF($AG$18='2. Customer Classes'!$B$19,+SUM('3. Consumption by Rate Class'!$N$25:$N$36),IF($AG$18='2. Customer Classes'!$B$20,+SUM('3. Consumption by Rate Class'!$Q$25:$Q$36),IF($AG$18='2. Customer Classes'!$B$21,+SUM('3. Consumption by Rate Class'!#REF!),0))))</f>
        <v>0</v>
      </c>
      <c r="AL21" s="298">
        <f>IF($AG$18='2. Customer Classes'!$B$14,+'4. Customer Growth'!$C17,+IF($AG$18='2. Customer Classes'!$B$15,+'4. Customer Growth'!$E17,+IF($AG$18='2. Customer Classes'!$B$16,+'4. Customer Growth'!$G17,+IF($AG$18='2. Customer Classes'!$B$17,+'4. Customer Growth'!#REF!,+IF($AG$18='2. Customer Classes'!$B$18,+'4. Customer Growth'!$I17,+IF($AG$18='2. Customer Classes'!$B$19,+'4. Customer Growth'!$K17,IF($AG$18='2. Customer Classes'!$B$20,+'4. Customer Growth'!$M17,IF($AG$18='2. Customer Classes'!$B$21,+'4. Customer Growth'!#REF!,0))))))))</f>
        <v>0</v>
      </c>
      <c r="AM21" s="237">
        <f t="shared" ref="AM21:AM29" si="15">IF(AK21&gt;0,+AJ21/AL21,0)</f>
        <v>0</v>
      </c>
      <c r="AN21" s="240">
        <f t="shared" ref="AN21:AN29" si="16">IF(AK21&gt;0,+AK21/AL21,0)</f>
        <v>0</v>
      </c>
      <c r="AO21" s="220">
        <f t="shared" ref="AO21:AO27" si="17">IF(AK21&gt;0,+AK21/AJ21,0)</f>
        <v>0</v>
      </c>
    </row>
    <row r="22" spans="2:41" ht="12.75" customHeight="1" x14ac:dyDescent="0.2">
      <c r="B22" s="127">
        <f>'4. Customer Growth'!B18</f>
        <v>2012</v>
      </c>
      <c r="C22" s="49">
        <f>+'3. Consumption by Rate Class'!J135</f>
        <v>77993647.680000007</v>
      </c>
      <c r="D22" s="253"/>
      <c r="E22" s="49">
        <f t="shared" si="0"/>
        <v>77993647.680000007</v>
      </c>
      <c r="F22" s="49">
        <f>+'3. Consumption by Rate Class'!K135</f>
        <v>202737.81</v>
      </c>
      <c r="G22" s="49">
        <f>+'3. Consumption by Rate Class'!L135</f>
        <v>117.70833333333333</v>
      </c>
      <c r="H22" s="237">
        <f t="shared" si="1"/>
        <v>662600.90064424789</v>
      </c>
      <c r="I22" s="240">
        <f t="shared" si="2"/>
        <v>1722.3743150442479</v>
      </c>
      <c r="J22" s="220">
        <f t="shared" si="3"/>
        <v>2.5994143886155009E-3</v>
      </c>
      <c r="K22" s="121"/>
      <c r="L22" s="121"/>
      <c r="M22" s="127">
        <f t="shared" si="4"/>
        <v>2012</v>
      </c>
      <c r="N22" s="49">
        <f>+'3. Consumption by Rate Class'!M135</f>
        <v>1163464.3800000001</v>
      </c>
      <c r="O22" s="253"/>
      <c r="P22" s="49">
        <f t="shared" si="5"/>
        <v>1163464.3800000001</v>
      </c>
      <c r="Q22" s="49">
        <f>+'3. Consumption by Rate Class'!N135</f>
        <v>3238.8</v>
      </c>
      <c r="R22" s="49">
        <f>+'3. Consumption by Rate Class'!O135</f>
        <v>1946.75</v>
      </c>
      <c r="S22" s="237">
        <f t="shared" si="6"/>
        <v>597.64447412353934</v>
      </c>
      <c r="T22" s="240">
        <f t="shared" si="7"/>
        <v>1.6636959034287917</v>
      </c>
      <c r="U22" s="220">
        <f t="shared" si="8"/>
        <v>2.7837551846666762E-3</v>
      </c>
      <c r="V22" s="43"/>
      <c r="W22" s="127">
        <f t="shared" si="9"/>
        <v>2012</v>
      </c>
      <c r="X22" s="49">
        <f>+'3. Consumption by Rate Class'!H135</f>
        <v>226393.8</v>
      </c>
      <c r="Y22" s="253"/>
      <c r="Z22" s="49">
        <f t="shared" si="10"/>
        <v>226393.8</v>
      </c>
      <c r="AA22" s="298"/>
      <c r="AB22" s="49">
        <f>+'3. Consumption by Rate Class'!I135</f>
        <v>22</v>
      </c>
      <c r="AC22" s="237">
        <f t="shared" ref="AC22:AC29" si="18">+Z22/AB22</f>
        <v>10290.627272727272</v>
      </c>
      <c r="AD22" s="240">
        <f t="shared" si="11"/>
        <v>0</v>
      </c>
      <c r="AE22" s="220">
        <f t="shared" si="12"/>
        <v>0</v>
      </c>
      <c r="AG22" s="235">
        <f t="shared" si="13"/>
        <v>2012</v>
      </c>
      <c r="AH22" s="49">
        <f>IF($AG$18='2. Customer Classes'!$B$14,+SUM('3. Consumption by Rate Class'!$D$37:$D$48),+IF($AG$18='2. Customer Classes'!$B$15,+SUM('3. Consumption by Rate Class'!$F$37:$F$48),+IF($AG$18='2. Customer Classes'!$B$16,+SUM('3. Consumption by Rate Class'!$H$37:$H$48),+IF($AG$18='2. Customer Classes'!$B$17,+SUM('3. Consumption by Rate Class'!#REF!),+IF($AG$18='2. Customer Classes'!$B$18,+SUM('3. Consumption by Rate Class'!$J$37:$J$48),+IF($AG$18='2. Customer Classes'!$B$19,+SUM('3. Consumption by Rate Class'!$M$37:$M$48),IF($AG$18='2. Customer Classes'!$B$20,+SUM('3. Consumption by Rate Class'!$P$37:$P$48),IF($AG$18='2. Customer Classes'!$B$21,+SUM('3. Consumption by Rate Class'!#REF!),0))))))))</f>
        <v>0</v>
      </c>
      <c r="AI22" s="253"/>
      <c r="AJ22" s="49">
        <f t="shared" si="14"/>
        <v>0</v>
      </c>
      <c r="AK22" s="298">
        <f>+IF($AG$18='2. Customer Classes'!$B$18,+SUM('3. Consumption by Rate Class'!$K$37:$K$48),+IF($AG$18='2. Customer Classes'!$B$19,+SUM('3. Consumption by Rate Class'!$N$37:$N$48),IF($AG$18='2. Customer Classes'!$B$20,+SUM('3. Consumption by Rate Class'!$Q$37:$Q$48),IF($AG$18='2. Customer Classes'!$B$21,+SUM('3. Consumption by Rate Class'!#REF!),0))))</f>
        <v>0</v>
      </c>
      <c r="AL22" s="298">
        <f>IF($AG$18='2. Customer Classes'!$B$14,+'4. Customer Growth'!$C18,+IF($AG$18='2. Customer Classes'!$B$15,+'4. Customer Growth'!$E18,+IF($AG$18='2. Customer Classes'!$B$16,+'4. Customer Growth'!$G18,+IF($AG$18='2. Customer Classes'!$B$17,+'4. Customer Growth'!#REF!,+IF($AG$18='2. Customer Classes'!$B$18,+'4. Customer Growth'!$I18,+IF($AG$18='2. Customer Classes'!$B$19,+'4. Customer Growth'!$K18,IF($AG$18='2. Customer Classes'!$B$20,+'4. Customer Growth'!$M18,IF($AG$18='2. Customer Classes'!$B$21,+'4. Customer Growth'!#REF!,0))))))))</f>
        <v>0</v>
      </c>
      <c r="AM22" s="237">
        <f t="shared" si="15"/>
        <v>0</v>
      </c>
      <c r="AN22" s="240">
        <f t="shared" si="16"/>
        <v>0</v>
      </c>
      <c r="AO22" s="220">
        <f t="shared" si="17"/>
        <v>0</v>
      </c>
    </row>
    <row r="23" spans="2:41" ht="12.75" customHeight="1" x14ac:dyDescent="0.2">
      <c r="B23" s="127">
        <f>'4. Customer Growth'!B19</f>
        <v>2013</v>
      </c>
      <c r="C23" s="49">
        <f>+'3. Consumption by Rate Class'!J136</f>
        <v>77896093.379999995</v>
      </c>
      <c r="D23" s="253"/>
      <c r="E23" s="49">
        <f t="shared" si="0"/>
        <v>77896093.379999995</v>
      </c>
      <c r="F23" s="49">
        <f>+'3. Consumption by Rate Class'!K136</f>
        <v>204592.81999999998</v>
      </c>
      <c r="G23" s="49">
        <f>+'3. Consumption by Rate Class'!L136</f>
        <v>117.875</v>
      </c>
      <c r="H23" s="237">
        <f t="shared" si="1"/>
        <v>660836.42316012725</v>
      </c>
      <c r="I23" s="240">
        <f t="shared" si="2"/>
        <v>1735.6760975609754</v>
      </c>
      <c r="J23" s="220">
        <f t="shared" si="3"/>
        <v>2.6264837056967183E-3</v>
      </c>
      <c r="K23" s="121"/>
      <c r="L23" s="121"/>
      <c r="M23" s="127">
        <f t="shared" si="4"/>
        <v>2013</v>
      </c>
      <c r="N23" s="49">
        <f>+'3. Consumption by Rate Class'!M136</f>
        <v>1160023.9100000001</v>
      </c>
      <c r="O23" s="253"/>
      <c r="P23" s="49">
        <f t="shared" si="5"/>
        <v>1160023.9100000001</v>
      </c>
      <c r="Q23" s="49">
        <f>+'3. Consumption by Rate Class'!N136</f>
        <v>3256.79</v>
      </c>
      <c r="R23" s="49">
        <f>+'3. Consumption by Rate Class'!O136</f>
        <v>1948.75</v>
      </c>
      <c r="S23" s="237">
        <f t="shared" si="6"/>
        <v>595.26563694676076</v>
      </c>
      <c r="T23" s="240">
        <f t="shared" si="7"/>
        <v>1.6712200128287364</v>
      </c>
      <c r="U23" s="220">
        <f t="shared" si="8"/>
        <v>2.8075197174168586E-3</v>
      </c>
      <c r="V23" s="43"/>
      <c r="W23" s="127">
        <f t="shared" si="9"/>
        <v>2013</v>
      </c>
      <c r="X23" s="49">
        <f>+'3. Consumption by Rate Class'!H136</f>
        <v>234467.23</v>
      </c>
      <c r="Y23" s="253"/>
      <c r="Z23" s="49">
        <f t="shared" si="10"/>
        <v>234467.23</v>
      </c>
      <c r="AA23" s="298"/>
      <c r="AB23" s="49">
        <f>+'3. Consumption by Rate Class'!I136</f>
        <v>21.375</v>
      </c>
      <c r="AC23" s="237">
        <f t="shared" si="18"/>
        <v>10969.227134502924</v>
      </c>
      <c r="AD23" s="240">
        <f t="shared" si="11"/>
        <v>0</v>
      </c>
      <c r="AE23" s="220">
        <f t="shared" si="12"/>
        <v>0</v>
      </c>
      <c r="AG23" s="235">
        <f t="shared" si="13"/>
        <v>2013</v>
      </c>
      <c r="AH23" s="49">
        <f>IF($AG$18='2. Customer Classes'!$B$14,+SUM('3. Consumption by Rate Class'!$D$49:$D$60),+IF($AG$18='2. Customer Classes'!$B$15,+SUM('3. Consumption by Rate Class'!$F$49:$F$60),+IF($AG$18='2. Customer Classes'!$B$16,+SUM('3. Consumption by Rate Class'!$H$49:$H$60),+IF($AG$18='2. Customer Classes'!$B$17,+SUM('3. Consumption by Rate Class'!#REF!),+IF($AG$18='2. Customer Classes'!$B$18,+SUM('3. Consumption by Rate Class'!$J$49:$J$60),+IF($AG$18='2. Customer Classes'!$B$19,+SUM('3. Consumption by Rate Class'!$M$49:$M$60),IF($AG$18='2. Customer Classes'!$B$20,+SUM('3. Consumption by Rate Class'!$P$49:$P$60),IF($AG$18='2. Customer Classes'!$B$21,+SUM('3. Consumption by Rate Class'!#REF!),0))))))))</f>
        <v>0</v>
      </c>
      <c r="AI23" s="253"/>
      <c r="AJ23" s="49">
        <f t="shared" si="14"/>
        <v>0</v>
      </c>
      <c r="AK23" s="298">
        <f>+IF($AG$18='2. Customer Classes'!$B$18,+SUM('3. Consumption by Rate Class'!$K$49:$K$60),+IF($AG$18='2. Customer Classes'!$B$19,+SUM('3. Consumption by Rate Class'!$N$49:$N$60),IF($AG$18='2. Customer Classes'!$B$20,+SUM('3. Consumption by Rate Class'!$Q$49:$Q$60),IF($AG$18='2. Customer Classes'!$B$21,+SUM('3. Consumption by Rate Class'!#REF!),0))))</f>
        <v>0</v>
      </c>
      <c r="AL23" s="298">
        <f>IF($AG$18='2. Customer Classes'!$B$14,+'4. Customer Growth'!$C19,+IF($AG$18='2. Customer Classes'!$B$15,+'4. Customer Growth'!$E19,+IF($AG$18='2. Customer Classes'!$B$16,+'4. Customer Growth'!$G19,+IF($AG$18='2. Customer Classes'!$B$17,+'4. Customer Growth'!#REF!,+IF($AG$18='2. Customer Classes'!$B$18,+'4. Customer Growth'!$I19,+IF($AG$18='2. Customer Classes'!$B$19,+'4. Customer Growth'!$K19,IF($AG$18='2. Customer Classes'!$B$20,+'4. Customer Growth'!$M19,IF($AG$18='2. Customer Classes'!$B$21,+'4. Customer Growth'!#REF!,0))))))))</f>
        <v>0</v>
      </c>
      <c r="AM23" s="237">
        <f t="shared" si="15"/>
        <v>0</v>
      </c>
      <c r="AN23" s="240">
        <f t="shared" si="16"/>
        <v>0</v>
      </c>
      <c r="AO23" s="220">
        <f t="shared" si="17"/>
        <v>0</v>
      </c>
    </row>
    <row r="24" spans="2:41" ht="12.75" customHeight="1" x14ac:dyDescent="0.2">
      <c r="B24" s="127">
        <f>'4. Customer Growth'!B20</f>
        <v>2014</v>
      </c>
      <c r="C24" s="49">
        <f>+'3. Consumption by Rate Class'!J137</f>
        <v>80076898.530000001</v>
      </c>
      <c r="D24" s="253"/>
      <c r="E24" s="49">
        <f t="shared" si="0"/>
        <v>80076898.530000001</v>
      </c>
      <c r="F24" s="49">
        <f>+'3. Consumption by Rate Class'!K137</f>
        <v>208042.52000000002</v>
      </c>
      <c r="G24" s="49">
        <f>+'3. Consumption by Rate Class'!L137</f>
        <v>129.375</v>
      </c>
      <c r="H24" s="237">
        <f t="shared" si="1"/>
        <v>618951.87269565219</v>
      </c>
      <c r="I24" s="240">
        <f t="shared" si="2"/>
        <v>1608.0581256038649</v>
      </c>
      <c r="J24" s="220">
        <f t="shared" si="3"/>
        <v>2.5980341873762629E-3</v>
      </c>
      <c r="K24" s="121"/>
      <c r="L24" s="121"/>
      <c r="M24" s="127">
        <f t="shared" si="4"/>
        <v>2014</v>
      </c>
      <c r="N24" s="49">
        <f>+'3. Consumption by Rate Class'!M137</f>
        <v>1160025.06</v>
      </c>
      <c r="O24" s="253"/>
      <c r="P24" s="49">
        <f t="shared" si="5"/>
        <v>1160025.06</v>
      </c>
      <c r="Q24" s="49">
        <f>+'3. Consumption by Rate Class'!N137</f>
        <v>3238.8</v>
      </c>
      <c r="R24" s="49">
        <f>+'3. Consumption by Rate Class'!O137</f>
        <v>2051.3333333333335</v>
      </c>
      <c r="S24" s="237">
        <f t="shared" si="6"/>
        <v>565.4980792980175</v>
      </c>
      <c r="T24" s="240">
        <f t="shared" si="7"/>
        <v>1.5788755281117972</v>
      </c>
      <c r="U24" s="220">
        <f t="shared" si="8"/>
        <v>2.7920086485028178E-3</v>
      </c>
      <c r="V24" s="43"/>
      <c r="W24" s="127">
        <f t="shared" si="9"/>
        <v>2014</v>
      </c>
      <c r="X24" s="49">
        <f>+'3. Consumption by Rate Class'!H137</f>
        <v>230816.74</v>
      </c>
      <c r="Y24" s="253"/>
      <c r="Z24" s="49">
        <f t="shared" si="10"/>
        <v>230816.74</v>
      </c>
      <c r="AA24" s="298"/>
      <c r="AB24" s="49">
        <f>+'3. Consumption by Rate Class'!I137</f>
        <v>21.625</v>
      </c>
      <c r="AC24" s="237">
        <f t="shared" si="18"/>
        <v>10673.606473988439</v>
      </c>
      <c r="AD24" s="240">
        <f t="shared" si="11"/>
        <v>0</v>
      </c>
      <c r="AE24" s="220">
        <f t="shared" si="12"/>
        <v>0</v>
      </c>
      <c r="AG24" s="235">
        <f t="shared" si="13"/>
        <v>2014</v>
      </c>
      <c r="AH24" s="49">
        <f>IF($AG$18='2. Customer Classes'!$B$14,+SUM('3. Consumption by Rate Class'!$D$61:$D$72),+IF($AG$18='2. Customer Classes'!$B$15,+SUM('3. Consumption by Rate Class'!$F$61:$F$72),+IF($AG$18='2. Customer Classes'!$B$16,+SUM('3. Consumption by Rate Class'!$H$61:$H$72),+IF($AG$18='2. Customer Classes'!$B$17,+SUM('3. Consumption by Rate Class'!#REF!),+IF($AG$18='2. Customer Classes'!$B$18,+SUM('3. Consumption by Rate Class'!$J$61:$J$72),+IF($AG$18='2. Customer Classes'!$B$19,+SUM('3. Consumption by Rate Class'!$M$61:$M$72),IF($AG$18='2. Customer Classes'!$B$20,+SUM('3. Consumption by Rate Class'!$P$61:$P$72),IF($AG$18='2. Customer Classes'!$B$21,+SUM('3. Consumption by Rate Class'!#REF!),0))))))))</f>
        <v>0</v>
      </c>
      <c r="AI24" s="253"/>
      <c r="AJ24" s="49">
        <f t="shared" si="14"/>
        <v>0</v>
      </c>
      <c r="AK24" s="298">
        <f>+IF($AG$18='2. Customer Classes'!$B$18,+SUM('3. Consumption by Rate Class'!$K$61:$K$72),+IF($AG$18='2. Customer Classes'!$B$19,+SUM('3. Consumption by Rate Class'!$N$61:$N$72),IF($AG$18='2. Customer Classes'!$B$20,+SUM('3. Consumption by Rate Class'!$Q$61:$Q$72),IF($AG$18='2. Customer Classes'!$B$21,+SUM('3. Consumption by Rate Class'!#REF!),0))))</f>
        <v>0</v>
      </c>
      <c r="AL24" s="298">
        <f>IF($AG$18='2. Customer Classes'!$B$14,+'4. Customer Growth'!$C20,+IF($AG$18='2. Customer Classes'!$B$15,+'4. Customer Growth'!$E20,+IF($AG$18='2. Customer Classes'!$B$16,+'4. Customer Growth'!$G20,+IF($AG$18='2. Customer Classes'!$B$17,+'4. Customer Growth'!#REF!,+IF($AG$18='2. Customer Classes'!$B$18,+'4. Customer Growth'!$I20,+IF($AG$18='2. Customer Classes'!$B$19,+'4. Customer Growth'!$K20,IF($AG$18='2. Customer Classes'!$B$20,+'4. Customer Growth'!$M20,IF($AG$18='2. Customer Classes'!$B$21,+'4. Customer Growth'!#REF!,0))))))))</f>
        <v>0</v>
      </c>
      <c r="AM24" s="237">
        <f t="shared" si="15"/>
        <v>0</v>
      </c>
      <c r="AN24" s="240">
        <f t="shared" si="16"/>
        <v>0</v>
      </c>
      <c r="AO24" s="220">
        <f t="shared" si="17"/>
        <v>0</v>
      </c>
    </row>
    <row r="25" spans="2:41" ht="12.75" customHeight="1" x14ac:dyDescent="0.2">
      <c r="B25" s="127">
        <f>'4. Customer Growth'!B21</f>
        <v>2015</v>
      </c>
      <c r="C25" s="49">
        <f>+'3. Consumption by Rate Class'!J138</f>
        <v>81848511.329999983</v>
      </c>
      <c r="D25" s="253"/>
      <c r="E25" s="49">
        <f t="shared" si="0"/>
        <v>81848511.329999983</v>
      </c>
      <c r="F25" s="49">
        <f>+'3. Consumption by Rate Class'!K138</f>
        <v>213948.53999999998</v>
      </c>
      <c r="G25" s="49">
        <f>+'3. Consumption by Rate Class'!L138</f>
        <v>128</v>
      </c>
      <c r="H25" s="237">
        <f t="shared" si="1"/>
        <v>639441.49476562487</v>
      </c>
      <c r="I25" s="240">
        <f t="shared" si="2"/>
        <v>1671.4729687499998</v>
      </c>
      <c r="J25" s="220">
        <f t="shared" si="3"/>
        <v>2.6139576215063218E-3</v>
      </c>
      <c r="K25" s="121"/>
      <c r="L25" s="121"/>
      <c r="M25" s="127">
        <f t="shared" si="4"/>
        <v>2015</v>
      </c>
      <c r="N25" s="49">
        <f>+'3. Consumption by Rate Class'!M138</f>
        <v>974371.32000000007</v>
      </c>
      <c r="O25" s="253"/>
      <c r="P25" s="49">
        <f t="shared" si="5"/>
        <v>974371.32000000007</v>
      </c>
      <c r="Q25" s="49">
        <f>+'3. Consumption by Rate Class'!N138</f>
        <v>2742.9900000000007</v>
      </c>
      <c r="R25" s="49">
        <f>+'3. Consumption by Rate Class'!O138</f>
        <v>2080.75</v>
      </c>
      <c r="S25" s="237">
        <f t="shared" si="6"/>
        <v>468.27889943529982</v>
      </c>
      <c r="T25" s="240">
        <f t="shared" si="7"/>
        <v>1.3182698546197289</v>
      </c>
      <c r="U25" s="220">
        <f t="shared" si="8"/>
        <v>2.8151382780847866E-3</v>
      </c>
      <c r="V25" s="43"/>
      <c r="W25" s="127">
        <f t="shared" si="9"/>
        <v>2015</v>
      </c>
      <c r="X25" s="49">
        <f>+'3. Consumption by Rate Class'!H138</f>
        <v>224901.2</v>
      </c>
      <c r="Y25" s="253"/>
      <c r="Z25" s="49">
        <f t="shared" si="10"/>
        <v>224901.2</v>
      </c>
      <c r="AA25" s="298"/>
      <c r="AB25" s="49">
        <f>+'3. Consumption by Rate Class'!I138</f>
        <v>20.208333333333332</v>
      </c>
      <c r="AC25" s="237">
        <f t="shared" si="18"/>
        <v>11129.131546391754</v>
      </c>
      <c r="AD25" s="240">
        <f t="shared" si="11"/>
        <v>0</v>
      </c>
      <c r="AE25" s="220">
        <f t="shared" si="12"/>
        <v>0</v>
      </c>
      <c r="AG25" s="235">
        <f t="shared" si="13"/>
        <v>2015</v>
      </c>
      <c r="AH25" s="49">
        <f>IF($AG$18='2. Customer Classes'!$B$14,+SUM('3. Consumption by Rate Class'!$D$73:$D$84),+IF($AG$18='2. Customer Classes'!$B$15,+SUM('3. Consumption by Rate Class'!$F$73:$F$84),+IF($AG$18='2. Customer Classes'!$B$16,+SUM('3. Consumption by Rate Class'!$H$73:$H$84),+IF($AG$18='2. Customer Classes'!$B$17,+SUM('3. Consumption by Rate Class'!#REF!),+IF($AG$18='2. Customer Classes'!$B$18,+SUM('3. Consumption by Rate Class'!$J$73:$J$84),+IF($AG$18='2. Customer Classes'!$B$19,+SUM('3. Consumption by Rate Class'!$M$73:$M$84),IF($AG$18='2. Customer Classes'!$B$20,+SUM('3. Consumption by Rate Class'!$P$73:$P$84),IF($AG$18='2. Customer Classes'!$B$21,+SUM('3. Consumption by Rate Class'!#REF!),0))))))))</f>
        <v>0</v>
      </c>
      <c r="AI25" s="253"/>
      <c r="AJ25" s="49">
        <f t="shared" si="14"/>
        <v>0</v>
      </c>
      <c r="AK25" s="298">
        <f>+IF($AG$18='2. Customer Classes'!$B$18,+SUM('3. Consumption by Rate Class'!$K$73:$K$84),+IF($AG$18='2. Customer Classes'!$B$19,+SUM('3. Consumption by Rate Class'!$N$73:$N$84),IF($AG$18='2. Customer Classes'!$B$20,+SUM('3. Consumption by Rate Class'!$Q$73:$Q$84),IF($AG$18='2. Customer Classes'!$B$21,+SUM('3. Consumption by Rate Class'!#REF!),0))))</f>
        <v>0</v>
      </c>
      <c r="AL25" s="298">
        <f>IF($AG$18='2. Customer Classes'!$B$14,+'4. Customer Growth'!$C21,+IF($AG$18='2. Customer Classes'!$B$15,+'4. Customer Growth'!$E21,+IF($AG$18='2. Customer Classes'!$B$16,+'4. Customer Growth'!$G21,+IF($AG$18='2. Customer Classes'!$B$17,+'4. Customer Growth'!#REF!,+IF($AG$18='2. Customer Classes'!$B$18,+'4. Customer Growth'!$I21,+IF($AG$18='2. Customer Classes'!$B$19,+'4. Customer Growth'!$K21,IF($AG$18='2. Customer Classes'!$B$20,+'4. Customer Growth'!$M21,IF($AG$18='2. Customer Classes'!$B$21,+'4. Customer Growth'!#REF!,0))))))))</f>
        <v>0</v>
      </c>
      <c r="AM25" s="237">
        <f t="shared" si="15"/>
        <v>0</v>
      </c>
      <c r="AN25" s="240">
        <f t="shared" si="16"/>
        <v>0</v>
      </c>
      <c r="AO25" s="220">
        <f t="shared" si="17"/>
        <v>0</v>
      </c>
    </row>
    <row r="26" spans="2:41" ht="12.75" customHeight="1" x14ac:dyDescent="0.2">
      <c r="B26" s="127">
        <f>'4. Customer Growth'!B22</f>
        <v>2016</v>
      </c>
      <c r="C26" s="49">
        <f>+'3. Consumption by Rate Class'!J139</f>
        <v>83681623.590000004</v>
      </c>
      <c r="D26" s="253"/>
      <c r="E26" s="49">
        <f t="shared" si="0"/>
        <v>83681623.590000004</v>
      </c>
      <c r="F26" s="49">
        <f>+'3. Consumption by Rate Class'!K139</f>
        <v>211155.36</v>
      </c>
      <c r="G26" s="49">
        <f>+'3. Consumption by Rate Class'!L139</f>
        <v>121.5</v>
      </c>
      <c r="H26" s="237">
        <f t="shared" si="1"/>
        <v>688737.64271604945</v>
      </c>
      <c r="I26" s="240">
        <f t="shared" si="2"/>
        <v>1737.9041975308642</v>
      </c>
      <c r="J26" s="220">
        <f t="shared" si="3"/>
        <v>2.5233181544679442E-3</v>
      </c>
      <c r="K26" s="121"/>
      <c r="L26" s="121"/>
      <c r="M26" s="127">
        <f t="shared" si="4"/>
        <v>2016</v>
      </c>
      <c r="N26" s="49">
        <f>+'3. Consumption by Rate Class'!M139</f>
        <v>861899.34000000008</v>
      </c>
      <c r="O26" s="253"/>
      <c r="P26" s="49">
        <f t="shared" si="5"/>
        <v>861899.34000000008</v>
      </c>
      <c r="Q26" s="49">
        <f>+'3. Consumption by Rate Class'!N139</f>
        <v>2373.42</v>
      </c>
      <c r="R26" s="49">
        <f>+'3. Consumption by Rate Class'!O139</f>
        <v>2120.1666666666665</v>
      </c>
      <c r="S26" s="237">
        <f t="shared" si="6"/>
        <v>406.52433299268932</v>
      </c>
      <c r="T26" s="240">
        <f t="shared" si="7"/>
        <v>1.1194497287949061</v>
      </c>
      <c r="U26" s="220">
        <f t="shared" si="8"/>
        <v>2.7537090352105385E-3</v>
      </c>
      <c r="V26" s="43"/>
      <c r="W26" s="127">
        <f t="shared" si="9"/>
        <v>2016</v>
      </c>
      <c r="X26" s="49">
        <f>+'3. Consumption by Rate Class'!H139</f>
        <v>224075.16999999998</v>
      </c>
      <c r="Y26" s="253"/>
      <c r="Z26" s="49">
        <f t="shared" si="10"/>
        <v>224075.16999999998</v>
      </c>
      <c r="AA26" s="298"/>
      <c r="AB26" s="49">
        <f>+'3. Consumption by Rate Class'!I139</f>
        <v>17.708333333333332</v>
      </c>
      <c r="AC26" s="237">
        <f t="shared" si="18"/>
        <v>12653.656658823529</v>
      </c>
      <c r="AD26" s="240">
        <f t="shared" si="11"/>
        <v>0</v>
      </c>
      <c r="AE26" s="220">
        <f t="shared" si="12"/>
        <v>0</v>
      </c>
      <c r="AG26" s="235">
        <f t="shared" si="13"/>
        <v>2016</v>
      </c>
      <c r="AH26" s="49">
        <f>IF($AG$18='2. Customer Classes'!$B$14,+SUM('3. Consumption by Rate Class'!$D$85:$D$96),+IF($AG$18='2. Customer Classes'!$B$15,+SUM('3. Consumption by Rate Class'!$F$85:$F$96),+IF($AG$18='2. Customer Classes'!$B$16,+SUM('3. Consumption by Rate Class'!$H$85:$H$96),+IF($AG$18='2. Customer Classes'!$B$17,+SUM('3. Consumption by Rate Class'!#REF!),+IF($AG$18='2. Customer Classes'!$B$18,+SUM('3. Consumption by Rate Class'!$J$85:$J$96),+IF($AG$18='2. Customer Classes'!$B$19,+SUM('3. Consumption by Rate Class'!$M$85:$M$96),IF($AG$18='2. Customer Classes'!$B$20,+SUM('3. Consumption by Rate Class'!$P$85:$P$96),IF($AG$18='2. Customer Classes'!$B$21,+SUM('3. Consumption by Rate Class'!#REF!),0))))))))</f>
        <v>0</v>
      </c>
      <c r="AI26" s="253"/>
      <c r="AJ26" s="49">
        <f t="shared" si="14"/>
        <v>0</v>
      </c>
      <c r="AK26" s="298">
        <f>+IF($AG$18='2. Customer Classes'!$B$18,+SUM('3. Consumption by Rate Class'!$K$85:$K$96),+IF($AG$18='2. Customer Classes'!$B$19,+SUM('3. Consumption by Rate Class'!$N$85:$N$96),IF($AG$18='2. Customer Classes'!$B$20,+SUM('3. Consumption by Rate Class'!$Q$85:$Q$96),IF($AG$18='2. Customer Classes'!$B$21,+SUM('3. Consumption by Rate Class'!#REF!),0))))</f>
        <v>0</v>
      </c>
      <c r="AL26" s="298">
        <f>IF($AG$18='2. Customer Classes'!$B$14,+'4. Customer Growth'!$C22,+IF($AG$18='2. Customer Classes'!$B$15,+'4. Customer Growth'!$E22,+IF($AG$18='2. Customer Classes'!$B$16,+'4. Customer Growth'!$G22,+IF($AG$18='2. Customer Classes'!$B$17,+'4. Customer Growth'!#REF!,+IF($AG$18='2. Customer Classes'!$B$18,+'4. Customer Growth'!$I22,+IF($AG$18='2. Customer Classes'!$B$19,+'4. Customer Growth'!$K22,IF($AG$18='2. Customer Classes'!$B$20,+'4. Customer Growth'!$M22,IF($AG$18='2. Customer Classes'!$B$21,+'4. Customer Growth'!#REF!,0))))))))</f>
        <v>0</v>
      </c>
      <c r="AM26" s="237">
        <f t="shared" si="15"/>
        <v>0</v>
      </c>
      <c r="AN26" s="240">
        <f t="shared" si="16"/>
        <v>0</v>
      </c>
      <c r="AO26" s="220">
        <f t="shared" si="17"/>
        <v>0</v>
      </c>
    </row>
    <row r="27" spans="2:41" ht="12.75" customHeight="1" x14ac:dyDescent="0.2">
      <c r="B27" s="127">
        <f>'4. Customer Growth'!B23</f>
        <v>2017</v>
      </c>
      <c r="C27" s="49">
        <f>+'3. Consumption by Rate Class'!J140</f>
        <v>84099297.00999999</v>
      </c>
      <c r="D27" s="253"/>
      <c r="E27" s="49">
        <f t="shared" si="0"/>
        <v>84099297.00999999</v>
      </c>
      <c r="F27" s="49">
        <f>+'3. Consumption by Rate Class'!K140</f>
        <v>211533.96999999997</v>
      </c>
      <c r="G27" s="49">
        <f>+'3. Consumption by Rate Class'!L140</f>
        <v>128.95833333333334</v>
      </c>
      <c r="H27" s="237">
        <f t="shared" si="1"/>
        <v>652143.17552180926</v>
      </c>
      <c r="I27" s="240">
        <f t="shared" si="2"/>
        <v>1640.3280387722129</v>
      </c>
      <c r="J27" s="220">
        <f t="shared" si="3"/>
        <v>2.5152882071635763E-3</v>
      </c>
      <c r="K27" s="121"/>
      <c r="L27" s="121"/>
      <c r="M27" s="127">
        <f t="shared" si="4"/>
        <v>2017</v>
      </c>
      <c r="N27" s="49">
        <f>+'3. Consumption by Rate Class'!M140</f>
        <v>858843.55</v>
      </c>
      <c r="O27" s="253"/>
      <c r="P27" s="49">
        <f t="shared" si="5"/>
        <v>858843.55</v>
      </c>
      <c r="Q27" s="49">
        <f>+'3. Consumption by Rate Class'!N140</f>
        <v>2399.7999999999997</v>
      </c>
      <c r="R27" s="49">
        <f>+'3. Consumption by Rate Class'!O140</f>
        <v>2123.9166666666665</v>
      </c>
      <c r="S27" s="237">
        <f t="shared" si="6"/>
        <v>404.36781888806064</v>
      </c>
      <c r="T27" s="240">
        <f t="shared" si="7"/>
        <v>1.1298936712833993</v>
      </c>
      <c r="U27" s="220">
        <f t="shared" si="8"/>
        <v>2.7942225333123824E-3</v>
      </c>
      <c r="V27" s="43"/>
      <c r="W27" s="127">
        <f t="shared" si="9"/>
        <v>2017</v>
      </c>
      <c r="X27" s="537">
        <f>+'3. Consumption by Rate Class'!H140</f>
        <v>250759.37</v>
      </c>
      <c r="Y27" s="253"/>
      <c r="Z27" s="537">
        <f t="shared" si="10"/>
        <v>250759.37</v>
      </c>
      <c r="AA27" s="781"/>
      <c r="AB27" s="537">
        <f>+'3. Consumption by Rate Class'!I140</f>
        <v>21.25</v>
      </c>
      <c r="AC27" s="237">
        <f t="shared" si="18"/>
        <v>11800.44094117647</v>
      </c>
      <c r="AD27" s="240">
        <f t="shared" si="11"/>
        <v>0</v>
      </c>
      <c r="AE27" s="220">
        <f t="shared" si="12"/>
        <v>0</v>
      </c>
      <c r="AG27" s="235">
        <f t="shared" si="13"/>
        <v>2017</v>
      </c>
      <c r="AH27" s="49">
        <f>IF($AG$18='2. Customer Classes'!$B$14,+SUM('3. Consumption by Rate Class'!$D$97:$D$108),+IF($AG$18='2. Customer Classes'!$B$15,+SUM('3. Consumption by Rate Class'!$F$97:$F$108),+IF($AG$18='2. Customer Classes'!$B$16,+SUM('3. Consumption by Rate Class'!$H$97:$H$108),+IF($AG$18='2. Customer Classes'!$B$17,+SUM('3. Consumption by Rate Class'!#REF!),+IF($AG$18='2. Customer Classes'!$B$18,+SUM('3. Consumption by Rate Class'!$J$97:$J$108),+IF($AG$18='2. Customer Classes'!$B$19,+SUM('3. Consumption by Rate Class'!$M$97:$M$108),IF($AG$18='2. Customer Classes'!$B$20,+SUM('3. Consumption by Rate Class'!$P$97:$P$108),IF($AG$18='2. Customer Classes'!$B$21,+SUM('3. Consumption by Rate Class'!#REF!),0))))))))</f>
        <v>0</v>
      </c>
      <c r="AI27" s="253"/>
      <c r="AJ27" s="49">
        <f t="shared" si="14"/>
        <v>0</v>
      </c>
      <c r="AK27" s="298">
        <f>+IF($AG$18='2. Customer Classes'!$B$18,+SUM('3. Consumption by Rate Class'!$K$97:$K$108),+IF($AG$18='2. Customer Classes'!$B$19,+SUM('3. Consumption by Rate Class'!$N$97:$N$108),IF($AG$18='2. Customer Classes'!$B$20,+SUM('3. Consumption by Rate Class'!$Q$97:$Q$108),IF($AG$18='2. Customer Classes'!$B$21,+SUM('3. Consumption by Rate Class'!#REF!),0))))</f>
        <v>0</v>
      </c>
      <c r="AL27" s="298">
        <f>IF($AG$18='2. Customer Classes'!$B$14,+'4. Customer Growth'!$C23,+IF($AG$18='2. Customer Classes'!$B$15,+'4. Customer Growth'!$E23,+IF($AG$18='2. Customer Classes'!$B$16,+'4. Customer Growth'!$G23,+IF($AG$18='2. Customer Classes'!$B$17,+'4. Customer Growth'!#REF!,+IF($AG$18='2. Customer Classes'!$B$18,+'4. Customer Growth'!$I23,+IF($AG$18='2. Customer Classes'!$B$19,+'4. Customer Growth'!$K23,IF($AG$18='2. Customer Classes'!$B$20,+'4. Customer Growth'!$M23,IF($AG$18='2. Customer Classes'!$B$21,+'4. Customer Growth'!#REF!,0))))))))</f>
        <v>0</v>
      </c>
      <c r="AM27" s="237">
        <f t="shared" si="15"/>
        <v>0</v>
      </c>
      <c r="AN27" s="240">
        <f t="shared" si="16"/>
        <v>0</v>
      </c>
      <c r="AO27" s="220">
        <f t="shared" si="17"/>
        <v>0</v>
      </c>
    </row>
    <row r="28" spans="2:41" ht="12.75" customHeight="1" x14ac:dyDescent="0.2">
      <c r="B28" s="127" t="str">
        <f>'4. Customer Growth'!B27</f>
        <v>2018</v>
      </c>
      <c r="C28" s="781">
        <f>+C27/'6. WS Regression Analysis'!$T$103*'6. WS Regression Analysis'!$T$115</f>
        <v>85961669.378012925</v>
      </c>
      <c r="D28" s="253"/>
      <c r="E28" s="537">
        <f t="shared" si="0"/>
        <v>85961669.378012925</v>
      </c>
      <c r="F28" s="781">
        <f>+E28*J31</f>
        <v>221276.70912632582</v>
      </c>
      <c r="G28" s="298">
        <f>+'4. Customer Growth'!I33</f>
        <v>130.50755221180745</v>
      </c>
      <c r="H28" s="237">
        <f t="shared" si="1"/>
        <v>658671.99193577154</v>
      </c>
      <c r="I28" s="240">
        <f t="shared" si="2"/>
        <v>1695.5088450912358</v>
      </c>
      <c r="J28" s="238"/>
      <c r="K28" s="54"/>
      <c r="L28" s="54"/>
      <c r="M28" s="127" t="str">
        <f t="shared" si="4"/>
        <v>2018</v>
      </c>
      <c r="N28" s="781">
        <f>+R28*S31</f>
        <v>873781.83894371043</v>
      </c>
      <c r="O28" s="253"/>
      <c r="P28" s="537">
        <f t="shared" si="5"/>
        <v>873781.83894371043</v>
      </c>
      <c r="Q28" s="781">
        <f>P28*$U$31</f>
        <v>2438.9195714511152</v>
      </c>
      <c r="R28" s="142">
        <f>+'4. Customer Growth'!K33</f>
        <v>2155.1123337847007</v>
      </c>
      <c r="S28" s="237">
        <f t="shared" si="6"/>
        <v>405.44607594037495</v>
      </c>
      <c r="T28" s="240">
        <f t="shared" si="7"/>
        <v>1.1316902294220581</v>
      </c>
      <c r="U28" s="57"/>
      <c r="V28" s="43"/>
      <c r="W28" s="127" t="str">
        <f t="shared" si="9"/>
        <v>2018</v>
      </c>
      <c r="X28" s="781">
        <f>+AB28*AC31</f>
        <v>251508.00000000023</v>
      </c>
      <c r="Y28" s="253"/>
      <c r="Z28" s="537">
        <f t="shared" si="10"/>
        <v>251508.00000000023</v>
      </c>
      <c r="AA28" s="788">
        <f>Z28*$AE$31</f>
        <v>0</v>
      </c>
      <c r="AB28" s="781">
        <f>IF($W$18='2. Customer Classes'!$B$14,+'4. Customer Growth'!$C39,+IF($W$18='2. Customer Classes'!$B$15,+'4. Customer Growth'!$E39,+IF($W$18='2. Customer Classes'!$B$16,+'4. Customer Growth'!$G39,+IF($W$18='2. Customer Classes'!$B$17,+'4. Customer Growth'!#REF!,+IF($W$18='2. Customer Classes'!$B$18,+'4. Customer Growth'!$I39,+IF($W$18='2. Customer Classes'!$B$19,+'4. Customer Growth'!$K39,IF($W$18='2. Customer Classes'!$B$20,+'4. Customer Growth'!$M39,0)))))))</f>
        <v>26</v>
      </c>
      <c r="AC28" s="237">
        <f t="shared" si="18"/>
        <v>9673.3846153846243</v>
      </c>
      <c r="AD28" s="240">
        <f t="shared" si="11"/>
        <v>0</v>
      </c>
      <c r="AE28" s="220">
        <f t="shared" si="12"/>
        <v>0</v>
      </c>
      <c r="AG28" s="235" t="str">
        <f t="shared" si="13"/>
        <v>2018</v>
      </c>
      <c r="AH28" s="781">
        <f>+AH27/'6. WS Regression Analysis'!$T$103*'6. WS Regression Analysis'!$T$115</f>
        <v>0</v>
      </c>
      <c r="AI28" s="253"/>
      <c r="AJ28" s="537">
        <f t="shared" si="14"/>
        <v>0</v>
      </c>
      <c r="AK28" s="781">
        <f>AJ28*$AO$31</f>
        <v>0</v>
      </c>
      <c r="AL28" s="781">
        <f>IF($AG$18='2. Customer Classes'!$B$14,+'4. Customer Growth'!$C39,+IF($AG$18='2. Customer Classes'!$B$15,+'4. Customer Growth'!$E39,+IF($AG$18='2. Customer Classes'!$B$16,+'4. Customer Growth'!$G39,+IF($AG$18='2. Customer Classes'!$B$17,+'4. Customer Growth'!#REF!,+IF($AG$18='2. Customer Classes'!$B$18,+'4. Customer Growth'!$I39,+IF($AG$18='2. Customer Classes'!$B$19,+'4. Customer Growth'!$K39,IF($AG$18='2. Customer Classes'!$B$20,+'4. Customer Growth'!$M39,IF($AG$18='2. Customer Classes'!$B$21,+'4. Customer Growth'!#REF!,0))))))))</f>
        <v>0</v>
      </c>
      <c r="AM28" s="782">
        <f t="shared" si="15"/>
        <v>0</v>
      </c>
      <c r="AN28" s="783">
        <f t="shared" si="16"/>
        <v>0</v>
      </c>
      <c r="AO28" s="784"/>
    </row>
    <row r="29" spans="2:41" x14ac:dyDescent="0.2">
      <c r="B29" s="127" t="str">
        <f>'4. Customer Growth'!B28</f>
        <v>2019</v>
      </c>
      <c r="C29" s="781">
        <f>+C27/'6. WS Regression Analysis'!$T$103*'6. WS Regression Analysis'!$T$127</f>
        <v>87045116.302129641</v>
      </c>
      <c r="D29" s="253">
        <v>-2700000</v>
      </c>
      <c r="E29" s="537">
        <f t="shared" si="0"/>
        <v>84345116.302129641</v>
      </c>
      <c r="F29" s="781">
        <f>+E29*J31</f>
        <v>217115.48764996644</v>
      </c>
      <c r="G29" s="298">
        <f>+'4. Customer Growth'!I34</f>
        <v>131</v>
      </c>
      <c r="H29" s="237">
        <f t="shared" si="1"/>
        <v>643855.8496345774</v>
      </c>
      <c r="I29" s="240">
        <f t="shared" si="2"/>
        <v>1657.3701347325682</v>
      </c>
      <c r="J29" s="238"/>
      <c r="K29" s="54"/>
      <c r="L29" s="54"/>
      <c r="M29" s="127" t="str">
        <f t="shared" si="4"/>
        <v>2019</v>
      </c>
      <c r="N29" s="781">
        <f>+R29*S31</f>
        <v>886615.77344277513</v>
      </c>
      <c r="O29" s="253"/>
      <c r="P29" s="537">
        <f t="shared" si="5"/>
        <v>886615.77344277513</v>
      </c>
      <c r="Q29" s="781">
        <f>P29*$U$31</f>
        <v>2474.7419388126632</v>
      </c>
      <c r="R29" s="298">
        <f>+'4. Customer Growth'!K34</f>
        <v>2186.7661966795336</v>
      </c>
      <c r="S29" s="237">
        <f t="shared" si="6"/>
        <v>405.44607594037495</v>
      </c>
      <c r="T29" s="240">
        <f t="shared" si="7"/>
        <v>1.1316902294220583</v>
      </c>
      <c r="U29" s="57"/>
      <c r="V29" s="43"/>
      <c r="W29" s="127" t="str">
        <f t="shared" si="9"/>
        <v>2019</v>
      </c>
      <c r="X29" s="781">
        <f>+AB29*AC31</f>
        <v>251508.00000000023</v>
      </c>
      <c r="Y29" s="253"/>
      <c r="Z29" s="537">
        <f t="shared" si="10"/>
        <v>251508.00000000023</v>
      </c>
      <c r="AA29" s="788">
        <f>Z29*$AE$31</f>
        <v>0</v>
      </c>
      <c r="AB29" s="781">
        <f>IF($W$18='2. Customer Classes'!$B$14,+'4. Customer Growth'!$C40,+IF($W$18='2. Customer Classes'!$B$15,+'4. Customer Growth'!$E40,+IF($W$18='2. Customer Classes'!$B$16,+'4. Customer Growth'!$G40,+IF($W$18='2. Customer Classes'!$B$17,+'4. Customer Growth'!#REF!,+IF($W$18='2. Customer Classes'!$B$18,+'4. Customer Growth'!$I40,+IF($W$18='2. Customer Classes'!$B$19,+'4. Customer Growth'!$K40,IF($W$18='2. Customer Classes'!$B$20,+'4. Customer Growth'!$M40,0)))))))</f>
        <v>26</v>
      </c>
      <c r="AC29" s="237">
        <f t="shared" si="18"/>
        <v>9673.3846153846243</v>
      </c>
      <c r="AD29" s="240">
        <f t="shared" si="11"/>
        <v>0</v>
      </c>
      <c r="AE29" s="220">
        <f t="shared" si="12"/>
        <v>0</v>
      </c>
      <c r="AG29" s="235" t="str">
        <f t="shared" si="13"/>
        <v>2019</v>
      </c>
      <c r="AH29" s="781">
        <f>+AK29/AO31</f>
        <v>23308825.330262251</v>
      </c>
      <c r="AI29" s="253"/>
      <c r="AJ29" s="537">
        <f t="shared" si="14"/>
        <v>23308825.330262251</v>
      </c>
      <c r="AK29" s="781">
        <f>5000*12</f>
        <v>60000</v>
      </c>
      <c r="AL29" s="781">
        <f>IF($AG$18='2. Customer Classes'!$B$14,+'4. Customer Growth'!$C40,+IF($AG$18='2. Customer Classes'!$B$15,+'4. Customer Growth'!$E40,+IF($AG$18='2. Customer Classes'!$B$16,+'4. Customer Growth'!$G40,+IF($AG$18='2. Customer Classes'!$B$17,+'4. Customer Growth'!#REF!,+IF($AG$18='2. Customer Classes'!$B$18,+'4. Customer Growth'!$I40,+IF($AG$18='2. Customer Classes'!$B$19,+'4. Customer Growth'!$K40,IF($AG$18='2. Customer Classes'!$B$20,+'4. Customer Growth'!$M40,IF($AG$18='2. Customer Classes'!$B$21,+'4. Customer Growth'!#REF!,0))))))))</f>
        <v>1</v>
      </c>
      <c r="AM29" s="785">
        <f t="shared" si="15"/>
        <v>23308825.330262251</v>
      </c>
      <c r="AN29" s="783">
        <f t="shared" si="16"/>
        <v>60000</v>
      </c>
      <c r="AO29" s="784">
        <f>+AO31</f>
        <v>2.5741322932349132E-3</v>
      </c>
    </row>
    <row r="30" spans="2:41" x14ac:dyDescent="0.2">
      <c r="B30" s="52"/>
      <c r="C30" s="273"/>
      <c r="D30" s="273"/>
      <c r="E30" s="298"/>
      <c r="F30" s="466"/>
      <c r="G30" s="467"/>
      <c r="H30" s="467"/>
      <c r="I30" s="466"/>
      <c r="J30" s="238"/>
      <c r="K30" s="54"/>
      <c r="L30" s="54"/>
      <c r="M30" s="52"/>
      <c r="N30" s="273"/>
      <c r="O30" s="273"/>
      <c r="P30" s="142"/>
      <c r="Q30" s="180"/>
      <c r="R30" s="180"/>
      <c r="S30" s="180"/>
      <c r="T30" s="180"/>
      <c r="U30" s="58"/>
      <c r="V30" s="43"/>
      <c r="W30" s="52"/>
      <c r="X30" s="273"/>
      <c r="Y30" s="273"/>
      <c r="Z30" s="466"/>
      <c r="AA30" s="466"/>
      <c r="AB30" s="466"/>
      <c r="AC30" s="466"/>
      <c r="AD30" s="466"/>
      <c r="AE30" s="150"/>
      <c r="AG30" s="52"/>
      <c r="AH30" s="786"/>
      <c r="AI30" s="786"/>
      <c r="AJ30" s="781"/>
      <c r="AK30" s="781"/>
      <c r="AL30" s="781"/>
      <c r="AM30" s="781"/>
      <c r="AN30" s="781"/>
      <c r="AO30" s="150"/>
    </row>
    <row r="31" spans="2:41" ht="16.5" customHeight="1" x14ac:dyDescent="0.2">
      <c r="B31" s="146" t="s">
        <v>131</v>
      </c>
      <c r="C31" s="274"/>
      <c r="D31" s="274"/>
      <c r="E31" s="368">
        <v>7</v>
      </c>
      <c r="F31" s="126"/>
      <c r="G31" s="210"/>
      <c r="H31" s="216">
        <f>AVERAGE(H21:H27)</f>
        <v>653964.93369165552</v>
      </c>
      <c r="I31" s="216">
        <f>AVERAGE(I21:I27)</f>
        <v>1683.0306636752268</v>
      </c>
      <c r="J31" s="533">
        <f>AVERAGE(J21:J27)</f>
        <v>2.5741322932349132E-3</v>
      </c>
      <c r="K31" s="122"/>
      <c r="L31" s="122"/>
      <c r="M31" s="146" t="s">
        <v>131</v>
      </c>
      <c r="N31" s="279"/>
      <c r="O31" s="279"/>
      <c r="P31" s="382">
        <v>7</v>
      </c>
      <c r="Q31" s="126"/>
      <c r="R31" s="126"/>
      <c r="S31" s="685">
        <f>AVERAGE(S26:S27)</f>
        <v>405.44607594037495</v>
      </c>
      <c r="T31" s="686">
        <f>AVERAGE(T26:T27)</f>
        <v>1.1246717000391526</v>
      </c>
      <c r="U31" s="533">
        <f>AVERAGE(U21:U27)</f>
        <v>2.7912225486392056E-3</v>
      </c>
      <c r="V31" s="43"/>
      <c r="W31" s="146" t="s">
        <v>131</v>
      </c>
      <c r="X31" s="279"/>
      <c r="Y31" s="279"/>
      <c r="Z31" s="382">
        <v>7</v>
      </c>
      <c r="AA31" s="126"/>
      <c r="AB31" s="126"/>
      <c r="AC31" s="543">
        <f>20959*0.461538461538462</f>
        <v>9673.3846153846243</v>
      </c>
      <c r="AD31" s="216">
        <f>AVERAGE(AD21:AD27)</f>
        <v>0</v>
      </c>
      <c r="AE31" s="787">
        <f>AVERAGE(AE21:AE27)</f>
        <v>0</v>
      </c>
      <c r="AG31" s="146" t="s">
        <v>131</v>
      </c>
      <c r="AH31" s="279"/>
      <c r="AI31" s="279"/>
      <c r="AJ31" s="382"/>
      <c r="AK31" s="126"/>
      <c r="AL31" s="126"/>
      <c r="AM31" s="216">
        <f>IF($AJ$31=1,+AVERAGE(AM27:AM27),+IF($AJ$31=2,+AVERAGE(AM26:AM27),+IF($AJ$31=3,+AVERAGE(AM25:AM27),+IF($AJ$31=4,+AVERAGE(AM24:AM27),+IF($AJ$31=5,+AVERAGE(AM23:AM27),+IF($AJ$31=6,+AVERAGE(AM22:AM27),+IF($AJ$31=7,+AVERAGE(AM21:AM27),+IF($AJ$31=8,+AVERAGE(AM21:AM27),+IF($AJ$31=9,+AVERAGE(AM21:AM27),+IF($AJ$31=10,+AVERAGE(AM21:AM27),0))))))))))</f>
        <v>0</v>
      </c>
      <c r="AN31" s="243">
        <f>IF($AJ$31=1,+AVERAGE(AN27:AN27),+IF($AJ$31=2,+AVERAGE(AN26:AN27),+IF($AJ$31=3,+AVERAGE(AN25:AN27),+IF($AJ$31=4,+AVERAGE(AN24:AN27),+IF($AJ$31=5,+AVERAGE(AN23:AN27),+IF($AJ$31=6,+AVERAGE(AN22:AN27),+IF($AJ$31=7,+AVERAGE(AN21:AN27),+IF($AJ$31=8,+AVERAGE(AN21:AN27),+IF($AJ$31=9,+AVERAGE(AN21:AN27),+IF($AJ$31=10,+AVERAGE(AN21:AN27),0))))))))))</f>
        <v>0</v>
      </c>
      <c r="AO31" s="128">
        <f>+J31</f>
        <v>2.5741322932349132E-3</v>
      </c>
    </row>
    <row r="32" spans="2:41" ht="13.5" thickBot="1" x14ac:dyDescent="0.25">
      <c r="B32" s="129"/>
      <c r="C32" s="275"/>
      <c r="D32" s="275"/>
      <c r="E32" s="130"/>
      <c r="F32" s="130"/>
      <c r="G32" s="211"/>
      <c r="H32" s="211"/>
      <c r="I32" s="130"/>
      <c r="J32" s="242"/>
      <c r="M32" s="129"/>
      <c r="N32" s="275"/>
      <c r="O32" s="275"/>
      <c r="P32" s="130"/>
      <c r="Q32" s="64"/>
      <c r="R32" s="64"/>
      <c r="S32" s="64"/>
      <c r="T32" s="64"/>
      <c r="U32" s="131"/>
      <c r="W32" s="63"/>
      <c r="X32" s="262"/>
      <c r="Y32" s="262"/>
      <c r="Z32" s="64"/>
      <c r="AA32" s="64"/>
      <c r="AB32" s="64"/>
      <c r="AC32" s="64"/>
      <c r="AD32" s="64"/>
      <c r="AE32" s="131"/>
      <c r="AG32" s="63"/>
      <c r="AH32" s="262"/>
      <c r="AI32" s="262"/>
      <c r="AJ32" s="64"/>
      <c r="AK32" s="64"/>
      <c r="AL32" s="64"/>
      <c r="AM32" s="64"/>
      <c r="AN32" s="64"/>
      <c r="AO32" s="131"/>
    </row>
    <row r="33" spans="2:41" x14ac:dyDescent="0.2">
      <c r="B33" s="900" t="s">
        <v>127</v>
      </c>
      <c r="C33" s="900"/>
      <c r="D33" s="900"/>
      <c r="E33" s="900"/>
      <c r="F33" s="900"/>
      <c r="G33" s="900"/>
      <c r="H33" s="900"/>
      <c r="I33" s="900"/>
      <c r="J33" s="900"/>
      <c r="M33" s="900" t="s">
        <v>127</v>
      </c>
      <c r="N33" s="900"/>
      <c r="O33" s="900"/>
      <c r="P33" s="900"/>
      <c r="Q33" s="900"/>
      <c r="R33" s="900"/>
      <c r="S33" s="900"/>
      <c r="T33" s="900"/>
      <c r="U33" s="900"/>
      <c r="W33" s="885" t="s">
        <v>127</v>
      </c>
      <c r="X33" s="885"/>
      <c r="Y33" s="885"/>
      <c r="Z33" s="885"/>
      <c r="AA33" s="885"/>
      <c r="AB33" s="885"/>
      <c r="AC33" s="885"/>
      <c r="AD33" s="885"/>
      <c r="AE33" s="885"/>
      <c r="AG33" s="900" t="s">
        <v>127</v>
      </c>
      <c r="AH33" s="900"/>
      <c r="AI33" s="900"/>
      <c r="AJ33" s="900"/>
      <c r="AK33" s="900"/>
      <c r="AL33" s="900"/>
      <c r="AM33" s="900"/>
      <c r="AN33" s="900"/>
      <c r="AO33" s="900"/>
    </row>
    <row r="34" spans="2:41" x14ac:dyDescent="0.2">
      <c r="B34" s="95"/>
      <c r="C34" s="95"/>
      <c r="D34" s="95"/>
      <c r="E34" s="95"/>
      <c r="F34" s="95"/>
      <c r="G34" s="96"/>
      <c r="H34" s="97"/>
      <c r="I34" s="98"/>
      <c r="J34" s="100"/>
      <c r="M34" s="95"/>
      <c r="N34" s="95"/>
      <c r="O34" s="95"/>
      <c r="P34" s="95"/>
      <c r="Q34" s="95"/>
      <c r="R34" s="96"/>
      <c r="S34" s="97"/>
      <c r="T34" s="98"/>
      <c r="U34" s="100"/>
      <c r="W34" s="95"/>
      <c r="X34" s="95"/>
      <c r="Y34" s="95"/>
      <c r="Z34" s="95"/>
      <c r="AA34" s="95"/>
      <c r="AB34" s="96"/>
      <c r="AC34" s="97"/>
      <c r="AD34" s="98"/>
      <c r="AE34" s="100"/>
      <c r="AG34" s="95"/>
      <c r="AH34" s="95"/>
      <c r="AI34" s="95"/>
      <c r="AJ34" s="95"/>
      <c r="AK34" s="95"/>
      <c r="AL34" s="96"/>
      <c r="AM34" s="97"/>
      <c r="AN34" s="98"/>
      <c r="AO34" s="100"/>
    </row>
    <row r="35" spans="2:41" x14ac:dyDescent="0.2">
      <c r="B35" s="95"/>
      <c r="C35" s="95"/>
      <c r="D35" s="95"/>
      <c r="E35" s="95"/>
      <c r="F35" s="95"/>
      <c r="G35" s="96"/>
      <c r="H35" s="97"/>
      <c r="I35" s="98"/>
      <c r="J35" s="100"/>
      <c r="M35" s="95"/>
      <c r="N35" s="95"/>
      <c r="O35" s="95"/>
      <c r="P35" s="95"/>
      <c r="Q35" s="95"/>
      <c r="R35" s="96"/>
      <c r="S35" s="97"/>
      <c r="T35" s="98"/>
      <c r="U35" s="100"/>
      <c r="W35" s="95"/>
      <c r="X35" s="95"/>
      <c r="Y35" s="95"/>
      <c r="Z35" s="95"/>
      <c r="AA35" s="95"/>
      <c r="AB35" s="96"/>
      <c r="AC35" s="97"/>
      <c r="AD35" s="98"/>
      <c r="AE35" s="100"/>
      <c r="AG35" s="95"/>
      <c r="AH35" s="95"/>
      <c r="AI35" s="95"/>
      <c r="AJ35" s="95"/>
      <c r="AK35" s="95"/>
      <c r="AL35" s="96"/>
      <c r="AM35" s="97"/>
      <c r="AN35" s="98"/>
      <c r="AO35" s="100"/>
    </row>
    <row r="36" spans="2:41" x14ac:dyDescent="0.2">
      <c r="B36" s="95"/>
      <c r="C36" s="95"/>
      <c r="D36" s="95"/>
      <c r="E36" s="95"/>
      <c r="F36" s="95"/>
      <c r="G36" s="96"/>
      <c r="H36" s="97"/>
      <c r="I36" s="98"/>
      <c r="J36" s="100"/>
      <c r="M36" s="95"/>
      <c r="N36" s="95"/>
      <c r="O36" s="95"/>
      <c r="P36" s="95"/>
      <c r="Q36" s="95"/>
      <c r="R36" s="96"/>
      <c r="S36" s="97"/>
      <c r="T36" s="98"/>
      <c r="U36" s="100"/>
      <c r="W36" s="95"/>
      <c r="X36" s="95"/>
      <c r="Y36" s="95"/>
      <c r="Z36" s="95"/>
      <c r="AA36" s="95"/>
      <c r="AB36" s="96"/>
      <c r="AC36" s="97"/>
      <c r="AD36" s="98"/>
      <c r="AE36" s="100"/>
      <c r="AG36" s="95"/>
      <c r="AH36" s="95"/>
      <c r="AI36" s="95"/>
      <c r="AJ36" s="95"/>
      <c r="AK36" s="95"/>
      <c r="AL36" s="96"/>
      <c r="AM36" s="97"/>
      <c r="AN36" s="98"/>
      <c r="AO36" s="100"/>
    </row>
    <row r="37" spans="2:41" x14ac:dyDescent="0.2">
      <c r="B37" s="95"/>
      <c r="C37" s="95"/>
      <c r="D37" s="95"/>
      <c r="E37" s="95"/>
      <c r="F37" s="95"/>
      <c r="G37" s="96"/>
      <c r="H37" s="97"/>
      <c r="I37" s="98"/>
      <c r="J37" s="100"/>
      <c r="M37" s="95"/>
      <c r="N37" s="95"/>
      <c r="O37" s="95"/>
      <c r="P37" s="95"/>
      <c r="Q37" s="95"/>
      <c r="R37" s="96"/>
      <c r="S37" s="97"/>
      <c r="T37" s="98"/>
      <c r="U37" s="100"/>
      <c r="W37" s="95"/>
      <c r="X37" s="95"/>
      <c r="Y37" s="95"/>
      <c r="Z37" s="95"/>
      <c r="AA37" s="95"/>
      <c r="AB37" s="96"/>
      <c r="AC37" s="97"/>
      <c r="AD37" s="98"/>
      <c r="AE37" s="100"/>
      <c r="AG37" s="95"/>
      <c r="AH37" s="95"/>
      <c r="AI37" s="95"/>
      <c r="AJ37" s="95"/>
      <c r="AK37" s="95"/>
      <c r="AL37" s="96"/>
      <c r="AM37" s="97"/>
      <c r="AN37" s="98"/>
      <c r="AO37" s="100"/>
    </row>
    <row r="38" spans="2:41" ht="15" x14ac:dyDescent="0.2">
      <c r="B38" s="883" t="s">
        <v>144</v>
      </c>
      <c r="C38" s="883"/>
      <c r="D38" s="883"/>
      <c r="E38" s="883"/>
      <c r="F38" s="883"/>
      <c r="G38" s="883"/>
      <c r="H38" s="883"/>
      <c r="I38" s="883"/>
      <c r="J38" s="883"/>
      <c r="M38" s="883" t="s">
        <v>144</v>
      </c>
      <c r="N38" s="883"/>
      <c r="O38" s="883"/>
      <c r="P38" s="883"/>
      <c r="Q38" s="883"/>
      <c r="R38" s="883"/>
      <c r="S38" s="883"/>
      <c r="T38" s="883"/>
      <c r="U38" s="883"/>
      <c r="W38" s="883" t="s">
        <v>144</v>
      </c>
      <c r="X38" s="883"/>
      <c r="Y38" s="883"/>
      <c r="Z38" s="883"/>
      <c r="AA38" s="883"/>
      <c r="AB38" s="883"/>
      <c r="AC38" s="883"/>
      <c r="AD38" s="883"/>
      <c r="AE38" s="883"/>
      <c r="AG38" s="883" t="s">
        <v>144</v>
      </c>
      <c r="AH38" s="883"/>
      <c r="AI38" s="883"/>
      <c r="AJ38" s="883"/>
      <c r="AK38" s="883"/>
      <c r="AL38" s="883"/>
      <c r="AM38" s="883"/>
      <c r="AN38" s="883"/>
      <c r="AO38" s="883"/>
    </row>
    <row r="39" spans="2:41" x14ac:dyDescent="0.2">
      <c r="J39" s="198"/>
    </row>
    <row r="40" spans="2:41" x14ac:dyDescent="0.2">
      <c r="J40" s="198"/>
    </row>
    <row r="41" spans="2:41" x14ac:dyDescent="0.2">
      <c r="J41" s="198"/>
    </row>
    <row r="42" spans="2:41" x14ac:dyDescent="0.2">
      <c r="J42" s="198"/>
    </row>
    <row r="43" spans="2:41" ht="13.5" thickBot="1" x14ac:dyDescent="0.25">
      <c r="J43" s="198"/>
    </row>
    <row r="44" spans="2:41" ht="13.5" thickBot="1" x14ac:dyDescent="0.25">
      <c r="B44" s="901" t="str">
        <f>+B18</f>
        <v>General Service &gt; 50 kW - 4999 kW</v>
      </c>
      <c r="C44" s="902"/>
      <c r="D44" s="902"/>
      <c r="E44" s="902"/>
      <c r="F44" s="902"/>
      <c r="G44" s="902"/>
      <c r="H44" s="902"/>
      <c r="I44" s="902"/>
      <c r="J44" s="903"/>
      <c r="M44" s="901" t="str">
        <f>+M18</f>
        <v>Streetlighting</v>
      </c>
      <c r="N44" s="902"/>
      <c r="O44" s="902"/>
      <c r="P44" s="902"/>
      <c r="Q44" s="902"/>
      <c r="R44" s="902"/>
      <c r="S44" s="902"/>
      <c r="T44" s="902"/>
      <c r="U44" s="903"/>
      <c r="W44" s="901" t="str">
        <f>+W18</f>
        <v>Unmetered Scattered Load</v>
      </c>
      <c r="X44" s="902"/>
      <c r="Y44" s="902"/>
      <c r="Z44" s="902"/>
      <c r="AA44" s="902"/>
      <c r="AB44" s="902"/>
      <c r="AC44" s="902"/>
      <c r="AD44" s="902"/>
      <c r="AE44" s="903"/>
      <c r="AG44" s="901" t="str">
        <f>+AG18</f>
        <v>Large User</v>
      </c>
      <c r="AH44" s="902"/>
      <c r="AI44" s="902"/>
      <c r="AJ44" s="902"/>
      <c r="AK44" s="902"/>
      <c r="AL44" s="902"/>
      <c r="AM44" s="902"/>
      <c r="AN44" s="902"/>
      <c r="AO44" s="903"/>
    </row>
    <row r="45" spans="2:41" ht="29.25" customHeight="1" thickBot="1" x14ac:dyDescent="0.25">
      <c r="B45" s="225" t="s">
        <v>32</v>
      </c>
      <c r="C45" s="276"/>
      <c r="D45" s="276"/>
      <c r="E45" s="226" t="s">
        <v>39</v>
      </c>
      <c r="F45" s="226" t="s">
        <v>152</v>
      </c>
      <c r="G45" s="226" t="s">
        <v>153</v>
      </c>
      <c r="H45" s="232" t="s">
        <v>156</v>
      </c>
      <c r="I45" s="226" t="s">
        <v>154</v>
      </c>
      <c r="J45" s="227" t="s">
        <v>155</v>
      </c>
      <c r="K45" s="196"/>
      <c r="L45" s="196"/>
      <c r="M45" s="225" t="s">
        <v>32</v>
      </c>
      <c r="N45" s="276"/>
      <c r="O45" s="276"/>
      <c r="P45" s="226" t="s">
        <v>39</v>
      </c>
      <c r="Q45" s="226" t="s">
        <v>152</v>
      </c>
      <c r="R45" s="226" t="s">
        <v>153</v>
      </c>
      <c r="S45" s="232" t="s">
        <v>156</v>
      </c>
      <c r="T45" s="226" t="s">
        <v>154</v>
      </c>
      <c r="U45" s="227" t="s">
        <v>155</v>
      </c>
      <c r="W45" s="225" t="s">
        <v>32</v>
      </c>
      <c r="X45" s="276"/>
      <c r="Y45" s="276"/>
      <c r="Z45" s="226" t="s">
        <v>39</v>
      </c>
      <c r="AA45" s="226" t="s">
        <v>152</v>
      </c>
      <c r="AB45" s="226" t="s">
        <v>153</v>
      </c>
      <c r="AC45" s="232" t="s">
        <v>156</v>
      </c>
      <c r="AD45" s="226" t="s">
        <v>154</v>
      </c>
      <c r="AE45" s="227" t="s">
        <v>155</v>
      </c>
      <c r="AG45" s="225" t="s">
        <v>32</v>
      </c>
      <c r="AH45" s="276"/>
      <c r="AI45" s="276"/>
      <c r="AJ45" s="226" t="s">
        <v>39</v>
      </c>
      <c r="AK45" s="226" t="s">
        <v>152</v>
      </c>
      <c r="AL45" s="226" t="s">
        <v>153</v>
      </c>
      <c r="AM45" s="232" t="s">
        <v>156</v>
      </c>
      <c r="AN45" s="226" t="s">
        <v>154</v>
      </c>
      <c r="AO45" s="227" t="s">
        <v>155</v>
      </c>
    </row>
    <row r="46" spans="2:41" ht="12.75" customHeight="1" x14ac:dyDescent="0.2">
      <c r="B46" s="4" t="str">
        <f>+B28</f>
        <v>2018</v>
      </c>
      <c r="C46" s="277"/>
      <c r="D46" s="277"/>
      <c r="E46" s="221">
        <f>+G28-G27</f>
        <v>1.5492188784741074</v>
      </c>
      <c r="F46" s="222">
        <f>+H31</f>
        <v>653964.93369165552</v>
      </c>
      <c r="G46" s="228">
        <f>+I31</f>
        <v>1683.0306636752268</v>
      </c>
      <c r="H46" s="898" t="s">
        <v>147</v>
      </c>
      <c r="I46" s="230">
        <f>IF(H46="Yes",+F46*E46+$E$28,$E$28)</f>
        <v>85961669.378012925</v>
      </c>
      <c r="J46" s="223">
        <f>IF(H46="Yes",+G46*E46+$F$28,$F$28)</f>
        <v>221276.70912632582</v>
      </c>
      <c r="M46" s="4" t="str">
        <f>+M28</f>
        <v>2018</v>
      </c>
      <c r="N46" s="277"/>
      <c r="O46" s="277"/>
      <c r="P46" s="221">
        <f>+R28-R27</f>
        <v>31.19566711803418</v>
      </c>
      <c r="Q46" s="222">
        <f>+S31</f>
        <v>405.44607594037495</v>
      </c>
      <c r="R46" s="228">
        <f>+T31</f>
        <v>1.1246717000391526</v>
      </c>
      <c r="S46" s="898" t="s">
        <v>147</v>
      </c>
      <c r="T46" s="230">
        <f>IF(S46="Yes",+Q46*P46+$P$28,$P$28)</f>
        <v>873781.83894371043</v>
      </c>
      <c r="U46" s="223">
        <f>IF(S46="Yes",+R46*P46+$Q$28,$Q$28)</f>
        <v>2438.9195714511152</v>
      </c>
      <c r="W46" s="4" t="str">
        <f>+W28</f>
        <v>2018</v>
      </c>
      <c r="X46" s="277"/>
      <c r="Y46" s="277"/>
      <c r="Z46" s="221">
        <f>+AB28-AB27</f>
        <v>4.75</v>
      </c>
      <c r="AA46" s="222">
        <f>+AC31</f>
        <v>9673.3846153846243</v>
      </c>
      <c r="AB46" s="228">
        <f>+AD31</f>
        <v>0</v>
      </c>
      <c r="AC46" s="898" t="s">
        <v>147</v>
      </c>
      <c r="AD46" s="230">
        <f>IF(AC46="Yes",+AA46*Z46+$Z$28,$Z$28)</f>
        <v>251508.00000000023</v>
      </c>
      <c r="AE46" s="223">
        <f>IF(AC46="Yes",+AB46*Z46+$AA$28,$AA$28)</f>
        <v>0</v>
      </c>
      <c r="AG46" s="4" t="str">
        <f>+AG28</f>
        <v>2018</v>
      </c>
      <c r="AH46" s="277"/>
      <c r="AI46" s="277"/>
      <c r="AJ46" s="221">
        <f>+AL28-AL27</f>
        <v>0</v>
      </c>
      <c r="AK46" s="222">
        <f>+AM31</f>
        <v>0</v>
      </c>
      <c r="AL46" s="228">
        <f>+AN31</f>
        <v>0</v>
      </c>
      <c r="AM46" s="898" t="s">
        <v>147</v>
      </c>
      <c r="AN46" s="230">
        <f>IF(AM46="Yes",+AK46*AJ46+$AJ$28,$AJ$28)</f>
        <v>0</v>
      </c>
      <c r="AO46" s="223">
        <f>IF(AM46="Yes",+AL46*AJ46+$AK$28,$AK$28)</f>
        <v>0</v>
      </c>
    </row>
    <row r="47" spans="2:41" ht="13.5" customHeight="1" thickBot="1" x14ac:dyDescent="0.25">
      <c r="B47" s="10" t="str">
        <f>+B29</f>
        <v>2019</v>
      </c>
      <c r="C47" s="278"/>
      <c r="D47" s="278"/>
      <c r="E47" s="217">
        <f>+G29-G27</f>
        <v>2.0416666666666572</v>
      </c>
      <c r="F47" s="239">
        <f>+H31</f>
        <v>653964.93369165552</v>
      </c>
      <c r="G47" s="229">
        <f>+I31</f>
        <v>1683.0306636752268</v>
      </c>
      <c r="H47" s="899"/>
      <c r="I47" s="231">
        <f>IF(H46="Yes",+F47*E47+$E$29,$E$29)</f>
        <v>84345116.302129641</v>
      </c>
      <c r="J47" s="224">
        <f>IF(H46="Yes",+G47*E47+$F$29,$F$29)</f>
        <v>217115.48764996644</v>
      </c>
      <c r="M47" s="10" t="str">
        <f>+M29</f>
        <v>2019</v>
      </c>
      <c r="N47" s="278"/>
      <c r="O47" s="278"/>
      <c r="P47" s="217">
        <f>+R29-R27</f>
        <v>62.849530012867035</v>
      </c>
      <c r="Q47" s="239">
        <f>+S31</f>
        <v>405.44607594037495</v>
      </c>
      <c r="R47" s="229">
        <f>+T31</f>
        <v>1.1246717000391526</v>
      </c>
      <c r="S47" s="899"/>
      <c r="T47" s="231">
        <f>IF(S46="Yes",+Q47*P47+$P$29,$P$29)</f>
        <v>886615.77344277513</v>
      </c>
      <c r="U47" s="224">
        <f>IF(S46="Yes",+R47*P47+$Q$29,$Q$29)</f>
        <v>2474.7419388126632</v>
      </c>
      <c r="W47" s="10" t="str">
        <f>+W29</f>
        <v>2019</v>
      </c>
      <c r="X47" s="278"/>
      <c r="Y47" s="278"/>
      <c r="Z47" s="217">
        <f>+AB29-AB27</f>
        <v>4.75</v>
      </c>
      <c r="AA47" s="239">
        <f>+AC31</f>
        <v>9673.3846153846243</v>
      </c>
      <c r="AB47" s="229">
        <f>+AD31</f>
        <v>0</v>
      </c>
      <c r="AC47" s="899"/>
      <c r="AD47" s="231">
        <f>IF(AC46="Yes",+AA47*Z47+$Z$29,$Z$29)</f>
        <v>251508.00000000023</v>
      </c>
      <c r="AE47" s="224">
        <f>IF(AC46="Yes",+AB47*Z47+$AA$29,$AA$29)</f>
        <v>0</v>
      </c>
      <c r="AG47" s="10" t="str">
        <f>+AG29</f>
        <v>2019</v>
      </c>
      <c r="AH47" s="278"/>
      <c r="AI47" s="278"/>
      <c r="AJ47" s="217">
        <f>+AL29-AL27</f>
        <v>1</v>
      </c>
      <c r="AK47" s="239">
        <f>+AM31</f>
        <v>0</v>
      </c>
      <c r="AL47" s="229">
        <f>+AN31</f>
        <v>0</v>
      </c>
      <c r="AM47" s="899"/>
      <c r="AN47" s="231">
        <f>IF(AM46="Yes",+AK47*AJ47+$AJ$29,$AJ$29)</f>
        <v>23308825.330262251</v>
      </c>
      <c r="AO47" s="224">
        <f>IF(AM46="Yes",+AL47*AJ47+$AK$29,$AK$29)</f>
        <v>60000</v>
      </c>
    </row>
    <row r="48" spans="2:41" x14ac:dyDescent="0.2">
      <c r="J48" s="198"/>
    </row>
    <row r="49" spans="2:10" x14ac:dyDescent="0.2">
      <c r="B49" s="234" t="s">
        <v>158</v>
      </c>
      <c r="C49" s="234"/>
      <c r="D49" s="234"/>
    </row>
    <row r="51" spans="2:10" x14ac:dyDescent="0.2">
      <c r="H51" s="233"/>
    </row>
    <row r="54" spans="2:10" ht="26.25" hidden="1" thickBot="1" x14ac:dyDescent="0.25">
      <c r="B54" s="895" t="s">
        <v>132</v>
      </c>
      <c r="C54" s="896"/>
      <c r="D54" s="896"/>
      <c r="E54" s="897"/>
      <c r="H54" s="199" t="s">
        <v>123</v>
      </c>
      <c r="I54" s="200" t="s">
        <v>120</v>
      </c>
    </row>
    <row r="55" spans="2:10" hidden="1" x14ac:dyDescent="0.2">
      <c r="B55" s="194">
        <v>1</v>
      </c>
      <c r="C55" s="203"/>
      <c r="D55" s="203"/>
      <c r="E55" s="203"/>
      <c r="F55" s="208" t="e">
        <f>+#REF!</f>
        <v>#REF!</v>
      </c>
      <c r="G55" s="212"/>
      <c r="H55" s="205" t="e">
        <f>SUM('6. WS Regression Analysis'!#REF!)</f>
        <v>#REF!</v>
      </c>
      <c r="I55" s="201" t="e">
        <f>SUM('6. WS Regression Analysis'!#REF!)</f>
        <v>#REF!</v>
      </c>
    </row>
    <row r="56" spans="2:10" hidden="1" x14ac:dyDescent="0.2">
      <c r="B56" s="194">
        <v>2</v>
      </c>
      <c r="C56" s="203"/>
      <c r="D56" s="203"/>
      <c r="E56" s="203"/>
      <c r="F56" s="208" t="e">
        <f>+#REF!</f>
        <v>#REF!</v>
      </c>
      <c r="G56" s="213"/>
      <c r="H56" s="206" t="e">
        <f>SUM('6. WS Regression Analysis'!#REF!)</f>
        <v>#REF!</v>
      </c>
      <c r="I56" s="202" t="e">
        <f>SUM('6. WS Regression Analysis'!#REF!)</f>
        <v>#REF!</v>
      </c>
    </row>
    <row r="57" spans="2:10" hidden="1" x14ac:dyDescent="0.2">
      <c r="B57" s="194">
        <v>3</v>
      </c>
      <c r="C57" s="203"/>
      <c r="D57" s="203"/>
      <c r="E57" s="203"/>
      <c r="F57" s="208" t="e">
        <f>+#REF!</f>
        <v>#REF!</v>
      </c>
      <c r="G57" s="213"/>
      <c r="H57" s="206" t="e">
        <f>SUM('6. WS Regression Analysis'!#REF!)</f>
        <v>#REF!</v>
      </c>
      <c r="I57" s="202" t="e">
        <f>SUM('6. WS Regression Analysis'!#REF!)</f>
        <v>#REF!</v>
      </c>
    </row>
    <row r="58" spans="2:10" hidden="1" x14ac:dyDescent="0.2">
      <c r="B58" s="194">
        <v>4</v>
      </c>
      <c r="C58" s="203"/>
      <c r="D58" s="203"/>
      <c r="E58" s="203"/>
      <c r="F58" s="208">
        <f t="shared" ref="F58:F64" si="19">+B21</f>
        <v>2011</v>
      </c>
      <c r="G58" s="213"/>
      <c r="H58" s="206">
        <f>SUM('6. WS Regression Analysis'!J20:J31)</f>
        <v>188298521</v>
      </c>
      <c r="I58" s="202">
        <f>SUM('6. WS Regression Analysis'!S20:S31)</f>
        <v>190530219.37423924</v>
      </c>
    </row>
    <row r="59" spans="2:10" hidden="1" x14ac:dyDescent="0.2">
      <c r="B59" s="194">
        <v>5</v>
      </c>
      <c r="C59" s="203"/>
      <c r="D59" s="203"/>
      <c r="E59" s="203"/>
      <c r="F59" s="208">
        <f t="shared" si="19"/>
        <v>2012</v>
      </c>
      <c r="G59" s="213"/>
      <c r="H59" s="206">
        <f>SUM('6. WS Regression Analysis'!J32:J43)</f>
        <v>189169072.93239999</v>
      </c>
      <c r="I59" s="202">
        <f>SUM('6. WS Regression Analysis'!S32:S43)</f>
        <v>195964358.12512141</v>
      </c>
    </row>
    <row r="60" spans="2:10" hidden="1" x14ac:dyDescent="0.2">
      <c r="B60" s="194">
        <v>6</v>
      </c>
      <c r="C60" s="203"/>
      <c r="D60" s="203"/>
      <c r="E60" s="203"/>
      <c r="F60" s="208">
        <f t="shared" si="19"/>
        <v>2013</v>
      </c>
      <c r="G60" s="213"/>
      <c r="H60" s="206">
        <f>SUM('6. WS Regression Analysis'!J44:J55)</f>
        <v>189823053.13865024</v>
      </c>
      <c r="I60" s="202">
        <f>SUM('6. WS Regression Analysis'!S44:S55)</f>
        <v>191903721.59167364</v>
      </c>
    </row>
    <row r="61" spans="2:10" hidden="1" x14ac:dyDescent="0.2">
      <c r="B61" s="194">
        <v>7</v>
      </c>
      <c r="C61" s="203"/>
      <c r="D61" s="203"/>
      <c r="E61" s="203"/>
      <c r="F61" s="208">
        <f t="shared" si="19"/>
        <v>2014</v>
      </c>
      <c r="G61" s="213"/>
      <c r="H61" s="206">
        <f>SUM('6. WS Regression Analysis'!J56:J67)</f>
        <v>196751647.39219356</v>
      </c>
      <c r="I61" s="202">
        <f>SUM('6. WS Regression Analysis'!S56:S67)</f>
        <v>193844611.69432142</v>
      </c>
    </row>
    <row r="62" spans="2:10" hidden="1" x14ac:dyDescent="0.2">
      <c r="B62" s="194">
        <v>8</v>
      </c>
      <c r="C62" s="203"/>
      <c r="D62" s="203"/>
      <c r="E62" s="203"/>
      <c r="F62" s="208">
        <f t="shared" si="19"/>
        <v>2015</v>
      </c>
      <c r="G62" s="213"/>
      <c r="H62" s="206">
        <f>SUM('6. WS Regression Analysis'!J68:J79)</f>
        <v>201773815.25724146</v>
      </c>
      <c r="I62" s="219">
        <f>SUM('6. WS Regression Analysis'!S68:S79)</f>
        <v>200603195.59949324</v>
      </c>
      <c r="J62" s="193" t="s">
        <v>157</v>
      </c>
    </row>
    <row r="63" spans="2:10" hidden="1" x14ac:dyDescent="0.2">
      <c r="B63" s="194">
        <v>9</v>
      </c>
      <c r="C63" s="203"/>
      <c r="D63" s="203"/>
      <c r="E63" s="203"/>
      <c r="F63" s="208">
        <f t="shared" si="19"/>
        <v>2016</v>
      </c>
      <c r="G63" s="213"/>
      <c r="H63" s="206">
        <f>SUM('6. WS Regression Analysis'!J80:J91)</f>
        <v>209189301.68894997</v>
      </c>
      <c r="I63" s="219">
        <f>SUM('6. WS Regression Analysis'!S80:S81)</f>
        <v>34752142.908493623</v>
      </c>
      <c r="J63" s="193" t="s">
        <v>146</v>
      </c>
    </row>
    <row r="64" spans="2:10" ht="13.5" hidden="1" thickBot="1" x14ac:dyDescent="0.25">
      <c r="B64" s="195">
        <v>10</v>
      </c>
      <c r="C64" s="204"/>
      <c r="D64" s="204"/>
      <c r="E64" s="204"/>
      <c r="F64" s="208">
        <f t="shared" si="19"/>
        <v>2017</v>
      </c>
      <c r="G64" s="214"/>
      <c r="H64" s="207">
        <f>SUM('6. WS Regression Analysis'!J92:J103)</f>
        <v>203784766.54920003</v>
      </c>
      <c r="I64" s="218">
        <f>SUM('6. WS Regression Analysis'!S92:S103)</f>
        <v>207071865.39865404</v>
      </c>
      <c r="J64" s="193" t="s">
        <v>147</v>
      </c>
    </row>
    <row r="65" hidden="1" x14ac:dyDescent="0.2"/>
  </sheetData>
  <mergeCells count="21">
    <mergeCell ref="AG38:AO38"/>
    <mergeCell ref="B44:J44"/>
    <mergeCell ref="M44:U44"/>
    <mergeCell ref="W44:AE44"/>
    <mergeCell ref="AG44:AO44"/>
    <mergeCell ref="B18:J18"/>
    <mergeCell ref="M18:U18"/>
    <mergeCell ref="W18:AE18"/>
    <mergeCell ref="AG18:AO18"/>
    <mergeCell ref="B54:E54"/>
    <mergeCell ref="H46:H47"/>
    <mergeCell ref="S46:S47"/>
    <mergeCell ref="AC46:AC47"/>
    <mergeCell ref="AM46:AM47"/>
    <mergeCell ref="B33:J33"/>
    <mergeCell ref="B38:J38"/>
    <mergeCell ref="M33:U33"/>
    <mergeCell ref="M38:U38"/>
    <mergeCell ref="W33:AE33"/>
    <mergeCell ref="W38:AE38"/>
    <mergeCell ref="AG33:AO33"/>
  </mergeCells>
  <dataValidations count="2">
    <dataValidation type="list" allowBlank="1" showInputMessage="1" showErrorMessage="1" sqref="E31 AJ31 P31 Z31">
      <formula1>$B$55:$B$64</formula1>
    </dataValidation>
    <dataValidation type="list" allowBlank="1" showInputMessage="1" showErrorMessage="1" sqref="H46 AM46 AC46 S46">
      <formula1>$J$63:$J$64</formula1>
    </dataValidation>
  </dataValidations>
  <pageMargins left="0.7" right="0.7" top="0.75" bottom="0.75" header="0.3" footer="0.3"/>
  <pageSetup orientation="portrait" horizontalDpi="4294967293" verticalDpi="30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'2. Customer Classes'!$B$14:$B$21</xm:f>
          </x14:formula1>
          <xm:sqref>B18:J18 M18:U18 W18:AE18 AG18:AO18</xm:sqref>
        </x14:dataValidation>
      </x14:dataValidations>
    </ext>
  </extLst>
</worksheet>
</file>

<file path=docProps/app.xml><?xml version="1.0" encoding="utf-8"?>
<Properties xmlns="http://schemas.openxmlformats.org/officeDocument/2006/extended-properties" xmlns:vt="http://schemas.openxmlformats.org/officeDocument/2006/docPropsVTypes">
  <TitlesOfParts>
    <vt:vector size="21" baseType="lpstr">
      <vt:lpstr>1. LDC Info</vt:lpstr>
      <vt:lpstr>2. Customer Classes</vt:lpstr>
      <vt:lpstr>3. Consumption by Rate Class</vt:lpstr>
      <vt:lpstr>4. Customer Growth</vt:lpstr>
      <vt:lpstr>5.Variables</vt:lpstr>
      <vt:lpstr>Variables for presentation</vt:lpstr>
      <vt:lpstr>6. WS Regression Analysis</vt:lpstr>
      <vt:lpstr>7. Weather Senstive Class</vt:lpstr>
      <vt:lpstr>8. KW and Non-Weather Sensitive</vt:lpstr>
      <vt:lpstr>9. Weather Adj LF</vt:lpstr>
      <vt:lpstr>Variances</vt:lpstr>
      <vt:lpstr>10. CDM Adjustment</vt:lpstr>
      <vt:lpstr>10.1 CDM Allocation</vt:lpstr>
      <vt:lpstr>11. Final Load Forecast</vt:lpstr>
      <vt:lpstr>12. Analysis_ Avg Per Cust</vt:lpstr>
      <vt:lpstr>13. Analysis_Weather adj LF</vt:lpstr>
      <vt:lpstr>Sheet4</vt:lpstr>
      <vt:lpstr>2019 Distribution Revenue</vt:lpstr>
      <vt:lpstr>Customer Count</vt:lpstr>
      <vt:lpstr>Sheet2</vt:lpstr>
      <vt:lpstr>14. RRWF LF</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file>