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codeName="{22E68647-3C60-695B-3CA0-4895CD717B8A}"/>
  <workbookPr codeName="ThisWorkbook"/>
  <mc:AlternateContent xmlns:mc="http://schemas.openxmlformats.org/markup-compatibility/2006">
    <mc:Choice Requires="x15">
      <x15ac:absPath xmlns:x15ac="http://schemas.microsoft.com/office/spreadsheetml/2010/11/ac" url="Y:\OEB\Rate Applications\2019 Cost of Service\OEB Models\OEB Models (12-17-18 - Settlemet Proposal\"/>
    </mc:Choice>
  </mc:AlternateContent>
  <xr:revisionPtr revIDLastSave="0" documentId="13_ncr:1_{EE20E1FF-01F7-47F8-BD6B-49943F95DB6A}" xr6:coauthVersionLast="40" xr6:coauthVersionMax="40" xr10:uidLastSave="{00000000-0000-0000-0000-000000000000}"/>
  <workbookProtection workbookAlgorithmName="SHA-512" workbookHashValue="NLi4T99DfpeQyHwzN4wRPxHlY4srZqzcIi/ZnxlHUttjPkLZathSmVin1MfzpvpRS/sYOy8rBo4cE7GWIEIWgQ==" workbookSaltValue="JbedGw6CMUXjatJb8FQEOw==" workbookSpinCount="100000" lockStructure="1"/>
  <bookViews>
    <workbookView xWindow="0" yWindow="0" windowWidth="25200" windowHeight="10650" tabRatio="886"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Info'!$A$1:$Q$49</definedName>
    <definedName name="_xlnm.Print_Area" localSheetId="15">'14. Tracking_Sheet'!$A$1:$O$23</definedName>
    <definedName name="_xlnm.Print_Area" localSheetId="1">'2. Table of Contents'!$A$1:$O$31</definedName>
    <definedName name="_xlnm.Print_Area" localSheetId="2">'3. Data_Input_Sheet'!$A$1:$X$87</definedName>
    <definedName name="_xlnm.Print_Area" localSheetId="4">'4. Rate_Base'!$A$1:$X$42</definedName>
    <definedName name="_xlnm.Print_Area" localSheetId="5">'5. Utility Income'!$A$1:$W$57</definedName>
    <definedName name="_xlnm.Print_Area" localSheetId="6">'6. Taxes_PILs'!$A$1:$R$53</definedName>
    <definedName name="_xlnm.Print_Area" localSheetId="7">'7. Cost_of_Capital'!$A$1:$T$69</definedName>
    <definedName name="_xlnm.Print_Area" localSheetId="8">'8. Rev_Def_Suff'!$B$1:$Q$60</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81029"/>
</workbook>
</file>

<file path=xl/calcChain.xml><?xml version="1.0" encoding="utf-8"?>
<calcChain xmlns="http://schemas.openxmlformats.org/spreadsheetml/2006/main">
  <c r="A4" i="34" l="1"/>
  <c r="B4" i="34"/>
  <c r="C4" i="34"/>
  <c r="D4" i="34"/>
  <c r="E4" i="34"/>
  <c r="E3" i="34"/>
  <c r="D3" i="34"/>
  <c r="C3" i="34"/>
  <c r="B3" i="34"/>
  <c r="A3" i="34"/>
  <c r="E2" i="34"/>
  <c r="D2" i="34"/>
  <c r="C2" i="34"/>
  <c r="B2" i="34"/>
  <c r="A2" i="34"/>
  <c r="I30" i="33"/>
  <c r="I29" i="33"/>
  <c r="I28" i="33"/>
  <c r="I27" i="33"/>
  <c r="I26" i="33"/>
  <c r="I25" i="33"/>
  <c r="I24" i="33"/>
  <c r="I23" i="33"/>
  <c r="I22" i="33"/>
  <c r="I21" i="33"/>
  <c r="I20" i="33"/>
  <c r="I19" i="33"/>
  <c r="I18" i="33"/>
  <c r="I13" i="33"/>
  <c r="I12" i="33"/>
  <c r="I11" i="33"/>
  <c r="I10" i="33"/>
  <c r="I9" i="33"/>
  <c r="I8" i="33"/>
  <c r="I7" i="33"/>
  <c r="I6" i="33"/>
  <c r="H30" i="33"/>
  <c r="H24" i="33"/>
  <c r="H25" i="33"/>
  <c r="H26" i="33"/>
  <c r="H23" i="33"/>
  <c r="H22" i="33"/>
  <c r="H20" i="33"/>
  <c r="H17" i="33"/>
  <c r="A13" i="33"/>
  <c r="B13" i="33"/>
  <c r="C13" i="33"/>
  <c r="D13" i="33"/>
  <c r="E13" i="33"/>
  <c r="B12" i="33"/>
  <c r="C12" i="33"/>
  <c r="D12" i="33"/>
  <c r="E12" i="33"/>
  <c r="H6"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l="1"/>
  <c r="T50" i="28"/>
  <c r="N46" i="11" l="1"/>
  <c r="H4" i="34" s="1"/>
  <c r="AI29" i="30" l="1"/>
  <c r="AI30" i="30" s="1"/>
  <c r="AI31" i="30" s="1"/>
  <c r="AI32" i="30" s="1"/>
  <c r="AI33" i="30" s="1"/>
  <c r="AI34" i="30" s="1"/>
  <c r="AI35" i="30" s="1"/>
  <c r="AI36" i="30" s="1"/>
  <c r="AI37" i="30" s="1"/>
  <c r="AI38" i="30" s="1"/>
  <c r="AI39" i="30" s="1"/>
  <c r="AI40" i="30" s="1"/>
  <c r="AI41" i="30" s="1"/>
  <c r="AI42" i="30" s="1"/>
  <c r="AI43" i="30" s="1"/>
  <c r="AI44" i="30" s="1"/>
  <c r="AI45" i="30" s="1"/>
  <c r="AI46" i="30" s="1"/>
  <c r="AI47" i="30" s="1"/>
  <c r="AC29" i="30"/>
  <c r="AC30" i="30" s="1"/>
  <c r="AC31" i="30" s="1"/>
  <c r="AC32" i="30" s="1"/>
  <c r="AC33" i="30" s="1"/>
  <c r="AC34" i="30" s="1"/>
  <c r="AC35" i="30" s="1"/>
  <c r="AC36" i="30" s="1"/>
  <c r="AC37" i="30" s="1"/>
  <c r="AC38" i="30" s="1"/>
  <c r="AC39" i="30" s="1"/>
  <c r="AC40" i="30" s="1"/>
  <c r="AC41" i="30" s="1"/>
  <c r="AC42" i="30" s="1"/>
  <c r="AC43" i="30" s="1"/>
  <c r="AC44" i="30" s="1"/>
  <c r="AC45" i="30" s="1"/>
  <c r="AC46" i="30" s="1"/>
  <c r="AC47" i="30" s="1"/>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l="1"/>
  <c r="Q46" i="30"/>
  <c r="Q45" i="30"/>
  <c r="Q44" i="30"/>
  <c r="Q43" i="30"/>
  <c r="Q42" i="30"/>
  <c r="Q41" i="30"/>
  <c r="Q40" i="30"/>
  <c r="Q39" i="30"/>
  <c r="Q38" i="30"/>
  <c r="Q37" i="30"/>
  <c r="Q36" i="30"/>
  <c r="Q35" i="30"/>
  <c r="W47" i="30"/>
  <c r="W46" i="30"/>
  <c r="W45" i="30"/>
  <c r="W44" i="30"/>
  <c r="W43" i="30"/>
  <c r="W42" i="30"/>
  <c r="W41" i="30"/>
  <c r="W40" i="30"/>
  <c r="W39" i="30"/>
  <c r="W38" i="30"/>
  <c r="W37" i="30"/>
  <c r="W36" i="30"/>
  <c r="W35" i="30"/>
  <c r="O47" i="30"/>
  <c r="AA47" i="30" s="1"/>
  <c r="O46" i="30"/>
  <c r="AA46" i="30" s="1"/>
  <c r="O45" i="30"/>
  <c r="AA45" i="30" s="1"/>
  <c r="O44" i="30"/>
  <c r="AA44" i="30" s="1"/>
  <c r="O43" i="30"/>
  <c r="AA43" i="30" s="1"/>
  <c r="O42" i="30"/>
  <c r="AA42" i="30" s="1"/>
  <c r="O41" i="30"/>
  <c r="AA41" i="30" s="1"/>
  <c r="O40" i="30"/>
  <c r="AA40" i="30" s="1"/>
  <c r="O39" i="30"/>
  <c r="AA39" i="30" s="1"/>
  <c r="O38" i="30"/>
  <c r="AA38" i="30" s="1"/>
  <c r="O37" i="30"/>
  <c r="AA37" i="30" s="1"/>
  <c r="O36" i="30"/>
  <c r="AA36" i="30" s="1"/>
  <c r="O35" i="30"/>
  <c r="AA35" i="30" s="1"/>
  <c r="O34" i="30"/>
  <c r="AA34" i="30" s="1"/>
  <c r="AK45" i="30" l="1"/>
  <c r="S47" i="30"/>
  <c r="AE47" i="30" s="1"/>
  <c r="AM47" i="30" s="1"/>
  <c r="S46" i="30"/>
  <c r="AE46" i="30" s="1"/>
  <c r="AM46" i="30" s="1"/>
  <c r="S45" i="30"/>
  <c r="AE45" i="30" s="1"/>
  <c r="AM45" i="30" s="1"/>
  <c r="S44" i="30"/>
  <c r="AE44" i="30" s="1"/>
  <c r="AM44" i="30" s="1"/>
  <c r="S42" i="30"/>
  <c r="AE42" i="30" s="1"/>
  <c r="AM42" i="30" s="1"/>
  <c r="S41" i="30"/>
  <c r="AE41" i="30" s="1"/>
  <c r="AM41" i="30" s="1"/>
  <c r="S40" i="30"/>
  <c r="AE40" i="30" s="1"/>
  <c r="AM40" i="30" s="1"/>
  <c r="S39" i="30"/>
  <c r="AE39" i="30" s="1"/>
  <c r="AM39" i="30" s="1"/>
  <c r="S38" i="30"/>
  <c r="AE38" i="30" s="1"/>
  <c r="AM38" i="30" s="1"/>
  <c r="S37" i="30"/>
  <c r="AE37" i="30" s="1"/>
  <c r="AM37" i="30" s="1"/>
  <c r="S36" i="30"/>
  <c r="AE36" i="30" s="1"/>
  <c r="AM36" i="30" s="1"/>
  <c r="S35" i="30"/>
  <c r="AE35" i="30" s="1"/>
  <c r="AM35" i="30" s="1"/>
  <c r="AK47" i="30"/>
  <c r="AK46" i="30"/>
  <c r="AK44" i="30"/>
  <c r="S43" i="30"/>
  <c r="AE43" i="30" s="1"/>
  <c r="AM43" i="30" s="1"/>
  <c r="AK43" i="30"/>
  <c r="AK42" i="30"/>
  <c r="AK41" i="30"/>
  <c r="AK40" i="30"/>
  <c r="AK39" i="30"/>
  <c r="AK38" i="30"/>
  <c r="AK37" i="30"/>
  <c r="AK36" i="30"/>
  <c r="AK35" i="30"/>
  <c r="D35" i="32"/>
  <c r="D34" i="32"/>
  <c r="AO46" i="30" l="1"/>
  <c r="AO43" i="30"/>
  <c r="AO40" i="30"/>
  <c r="AO35" i="30"/>
  <c r="AO41" i="30"/>
  <c r="AO42" i="30"/>
  <c r="AO36" i="30"/>
  <c r="AO45" i="30"/>
  <c r="AO37" i="30"/>
  <c r="AO38" i="30"/>
  <c r="AO44" i="30"/>
  <c r="AO39" i="30"/>
  <c r="AO47" i="30"/>
  <c r="K131" i="29"/>
  <c r="K132" i="29"/>
  <c r="K133" i="29"/>
  <c r="K134" i="29"/>
  <c r="K135" i="29"/>
  <c r="K136" i="29"/>
  <c r="K137" i="29"/>
  <c r="K138" i="29"/>
  <c r="K139" i="29"/>
  <c r="K140" i="29"/>
  <c r="K141" i="29"/>
  <c r="K142" i="29"/>
  <c r="K143" i="29"/>
  <c r="K144" i="29"/>
  <c r="K145" i="29"/>
  <c r="K146" i="29"/>
  <c r="K147" i="29"/>
  <c r="K148" i="29"/>
  <c r="K149" i="29"/>
  <c r="K130" i="29"/>
  <c r="G128" i="29"/>
  <c r="I128" i="29" s="1"/>
  <c r="M141" i="29" l="1"/>
  <c r="N141" i="29"/>
  <c r="M148" i="29"/>
  <c r="N148" i="29"/>
  <c r="M144" i="29"/>
  <c r="N144" i="29"/>
  <c r="M140" i="29"/>
  <c r="N140" i="29"/>
  <c r="M149" i="29"/>
  <c r="N149" i="29"/>
  <c r="M147" i="29"/>
  <c r="N147" i="29"/>
  <c r="M143" i="29"/>
  <c r="N143" i="29"/>
  <c r="M139" i="29"/>
  <c r="N139" i="29"/>
  <c r="M145" i="29"/>
  <c r="N145" i="29"/>
  <c r="M137" i="29"/>
  <c r="N137" i="29"/>
  <c r="M146" i="29"/>
  <c r="N146" i="29"/>
  <c r="M142" i="29"/>
  <c r="N142" i="29"/>
  <c r="M138" i="29"/>
  <c r="N138" i="29"/>
  <c r="M131" i="29"/>
  <c r="N131" i="29"/>
  <c r="M136" i="29"/>
  <c r="N136" i="29"/>
  <c r="M135" i="29"/>
  <c r="N135" i="29"/>
  <c r="N130" i="29"/>
  <c r="M130" i="29"/>
  <c r="M134" i="29"/>
  <c r="N134" i="29"/>
  <c r="M133" i="29"/>
  <c r="N133" i="29"/>
  <c r="M132" i="29"/>
  <c r="N132" i="29"/>
  <c r="I104" i="29"/>
  <c r="I105" i="29"/>
  <c r="E137" i="29" s="1"/>
  <c r="G137" i="29" s="1"/>
  <c r="I137" i="29" s="1"/>
  <c r="I106" i="29"/>
  <c r="E138" i="29" s="1"/>
  <c r="G138" i="29" s="1"/>
  <c r="I138" i="29" s="1"/>
  <c r="I107" i="29"/>
  <c r="E139" i="29" s="1"/>
  <c r="G139" i="29" s="1"/>
  <c r="I139" i="29" s="1"/>
  <c r="I108" i="29"/>
  <c r="E140" i="29" s="1"/>
  <c r="G140" i="29" s="1"/>
  <c r="I140" i="29" s="1"/>
  <c r="I109" i="29"/>
  <c r="E141" i="29" s="1"/>
  <c r="G141" i="29" s="1"/>
  <c r="I141" i="29" s="1"/>
  <c r="I110" i="29"/>
  <c r="E142" i="29" s="1"/>
  <c r="G142" i="29" s="1"/>
  <c r="I142" i="29" s="1"/>
  <c r="I111" i="29"/>
  <c r="E143" i="29" s="1"/>
  <c r="G143" i="29" s="1"/>
  <c r="I143" i="29" s="1"/>
  <c r="I112" i="29"/>
  <c r="E144" i="29" s="1"/>
  <c r="G144" i="29" s="1"/>
  <c r="I144" i="29" s="1"/>
  <c r="I113" i="29"/>
  <c r="E145" i="29" s="1"/>
  <c r="G145" i="29" s="1"/>
  <c r="I145" i="29" s="1"/>
  <c r="I114" i="29"/>
  <c r="E146" i="29" s="1"/>
  <c r="G146" i="29" s="1"/>
  <c r="I146" i="29" s="1"/>
  <c r="I115" i="29"/>
  <c r="E147" i="29" s="1"/>
  <c r="G147" i="29" s="1"/>
  <c r="I147" i="29" s="1"/>
  <c r="I116" i="29"/>
  <c r="E148" i="29" s="1"/>
  <c r="G148" i="29" s="1"/>
  <c r="I148" i="29" s="1"/>
  <c r="I117" i="29"/>
  <c r="E149" i="29" s="1"/>
  <c r="G149" i="29" s="1"/>
  <c r="I149" i="29" s="1"/>
  <c r="G117" i="29"/>
  <c r="G104" i="29"/>
  <c r="G105" i="29"/>
  <c r="G106" i="29"/>
  <c r="G107" i="29"/>
  <c r="G108" i="29"/>
  <c r="G109" i="29"/>
  <c r="G110" i="29"/>
  <c r="G111" i="29"/>
  <c r="G112" i="29"/>
  <c r="G113" i="29"/>
  <c r="G114" i="29"/>
  <c r="G115" i="29"/>
  <c r="G116" i="29"/>
  <c r="E136" i="29" l="1"/>
  <c r="G136" i="29" s="1"/>
  <c r="E49" i="29" l="1"/>
  <c r="G36" i="29" s="1"/>
  <c r="G35" i="29" l="1"/>
  <c r="G34" i="29"/>
  <c r="G43" i="29"/>
  <c r="G42" i="29"/>
  <c r="G41" i="29"/>
  <c r="G33" i="29"/>
  <c r="G28" i="29"/>
  <c r="G40" i="29"/>
  <c r="G32" i="29"/>
  <c r="G47" i="29"/>
  <c r="G39" i="29"/>
  <c r="G31" i="29"/>
  <c r="G46" i="29"/>
  <c r="G38" i="29"/>
  <c r="G30" i="29"/>
  <c r="G45" i="29"/>
  <c r="G37" i="29"/>
  <c r="G29" i="29"/>
  <c r="G44" i="29"/>
  <c r="H20" i="30"/>
  <c r="E20" i="29"/>
  <c r="G49" i="29" l="1"/>
  <c r="C29" i="29" l="1"/>
  <c r="C63" i="29" s="1"/>
  <c r="C99" i="29" s="1"/>
  <c r="C131" i="29" s="1"/>
  <c r="C30" i="29"/>
  <c r="C64" i="29" s="1"/>
  <c r="C100" i="29" s="1"/>
  <c r="C132" i="29" s="1"/>
  <c r="C31" i="29"/>
  <c r="C65" i="29" s="1"/>
  <c r="C101" i="29" s="1"/>
  <c r="C133" i="29" s="1"/>
  <c r="C32" i="29"/>
  <c r="C66" i="29" s="1"/>
  <c r="C102" i="29" s="1"/>
  <c r="C134" i="29" s="1"/>
  <c r="C33" i="29"/>
  <c r="C67" i="29" s="1"/>
  <c r="C103" i="29" s="1"/>
  <c r="C135" i="29" s="1"/>
  <c r="C34" i="29"/>
  <c r="C68" i="29" s="1"/>
  <c r="C104" i="29" s="1"/>
  <c r="C136" i="29" s="1"/>
  <c r="C35" i="29"/>
  <c r="C69" i="29" s="1"/>
  <c r="C105" i="29" s="1"/>
  <c r="C137" i="29" s="1"/>
  <c r="C36" i="29"/>
  <c r="C70" i="29" s="1"/>
  <c r="C106" i="29" s="1"/>
  <c r="C138" i="29" s="1"/>
  <c r="C37" i="29"/>
  <c r="C71" i="29" s="1"/>
  <c r="C107" i="29" s="1"/>
  <c r="C139" i="29" s="1"/>
  <c r="C38" i="29"/>
  <c r="C72" i="29" s="1"/>
  <c r="C108" i="29" s="1"/>
  <c r="C140" i="29" s="1"/>
  <c r="C39" i="29"/>
  <c r="C73" i="29" s="1"/>
  <c r="C109" i="29" s="1"/>
  <c r="C141" i="29" s="1"/>
  <c r="C40" i="29"/>
  <c r="C74" i="29" s="1"/>
  <c r="C110" i="29" s="1"/>
  <c r="C142" i="29" s="1"/>
  <c r="C41" i="29"/>
  <c r="C75" i="29" s="1"/>
  <c r="C111" i="29" s="1"/>
  <c r="C143" i="29" s="1"/>
  <c r="C42" i="29"/>
  <c r="C76" i="29" s="1"/>
  <c r="C112" i="29" s="1"/>
  <c r="C144" i="29" s="1"/>
  <c r="C43" i="29"/>
  <c r="C77" i="29" s="1"/>
  <c r="C113" i="29" s="1"/>
  <c r="C145" i="29" s="1"/>
  <c r="C44" i="29"/>
  <c r="C78" i="29" s="1"/>
  <c r="C114" i="29" s="1"/>
  <c r="C146" i="29" s="1"/>
  <c r="C45" i="29"/>
  <c r="C79" i="29" s="1"/>
  <c r="C115" i="29" s="1"/>
  <c r="C147" i="29" s="1"/>
  <c r="C46" i="29"/>
  <c r="C80" i="29" s="1"/>
  <c r="C116" i="29" s="1"/>
  <c r="C148" i="29" s="1"/>
  <c r="C47" i="29"/>
  <c r="C81" i="29" s="1"/>
  <c r="C117" i="29" s="1"/>
  <c r="C149" i="29" s="1"/>
  <c r="C28" i="29"/>
  <c r="C62" i="29" s="1"/>
  <c r="C98" i="29" l="1"/>
  <c r="C130" i="29" s="1"/>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l="1"/>
  <c r="H40" i="30"/>
  <c r="L41" i="30"/>
  <c r="J45" i="30"/>
  <c r="J38" i="30"/>
  <c r="J46" i="30"/>
  <c r="J37" i="30"/>
  <c r="L34" i="30"/>
  <c r="L40" i="30"/>
  <c r="H47" i="30"/>
  <c r="J44" i="30"/>
  <c r="H46" i="30"/>
  <c r="H38" i="30"/>
  <c r="J43" i="30"/>
  <c r="J35" i="30"/>
  <c r="J36" i="30"/>
  <c r="H45" i="30"/>
  <c r="J34" i="30"/>
  <c r="L37" i="30"/>
  <c r="L39" i="30"/>
  <c r="H37" i="30"/>
  <c r="J42" i="30"/>
  <c r="L45" i="30"/>
  <c r="H44" i="30"/>
  <c r="H36" i="30"/>
  <c r="J41" i="30"/>
  <c r="L44" i="30"/>
  <c r="L36" i="30"/>
  <c r="H39" i="30"/>
  <c r="L47" i="30"/>
  <c r="H43" i="30"/>
  <c r="H35" i="30"/>
  <c r="J40" i="30"/>
  <c r="L43" i="30"/>
  <c r="L35" i="30"/>
  <c r="H42" i="30"/>
  <c r="H34" i="30"/>
  <c r="J47" i="30"/>
  <c r="J39" i="30"/>
  <c r="L42" i="30"/>
  <c r="V27" i="28"/>
  <c r="T27" i="28"/>
  <c r="T26" i="28"/>
  <c r="R27" i="28"/>
  <c r="R26" i="28"/>
  <c r="R24" i="28"/>
  <c r="P27" i="28"/>
  <c r="N27" i="28"/>
  <c r="N26" i="28"/>
  <c r="L27" i="28"/>
  <c r="L26" i="28"/>
  <c r="L24" i="28"/>
  <c r="F24" i="28"/>
  <c r="L38" i="30" l="1"/>
  <c r="L46" i="30"/>
  <c r="W34" i="30" l="1"/>
  <c r="Q34" i="30"/>
  <c r="Q41" i="11"/>
  <c r="F41" i="11"/>
  <c r="S34" i="30" l="1"/>
  <c r="AE34" i="30" s="1"/>
  <c r="AM34" i="30" s="1"/>
  <c r="AK34" i="30"/>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AO34" i="30" l="1"/>
  <c r="D27" i="27"/>
  <c r="Q26" i="27" l="1"/>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W28" i="30" l="1"/>
  <c r="J13" i="23"/>
  <c r="O11" i="14"/>
  <c r="N13" i="13" l="1"/>
  <c r="J13" i="13" s="1"/>
  <c r="K12" i="15"/>
  <c r="J13" i="11"/>
  <c r="J41" i="11" s="1"/>
  <c r="N27" i="11"/>
  <c r="G39" i="15"/>
  <c r="G25" i="15"/>
  <c r="K25" i="15" s="1"/>
  <c r="O25" i="15" s="1"/>
  <c r="S13" i="14"/>
  <c r="S14" i="14"/>
  <c r="S24" i="14"/>
  <c r="S26" i="14" s="1"/>
  <c r="S25" i="14"/>
  <c r="W28" i="14"/>
  <c r="L23" i="12"/>
  <c r="L55" i="12" s="1"/>
  <c r="F39" i="12"/>
  <c r="F55" i="12" s="1"/>
  <c r="L39" i="12"/>
  <c r="F18" i="11"/>
  <c r="F26" i="13"/>
  <c r="F20" i="11" s="1"/>
  <c r="G28" i="14"/>
  <c r="F17" i="12"/>
  <c r="F18" i="12"/>
  <c r="F22" i="12"/>
  <c r="F23" i="12"/>
  <c r="Q33" i="22"/>
  <c r="AC1" i="26"/>
  <c r="F29" i="12" s="1"/>
  <c r="U40" i="22"/>
  <c r="M40" i="22"/>
  <c r="N26" i="13" s="1"/>
  <c r="J20" i="11" s="1"/>
  <c r="G35" i="15"/>
  <c r="Q31" i="22"/>
  <c r="R47" i="13" s="1"/>
  <c r="Q30" i="22"/>
  <c r="R46" i="13" s="1"/>
  <c r="Q29" i="22"/>
  <c r="R45" i="13" s="1"/>
  <c r="Q28" i="22"/>
  <c r="R44" i="13" s="1"/>
  <c r="Q26" i="22"/>
  <c r="Q25" i="22"/>
  <c r="R22" i="13"/>
  <c r="R23" i="13"/>
  <c r="R24" i="13"/>
  <c r="R26" i="13"/>
  <c r="J26" i="13"/>
  <c r="N13" i="11"/>
  <c r="N41" i="11" s="1"/>
  <c r="P1" i="23"/>
  <c r="N13" i="23"/>
  <c r="F35" i="23"/>
  <c r="H35" i="23"/>
  <c r="O12" i="15"/>
  <c r="V13" i="13"/>
  <c r="Q12" i="22"/>
  <c r="S11" i="14" s="1"/>
  <c r="W11" i="14"/>
  <c r="U1" i="22"/>
  <c r="I12" i="22"/>
  <c r="K11" i="14" s="1"/>
  <c r="M39" i="22"/>
  <c r="U39" i="22"/>
  <c r="U47" i="22"/>
  <c r="E59" i="22"/>
  <c r="U59" i="22"/>
  <c r="E60" i="22"/>
  <c r="U60" i="22"/>
  <c r="V26" i="13" l="1"/>
  <c r="N20" i="11" s="1"/>
  <c r="I17" i="33"/>
  <c r="S15" i="14"/>
  <c r="F25" i="13"/>
  <c r="O28" i="14"/>
  <c r="S28" i="14" s="1"/>
  <c r="N18" i="11"/>
  <c r="V25" i="13"/>
  <c r="F24" i="12"/>
  <c r="F19" i="12"/>
  <c r="N25" i="13"/>
  <c r="R48" i="13"/>
  <c r="J18" i="11"/>
  <c r="R13" i="13"/>
  <c r="F26" i="12" l="1"/>
  <c r="K28" i="14"/>
  <c r="R25" i="13"/>
  <c r="R27" i="13" s="1"/>
  <c r="J25" i="13"/>
  <c r="L22" i="12" l="1"/>
  <c r="H29" i="33"/>
  <c r="H27" i="33"/>
  <c r="L17" i="12"/>
  <c r="H28" i="33"/>
  <c r="L18" i="12"/>
  <c r="L50" i="12" s="1"/>
  <c r="L49" i="12" l="1"/>
  <c r="L19" i="12"/>
  <c r="L54" i="12"/>
  <c r="L24" i="12"/>
  <c r="H43" i="23" l="1"/>
  <c r="F43" i="23"/>
  <c r="L26" i="12"/>
  <c r="E21" i="27" l="1"/>
  <c r="E24" i="27" s="1"/>
  <c r="F47" i="23"/>
  <c r="H47" i="23"/>
  <c r="F24" i="13" l="1"/>
  <c r="F17" i="11" s="1"/>
  <c r="H16" i="33"/>
  <c r="H2" i="33" l="1"/>
  <c r="G13" i="14"/>
  <c r="H15" i="33" l="1"/>
  <c r="F23" i="13"/>
  <c r="F16" i="11" s="1"/>
  <c r="I21" i="27" s="1"/>
  <c r="I24" i="27" s="1"/>
  <c r="G14" i="14" l="1"/>
  <c r="H3" i="33"/>
  <c r="G15" i="14" l="1"/>
  <c r="F44" i="13" l="1"/>
  <c r="H9" i="33"/>
  <c r="F45" i="13"/>
  <c r="H10" i="33"/>
  <c r="F47" i="13" l="1"/>
  <c r="H12" i="33"/>
  <c r="H18" i="33" l="1"/>
  <c r="H30" i="23"/>
  <c r="F30" i="23"/>
  <c r="G18" i="15"/>
  <c r="H11" i="33" l="1"/>
  <c r="F46" i="13"/>
  <c r="F48" i="13" s="1"/>
  <c r="F27" i="11" l="1"/>
  <c r="H13" i="33"/>
  <c r="H21" i="23"/>
  <c r="F21" i="23"/>
  <c r="F17" i="13"/>
  <c r="F32" i="11" l="1"/>
  <c r="M21" i="27" s="1"/>
  <c r="M24" i="27" s="1"/>
  <c r="J50" i="28" l="1"/>
  <c r="H50" i="28" l="1"/>
  <c r="H7" i="33" l="1"/>
  <c r="F20" i="23"/>
  <c r="F22" i="23" s="1"/>
  <c r="H5" i="33" l="1"/>
  <c r="G25" i="14"/>
  <c r="H4" i="33" l="1"/>
  <c r="G24" i="14"/>
  <c r="F22" i="13" l="1"/>
  <c r="H14" i="33"/>
  <c r="G26" i="14"/>
  <c r="F27" i="13" l="1"/>
  <c r="F15" i="11"/>
  <c r="G21" i="27"/>
  <c r="G24" i="27" s="1"/>
  <c r="G30" i="14"/>
  <c r="H24" i="23" l="1"/>
  <c r="F24" i="23"/>
  <c r="G17" i="14"/>
  <c r="H21" i="27"/>
  <c r="H24" i="27" s="1"/>
  <c r="K21" i="27"/>
  <c r="K24" i="27" s="1"/>
  <c r="G18" i="14" l="1"/>
  <c r="H38" i="23" l="1"/>
  <c r="F21" i="27"/>
  <c r="F24" i="27" s="1"/>
  <c r="F38" i="23"/>
  <c r="J26" i="12"/>
  <c r="J17" i="12" l="1"/>
  <c r="J23" i="12"/>
  <c r="P23" i="12" s="1"/>
  <c r="J22" i="12"/>
  <c r="J18" i="12"/>
  <c r="P18" i="12" s="1"/>
  <c r="P17" i="12" l="1"/>
  <c r="P19" i="12" s="1"/>
  <c r="J19" i="12"/>
  <c r="P22" i="12"/>
  <c r="J24" i="12"/>
  <c r="F40" i="23" s="1"/>
  <c r="H40" i="23" l="1"/>
  <c r="F30" i="13"/>
  <c r="P24" i="12"/>
  <c r="P26" i="12" s="1"/>
  <c r="D21" i="27" s="1"/>
  <c r="D24" i="27" s="1"/>
  <c r="G16" i="15"/>
  <c r="G20" i="15" s="1"/>
  <c r="F25" i="23" l="1"/>
  <c r="H25" i="23"/>
  <c r="H26" i="23" s="1"/>
  <c r="F32" i="13"/>
  <c r="H50" i="23"/>
  <c r="F50" i="23" s="1"/>
  <c r="F23" i="11" l="1"/>
  <c r="F22" i="11"/>
  <c r="F26" i="23"/>
  <c r="F28" i="23" s="1"/>
  <c r="F31" i="23" s="1"/>
  <c r="H21" i="33" l="1"/>
  <c r="G40" i="15"/>
  <c r="H19" i="33" l="1"/>
  <c r="G24" i="15"/>
  <c r="E47" i="22"/>
  <c r="G41" i="15"/>
  <c r="H33" i="23" l="1"/>
  <c r="F33" i="23"/>
  <c r="F34" i="23" s="1"/>
  <c r="F36" i="23" s="1"/>
  <c r="G29" i="15"/>
  <c r="G31" i="15" s="1"/>
  <c r="F35" i="13" s="1"/>
  <c r="G26" i="15"/>
  <c r="G33" i="15" l="1"/>
  <c r="F19" i="11" s="1"/>
  <c r="F25" i="11" s="1"/>
  <c r="F46" i="23"/>
  <c r="F48" i="23" s="1"/>
  <c r="F42" i="23"/>
  <c r="F44" i="23" s="1"/>
  <c r="F51" i="23"/>
  <c r="F52" i="23" s="1"/>
  <c r="F16" i="13"/>
  <c r="H8" i="33"/>
  <c r="F46" i="11"/>
  <c r="J21" i="27" l="1"/>
  <c r="J24" i="27" s="1"/>
  <c r="G4" i="34"/>
  <c r="Q46" i="11"/>
  <c r="F31" i="11"/>
  <c r="F33" i="11" s="1"/>
  <c r="F35" i="11" s="1"/>
  <c r="F18" i="13"/>
  <c r="F34" i="13" s="1"/>
  <c r="F37" i="13" s="1"/>
  <c r="H36" i="23" s="1"/>
  <c r="F28" i="11"/>
  <c r="L21" i="27"/>
  <c r="L24" i="27" s="1"/>
  <c r="G2" i="34"/>
  <c r="F42" i="11"/>
  <c r="Q42" i="11" s="1"/>
  <c r="H19" i="23"/>
  <c r="H20" i="23" s="1"/>
  <c r="H22" i="23" s="1"/>
  <c r="H28" i="23" s="1"/>
  <c r="H31" i="23" s="1"/>
  <c r="H34" i="23" s="1"/>
  <c r="F43" i="11"/>
  <c r="Q43" i="11" s="1"/>
  <c r="O21" i="27"/>
  <c r="O24" i="27" s="1"/>
  <c r="H46" i="23" l="1"/>
  <c r="H48" i="23" s="1"/>
  <c r="H51" i="23" s="1"/>
  <c r="H42" i="23"/>
  <c r="H44" i="23" s="1"/>
  <c r="F45" i="11"/>
  <c r="N21" i="27"/>
  <c r="N24" i="27" s="1"/>
  <c r="G3" i="34"/>
  <c r="Q45" i="11" l="1"/>
  <c r="O32" i="30" l="1"/>
  <c r="O29" i="30"/>
  <c r="O30" i="30"/>
  <c r="O31" i="30"/>
  <c r="O33" i="30"/>
  <c r="O28" i="30" l="1"/>
  <c r="D24" i="32"/>
  <c r="I83" i="29"/>
  <c r="Q28" i="30" l="1"/>
  <c r="S28" i="30" s="1"/>
  <c r="Q31" i="30" l="1"/>
  <c r="S31" i="30" s="1"/>
  <c r="W31" i="30"/>
  <c r="Q30" i="30"/>
  <c r="S30" i="30" s="1"/>
  <c r="W30" i="30"/>
  <c r="W33" i="30"/>
  <c r="Q33" i="30"/>
  <c r="S33" i="30" s="1"/>
  <c r="Q29" i="30"/>
  <c r="S29" i="30" s="1"/>
  <c r="W29" i="30"/>
  <c r="Q32" i="30"/>
  <c r="S32" i="30" s="1"/>
  <c r="W32" i="30"/>
  <c r="L31" i="30" l="1"/>
  <c r="L29" i="30"/>
  <c r="L38" i="12"/>
  <c r="L34" i="12"/>
  <c r="L33" i="12"/>
  <c r="F34" i="12"/>
  <c r="F50" i="12" s="1"/>
  <c r="K39" i="15"/>
  <c r="M38" i="22" l="1"/>
  <c r="N24" i="13" s="1"/>
  <c r="J17" i="11" s="1"/>
  <c r="O39" i="15"/>
  <c r="L28" i="30"/>
  <c r="F33" i="12"/>
  <c r="M59" i="22"/>
  <c r="U38" i="22"/>
  <c r="M60" i="22"/>
  <c r="F38" i="12"/>
  <c r="N35" i="23"/>
  <c r="J35" i="23"/>
  <c r="L35" i="23"/>
  <c r="K35" i="15"/>
  <c r="O35" i="15" s="1"/>
  <c r="P35" i="23"/>
  <c r="J24" i="13" l="1"/>
  <c r="F54" i="12"/>
  <c r="F56" i="12" s="1"/>
  <c r="L56" i="12" s="1"/>
  <c r="F40" i="12"/>
  <c r="L40" i="12" s="1"/>
  <c r="I16" i="33"/>
  <c r="V24" i="13"/>
  <c r="N17" i="11" s="1"/>
  <c r="F49" i="12"/>
  <c r="F51" i="12" s="1"/>
  <c r="F35" i="12"/>
  <c r="L35" i="12" l="1"/>
  <c r="L42" i="12" s="1"/>
  <c r="F42" i="12"/>
  <c r="L51" i="12"/>
  <c r="L58" i="12" s="1"/>
  <c r="F58" i="12"/>
  <c r="L43" i="23"/>
  <c r="J43" i="23"/>
  <c r="N43" i="23"/>
  <c r="P43" i="23"/>
  <c r="N47" i="23" l="1"/>
  <c r="P47" i="23"/>
  <c r="J47" i="23"/>
  <c r="L47" i="23"/>
  <c r="J31" i="30" l="1"/>
  <c r="AE31" i="30" s="1"/>
  <c r="AM31" i="30" s="1"/>
  <c r="L33" i="30"/>
  <c r="H33" i="30" l="1"/>
  <c r="AA33" i="30" s="1"/>
  <c r="AK33" i="30" s="1"/>
  <c r="J30" i="30" l="1"/>
  <c r="J32" i="30" l="1"/>
  <c r="J29" i="30"/>
  <c r="AE29" i="30" s="1"/>
  <c r="AM29" i="30" s="1"/>
  <c r="J33" i="30" l="1"/>
  <c r="L32" i="30"/>
  <c r="AE32" i="30" s="1"/>
  <c r="AM32" i="30" s="1"/>
  <c r="L30" i="30" l="1"/>
  <c r="P50" i="28"/>
  <c r="J28" i="30" l="1"/>
  <c r="N50" i="28"/>
  <c r="D22" i="32" l="1"/>
  <c r="E35" i="32" s="1"/>
  <c r="F35" i="32" s="1"/>
  <c r="AE28" i="30"/>
  <c r="AM28" i="30" s="1"/>
  <c r="I29" i="22" l="1"/>
  <c r="J45" i="13" s="1"/>
  <c r="N45" i="13"/>
  <c r="V45" i="13" s="1"/>
  <c r="I28" i="22"/>
  <c r="J44" i="13" s="1"/>
  <c r="N44" i="13"/>
  <c r="V44" i="13" l="1"/>
  <c r="N47" i="13" l="1"/>
  <c r="V47" i="13" s="1"/>
  <c r="I31" i="22"/>
  <c r="J47" i="13" s="1"/>
  <c r="H32" i="30" l="1"/>
  <c r="AA32" i="30" s="1"/>
  <c r="AK32" i="30" s="1"/>
  <c r="AO32" i="30" s="1"/>
  <c r="H31" i="30" l="1"/>
  <c r="AA31" i="30" s="1"/>
  <c r="AK31" i="30" s="1"/>
  <c r="AO31" i="30" s="1"/>
  <c r="H30" i="30"/>
  <c r="AA30" i="30" s="1"/>
  <c r="AK30" i="30" s="1"/>
  <c r="H29" i="30"/>
  <c r="AA29" i="30" s="1"/>
  <c r="AK29" i="30" s="1"/>
  <c r="AO29" i="30" s="1"/>
  <c r="H28" i="30" l="1"/>
  <c r="D21" i="32" s="1"/>
  <c r="E34" i="32" s="1"/>
  <c r="F34" i="32" s="1"/>
  <c r="AA28" i="30" l="1"/>
  <c r="AK28" i="30" s="1"/>
  <c r="AO28" i="30" s="1"/>
  <c r="F36" i="32"/>
  <c r="G35" i="32" s="1"/>
  <c r="D44" i="32" s="1"/>
  <c r="E44" i="32" s="1"/>
  <c r="F44" i="32" s="1"/>
  <c r="G34" i="32" l="1"/>
  <c r="D48" i="32" s="1"/>
  <c r="D43" i="32" l="1"/>
  <c r="D45" i="32" s="1"/>
  <c r="D49" i="32"/>
  <c r="E49" i="32" s="1"/>
  <c r="F49" i="32" s="1"/>
  <c r="G49" i="32" s="1"/>
  <c r="E48" i="32"/>
  <c r="E43" i="32" l="1"/>
  <c r="F43" i="32" s="1"/>
  <c r="F45" i="32" s="1"/>
  <c r="I30" i="22"/>
  <c r="J46" i="13" s="1"/>
  <c r="J48" i="13" s="1"/>
  <c r="N46" i="13"/>
  <c r="F48" i="32"/>
  <c r="E50" i="32"/>
  <c r="D54" i="32" l="1"/>
  <c r="D55" i="32" s="1"/>
  <c r="D53" i="32"/>
  <c r="G48" i="32"/>
  <c r="G50" i="32" s="1"/>
  <c r="J27" i="11"/>
  <c r="I33" i="22"/>
  <c r="V46" i="13"/>
  <c r="V48" i="13" s="1"/>
  <c r="N48" i="13"/>
  <c r="J21" i="23" l="1"/>
  <c r="L21" i="23" s="1"/>
  <c r="N17" i="13"/>
  <c r="P21" i="23"/>
  <c r="N21" i="23"/>
  <c r="V17" i="13"/>
  <c r="R17" i="13" l="1"/>
  <c r="N32" i="11"/>
  <c r="J17" i="13"/>
  <c r="J32" i="11"/>
  <c r="I25" i="22" l="1"/>
  <c r="J20" i="23"/>
  <c r="J22" i="23" s="1"/>
  <c r="N20" i="23"/>
  <c r="N22" i="23" s="1"/>
  <c r="U16" i="22"/>
  <c r="M16" i="22"/>
  <c r="K13" i="14"/>
  <c r="W13" i="14" l="1"/>
  <c r="O13" i="14"/>
  <c r="N30" i="23" l="1"/>
  <c r="K18" i="15"/>
  <c r="O18" i="15" s="1"/>
  <c r="J30" i="23"/>
  <c r="L30" i="23"/>
  <c r="P30" i="23"/>
  <c r="U37" i="22" l="1"/>
  <c r="J23" i="13"/>
  <c r="M37" i="22" l="1"/>
  <c r="N23" i="13" s="1"/>
  <c r="J16" i="11" s="1"/>
  <c r="U17" i="22"/>
  <c r="I3" i="33" s="1"/>
  <c r="M17" i="22"/>
  <c r="K14" i="14"/>
  <c r="I15" i="33"/>
  <c r="V23" i="13"/>
  <c r="N16" i="11" s="1"/>
  <c r="W14" i="14" l="1"/>
  <c r="W15" i="14" s="1"/>
  <c r="O14" i="14"/>
  <c r="O15" i="14" s="1"/>
  <c r="K15" i="14"/>
  <c r="M19" i="22" l="1"/>
  <c r="U19" i="22"/>
  <c r="I4" i="33" s="1"/>
  <c r="K24" i="14"/>
  <c r="U36" i="22" l="1"/>
  <c r="W24" i="14"/>
  <c r="O24" i="14"/>
  <c r="J22" i="13"/>
  <c r="J27" i="13" s="1"/>
  <c r="M36" i="22" l="1"/>
  <c r="N22" i="13" s="1"/>
  <c r="J15" i="11" s="1"/>
  <c r="V22" i="13"/>
  <c r="I14" i="33"/>
  <c r="N27" i="13" l="1"/>
  <c r="N15" i="11"/>
  <c r="V27" i="13"/>
  <c r="J24" i="23"/>
  <c r="L24" i="23"/>
  <c r="P24" i="23" l="1"/>
  <c r="N24" i="23"/>
  <c r="K25" i="14" l="1"/>
  <c r="U20" i="22"/>
  <c r="I5" i="33" s="1"/>
  <c r="M20" i="22"/>
  <c r="W25" i="14" l="1"/>
  <c r="W26" i="14" s="1"/>
  <c r="W30" i="14" s="1"/>
  <c r="O25" i="14"/>
  <c r="O26" i="14" s="1"/>
  <c r="O30" i="14" s="1"/>
  <c r="K26" i="14"/>
  <c r="O17" i="14" l="1"/>
  <c r="O18" i="14" s="1"/>
  <c r="K30" i="14"/>
  <c r="K17" i="14" s="1"/>
  <c r="K18" i="14" s="1"/>
  <c r="W17" i="14"/>
  <c r="W18" i="14" s="1"/>
  <c r="S30" i="14"/>
  <c r="S17" i="14" s="1"/>
  <c r="S18" i="14" s="1"/>
  <c r="L38" i="23" l="1"/>
  <c r="J42" i="12"/>
  <c r="J38" i="23"/>
  <c r="J58" i="12"/>
  <c r="P38" i="23"/>
  <c r="N38" i="23"/>
  <c r="J54" i="12" l="1"/>
  <c r="J49" i="12"/>
  <c r="J55" i="12"/>
  <c r="P55" i="12" s="1"/>
  <c r="J50" i="12"/>
  <c r="P50" i="12" s="1"/>
  <c r="J33" i="12"/>
  <c r="J34" i="12"/>
  <c r="P34" i="12" s="1"/>
  <c r="J39" i="12"/>
  <c r="P39" i="12" s="1"/>
  <c r="J38" i="12"/>
  <c r="J51" i="12" l="1"/>
  <c r="P49" i="12"/>
  <c r="P51" i="12" s="1"/>
  <c r="J35" i="12"/>
  <c r="P33" i="12"/>
  <c r="P35" i="12" s="1"/>
  <c r="P54" i="12"/>
  <c r="J56" i="12"/>
  <c r="N40" i="23" s="1"/>
  <c r="J40" i="12"/>
  <c r="J40" i="23" s="1"/>
  <c r="P38" i="12"/>
  <c r="O16" i="15" l="1"/>
  <c r="O20" i="15" s="1"/>
  <c r="P56" i="12"/>
  <c r="P50" i="23" s="1"/>
  <c r="P40" i="12"/>
  <c r="L50" i="23" s="1"/>
  <c r="K16" i="15"/>
  <c r="K20" i="15" s="1"/>
  <c r="N30" i="13"/>
  <c r="L40" i="23"/>
  <c r="P40" i="23"/>
  <c r="V30" i="13"/>
  <c r="P42" i="12" l="1"/>
  <c r="N32" i="13"/>
  <c r="J30" i="13"/>
  <c r="J32" i="13" s="1"/>
  <c r="J25" i="23"/>
  <c r="J26" i="23" s="1"/>
  <c r="J28" i="23" s="1"/>
  <c r="J31" i="23" s="1"/>
  <c r="L25" i="23"/>
  <c r="R30" i="13"/>
  <c r="R32" i="13" s="1"/>
  <c r="N25" i="23"/>
  <c r="N26" i="23" s="1"/>
  <c r="N28" i="23" s="1"/>
  <c r="N31" i="23" s="1"/>
  <c r="P25" i="23"/>
  <c r="V32" i="13"/>
  <c r="P58" i="12"/>
  <c r="J50" i="23"/>
  <c r="J23" i="11"/>
  <c r="N50" i="23"/>
  <c r="N23" i="11"/>
  <c r="J22" i="11" l="1"/>
  <c r="L26" i="23"/>
  <c r="N22" i="11"/>
  <c r="P26" i="23"/>
  <c r="K40" i="15" l="1"/>
  <c r="O40" i="15" l="1"/>
  <c r="O41" i="15" s="1"/>
  <c r="K41" i="15"/>
  <c r="M47" i="22" l="1"/>
  <c r="K24" i="15"/>
  <c r="J33" i="23"/>
  <c r="J34" i="23" s="1"/>
  <c r="J36" i="23" s="1"/>
  <c r="L33" i="23"/>
  <c r="P33" i="23"/>
  <c r="N33" i="23"/>
  <c r="N34" i="23" s="1"/>
  <c r="N36" i="23" s="1"/>
  <c r="J46" i="11" l="1"/>
  <c r="L46" i="11" s="1"/>
  <c r="N16" i="13"/>
  <c r="I26" i="22"/>
  <c r="J46" i="23"/>
  <c r="J48" i="23" s="1"/>
  <c r="J42" i="23"/>
  <c r="J44" i="23" s="1"/>
  <c r="J51" i="23"/>
  <c r="J52" i="23" s="1"/>
  <c r="N46" i="23"/>
  <c r="N48" i="23" s="1"/>
  <c r="N42" i="23"/>
  <c r="N44" i="23" s="1"/>
  <c r="N51" i="23"/>
  <c r="N52" i="23" s="1"/>
  <c r="K29" i="15"/>
  <c r="O24" i="15"/>
  <c r="K26" i="15"/>
  <c r="O29" i="15" l="1"/>
  <c r="O31" i="15" s="1"/>
  <c r="V35" i="13" s="1"/>
  <c r="O26" i="15"/>
  <c r="K33" i="15"/>
  <c r="J19" i="11" s="1"/>
  <c r="J25" i="11" s="1"/>
  <c r="J43" i="11"/>
  <c r="L43" i="11" s="1"/>
  <c r="L19" i="23"/>
  <c r="L20" i="23" s="1"/>
  <c r="L22" i="23" s="1"/>
  <c r="L28" i="23" s="1"/>
  <c r="L31" i="23" s="1"/>
  <c r="L34" i="23" s="1"/>
  <c r="V16" i="13"/>
  <c r="J31" i="11"/>
  <c r="J33" i="11" s="1"/>
  <c r="N18" i="13"/>
  <c r="N34" i="13" s="1"/>
  <c r="J16" i="13"/>
  <c r="J18" i="13" s="1"/>
  <c r="J34" i="13" s="1"/>
  <c r="K31" i="15"/>
  <c r="N35" i="13" s="1"/>
  <c r="J35" i="13" s="1"/>
  <c r="N43" i="11"/>
  <c r="P19" i="23"/>
  <c r="P20" i="23" s="1"/>
  <c r="P22" i="23" s="1"/>
  <c r="P28" i="23" s="1"/>
  <c r="P31" i="23" s="1"/>
  <c r="P34" i="23" s="1"/>
  <c r="J35" i="11" l="1"/>
  <c r="J37" i="13"/>
  <c r="J28" i="11"/>
  <c r="I51" i="29"/>
  <c r="J42" i="11"/>
  <c r="L42" i="11" s="1"/>
  <c r="N31" i="11"/>
  <c r="N33" i="11" s="1"/>
  <c r="V18" i="13"/>
  <c r="V34" i="13" s="1"/>
  <c r="V37" i="13" s="1"/>
  <c r="P36" i="23" s="1"/>
  <c r="R16" i="13"/>
  <c r="R18" i="13" s="1"/>
  <c r="R34" i="13" s="1"/>
  <c r="R35" i="13"/>
  <c r="N37" i="13"/>
  <c r="L36" i="23" s="1"/>
  <c r="O33" i="15"/>
  <c r="N19" i="11" s="1"/>
  <c r="N25" i="11" s="1"/>
  <c r="R37" i="13" l="1"/>
  <c r="N35" i="11"/>
  <c r="L46" i="23"/>
  <c r="L48" i="23" s="1"/>
  <c r="L51" i="23" s="1"/>
  <c r="L42" i="23"/>
  <c r="L44" i="23" s="1"/>
  <c r="N42" i="11"/>
  <c r="N28" i="11"/>
  <c r="H2" i="34"/>
  <c r="P46" i="23"/>
  <c r="P48" i="23" s="1"/>
  <c r="P51" i="23" s="1"/>
  <c r="P42" i="23"/>
  <c r="P44" i="23" s="1"/>
  <c r="AO51" i="30"/>
  <c r="J45" i="11"/>
  <c r="L45" i="11" s="1"/>
  <c r="N45" i="11" l="1"/>
  <c r="H3" i="34"/>
  <c r="AE30" i="30" l="1"/>
  <c r="AM30" i="30" s="1"/>
  <c r="AO30" i="30" s="1"/>
  <c r="Y49" i="30" l="1"/>
  <c r="AE33" i="30"/>
  <c r="AM33" i="30" s="1"/>
  <c r="AO33" i="30" l="1"/>
  <c r="AO49" i="30" s="1"/>
  <c r="AQ49" i="30"/>
  <c r="AQ50" i="30" l="1"/>
  <c r="AO53" i="30"/>
  <c r="AO54" i="30" s="1"/>
  <c r="AE51" i="30" s="1"/>
  <c r="E83" i="29" l="1"/>
  <c r="K83" i="29" l="1"/>
  <c r="I102" i="29" l="1"/>
  <c r="E134" i="29" s="1"/>
  <c r="I103" i="29"/>
  <c r="E135" i="29" s="1"/>
  <c r="I99" i="29"/>
  <c r="E131" i="29" s="1"/>
  <c r="I100" i="29"/>
  <c r="E132" i="29" s="1"/>
  <c r="I101" i="29"/>
  <c r="E133" i="29" s="1"/>
  <c r="I98" i="29" l="1"/>
  <c r="E130" i="29" s="1"/>
  <c r="I49" i="29"/>
  <c r="K30" i="29" l="1"/>
  <c r="K33" i="29"/>
  <c r="K44" i="29"/>
  <c r="K34" i="29"/>
  <c r="K46" i="29"/>
  <c r="K31" i="29"/>
  <c r="K28" i="29"/>
  <c r="K29" i="29"/>
  <c r="K39" i="29"/>
  <c r="K41" i="29"/>
  <c r="K47" i="29"/>
  <c r="K37" i="29"/>
  <c r="K38" i="29"/>
  <c r="K35" i="29"/>
  <c r="K32" i="29"/>
  <c r="K45" i="29"/>
  <c r="K43" i="29"/>
  <c r="K40" i="29"/>
  <c r="K36" i="29"/>
  <c r="K42" i="29"/>
  <c r="C51" i="29"/>
  <c r="G100" i="29"/>
  <c r="G101" i="29"/>
  <c r="G102" i="29"/>
  <c r="G99" i="29"/>
  <c r="G103" i="29"/>
  <c r="K49" i="29" l="1"/>
  <c r="G83" i="29"/>
  <c r="G98" i="29"/>
</calcChain>
</file>

<file path=xl/sharedStrings.xml><?xml version="1.0" encoding="utf-8"?>
<sst xmlns="http://schemas.openxmlformats.org/spreadsheetml/2006/main" count="827" uniqueCount="525">
  <si>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</si>
  <si>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</si>
  <si>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</si>
  <si>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</si>
  <si>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</si>
  <si>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</si>
  <si>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</si>
  <si>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</si>
  <si>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</si>
  <si>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</si>
  <si>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</si>
  <si>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</si>
  <si>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</si>
  <si>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</si>
  <si>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</si>
  <si>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</si>
  <si>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</si>
  <si>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</si>
  <si>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</si>
  <si>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</si>
  <si>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</si>
  <si>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</si>
  <si>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</si>
  <si>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</si>
  <si>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</si>
  <si>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</si>
  <si>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</si>
  <si>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</si>
  <si>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</si>
  <si>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</si>
  <si>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</si>
  <si>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</si>
  <si>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</si>
  <si>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</si>
  <si>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</si>
  <si>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</si>
  <si>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</si>
  <si>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</si>
  <si>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</si>
  <si>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</si>
  <si>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</si>
  <si>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</si>
  <si>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</si>
  <si>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</si>
  <si>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</si>
  <si>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</si>
  <si>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</si>
  <si>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</si>
  <si>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</si>
  <si>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</si>
  <si>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</si>
  <si>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</si>
  <si>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</si>
  <si>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</si>
  <si>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</si>
  <si>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</si>
  <si>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</si>
  <si>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</si>
  <si>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</si>
  <si>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</si>
  <si>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</si>
  <si>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</si>
  <si>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</si>
  <si>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</si>
  <si>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</si>
  <si>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</si>
  <si>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</si>
  <si>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</si>
  <si>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</si>
  <si>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</si>
  <si>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</si>
  <si>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</si>
  <si>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</si>
  <si>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</si>
  <si>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</si>
  <si>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</si>
  <si>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</si>
  <si>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</si>
  <si>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</si>
  <si>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</si>
  <si>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</si>
  <si>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</si>
  <si>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</si>
  <si>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</si>
  <si>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</si>
  <si>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</si>
  <si>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</si>
  <si>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</si>
  <si>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</si>
  <si>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</si>
  <si>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</si>
  <si>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</si>
  <si>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</si>
  <si>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</si>
  <si>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</si>
  <si>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</si>
  <si>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</si>
  <si>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</si>
  <si>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</si>
  <si>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</si>
  <si>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</si>
  <si>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</si>
  <si>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</si>
  <si>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</si>
  <si>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</si>
  <si>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</si>
  <si>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</si>
  <si>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</si>
  <si>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</si>
  <si>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</si>
  <si>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</si>
  <si>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</si>
  <si>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</si>
  <si>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</si>
  <si>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</si>
  <si>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</si>
  <si>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</si>
  <si>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</si>
  <si>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</si>
  <si>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</si>
  <si>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</si>
  <si>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</si>
  <si>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</si>
  <si>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</si>
  <si>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</si>
  <si>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</si>
  <si>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</si>
  <si>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</si>
  <si>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</si>
  <si>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</si>
  <si>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</si>
  <si>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</si>
  <si>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</si>
  <si>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</si>
  <si>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</si>
  <si>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</si>
  <si>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</si>
  <si>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</si>
  <si>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</si>
  <si>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</si>
  <si>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</si>
  <si>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</si>
  <si>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</si>
  <si>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</si>
  <si>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</si>
  <si>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</si>
  <si>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</si>
  <si>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</si>
  <si>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</si>
  <si>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</si>
  <si>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</si>
  <si>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</si>
  <si>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</si>
  <si>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</si>
  <si>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</si>
  <si>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</si>
  <si>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</si>
  <si>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</si>
  <si>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</si>
  <si>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</si>
  <si>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</si>
  <si>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</si>
  <si>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</si>
  <si>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</si>
  <si>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</si>
  <si>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</si>
  <si>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</si>
  <si>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</si>
  <si>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</si>
  <si>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</si>
  <si>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</si>
  <si>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Espanola Regional Hydro Distribution Corporation</t>
  </si>
  <si>
    <t>Essex Powerlines Corporation</t>
  </si>
  <si>
    <t>Festival Hydro Inc.</t>
  </si>
  <si>
    <t>Fort Frances Power Corporation</t>
  </si>
  <si>
    <t>Guelph Hydro Electric Systems Inc.</t>
  </si>
  <si>
    <t>Halton Hills Hydro Inc.</t>
  </si>
  <si>
    <t>Hydro 2000 Inc.</t>
  </si>
  <si>
    <t>Hydro Hawkesbury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</si>
  <si>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</si>
  <si>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</si>
  <si>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</si>
  <si>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</si>
  <si>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</si>
  <si>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</si>
  <si>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</si>
  <si>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</si>
  <si>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</si>
  <si>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</si>
  <si>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</si>
  <si>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</si>
  <si>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</si>
  <si>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</si>
  <si>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</si>
  <si>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</si>
  <si>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</si>
  <si>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</si>
  <si>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</si>
  <si>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</si>
  <si>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</si>
  <si>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</si>
  <si>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Wellington North Power Inc.</t>
  </si>
  <si>
    <t>West Coast Huron Energy Inc.</t>
  </si>
  <si>
    <t>Westario Power Inc.</t>
  </si>
  <si>
    <t>Whitby Hydro Electric Corporation</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</si>
  <si>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</si>
  <si>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</si>
  <si>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</si>
  <si>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</si>
  <si>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</si>
  <si>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</si>
  <si>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</si>
  <si>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</si>
  <si>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</si>
  <si>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</si>
  <si>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</si>
  <si>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</si>
  <si>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</si>
  <si>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</si>
  <si>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</si>
  <si>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</si>
  <si>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</si>
  <si>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</si>
  <si>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</si>
  <si>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</si>
  <si>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</si>
  <si>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</si>
  <si>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</si>
  <si>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</si>
  <si>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</si>
  <si>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</si>
  <si>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</si>
  <si>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</si>
  <si>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</si>
  <si>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</si>
  <si>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</si>
  <si>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</si>
  <si>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</si>
  <si>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</si>
  <si>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</si>
  <si>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</si>
  <si>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</si>
  <si>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</si>
  <si>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</si>
  <si>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</si>
  <si>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</si>
  <si>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</si>
  <si>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</si>
  <si>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</si>
  <si>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Entegrus Powerlines Inc.</t>
  </si>
  <si>
    <t>Hydro One Networks Inc.</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</si>
  <si>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</si>
  <si>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</si>
  <si>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</si>
  <si>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</si>
  <si>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</si>
  <si>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</si>
  <si>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</si>
  <si>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</si>
  <si>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</si>
  <si>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</si>
  <si>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</si>
  <si>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</si>
  <si>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</si>
  <si>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</si>
  <si>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</si>
  <si>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</si>
  <si>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</si>
  <si>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</si>
  <si>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</si>
  <si>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</si>
  <si>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</si>
  <si>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</si>
  <si>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</si>
  <si>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</si>
  <si>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</si>
  <si>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 xml:space="preserve">Attawapiskat Power Corp. </t>
  </si>
  <si>
    <t>Bluewater Power Distribution Corporation</t>
  </si>
  <si>
    <t>Erie Thames Powerlines Corporation</t>
  </si>
  <si>
    <t>Hearst Power Distribution Company Limited</t>
  </si>
  <si>
    <t>Milton Hydro Distribution inc.</t>
  </si>
  <si>
    <t>Oakville Hydro Electricity Distribution Inc.</t>
  </si>
  <si>
    <t>Orillia Power Distribution Corporation</t>
  </si>
  <si>
    <t>Peterborough Distribution Incorporated</t>
  </si>
  <si>
    <t>Canadian Niagara Power Inc.</t>
  </si>
  <si>
    <t>Newmarket - Tay Power Distribution Ltd.</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</si>
  <si>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</si>
  <si>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</si>
  <si>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</si>
  <si>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</si>
  <si>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</si>
  <si>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</si>
  <si>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</si>
  <si>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</si>
  <si>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</si>
  <si>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</si>
  <si>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</si>
  <si>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</si>
  <si>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</si>
  <si>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</si>
  <si>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</si>
  <si>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</si>
  <si>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</si>
  <si>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</si>
  <si>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</si>
  <si>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</si>
  <si>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</si>
  <si>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</si>
  <si>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</si>
  <si>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</si>
  <si>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</si>
  <si>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</si>
  <si>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</si>
  <si>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</si>
  <si>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</si>
  <si>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</si>
  <si>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</si>
  <si>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</si>
  <si>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</si>
  <si>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</si>
  <si>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</si>
  <si>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</si>
  <si>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</si>
  <si>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</si>
  <si>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</si>
  <si>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</si>
  <si>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</si>
  <si>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</si>
  <si>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</si>
  <si>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</si>
  <si>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</si>
  <si>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</si>
  <si>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</si>
  <si>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</si>
  <si>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</si>
  <si>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</si>
  <si>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</si>
  <si>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</si>
  <si>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</si>
  <si>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</si>
  <si>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</si>
  <si>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</si>
  <si>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</si>
  <si>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</si>
  <si>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</si>
  <si>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</si>
  <si>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</si>
  <si>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</si>
  <si>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</si>
  <si>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</si>
  <si>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</si>
  <si>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</si>
  <si>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</si>
  <si>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</si>
  <si>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</si>
  <si>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</si>
  <si>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</si>
  <si>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</si>
  <si>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</si>
  <si>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</si>
  <si>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</si>
  <si>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</si>
  <si>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</si>
  <si>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</si>
  <si>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</si>
  <si>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</si>
  <si>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</si>
  <si>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</si>
  <si>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</si>
  <si>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</si>
  <si>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</si>
  <si>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</si>
  <si>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</si>
  <si>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</si>
  <si>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</si>
  <si>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</si>
  <si>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</si>
  <si>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</si>
  <si>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</si>
  <si>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</si>
  <si>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</si>
  <si>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</si>
  <si>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</si>
  <si>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</si>
  <si>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</si>
  <si>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</si>
  <si>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</si>
  <si>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</si>
  <si>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</si>
  <si>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</si>
  <si>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</si>
  <si>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</si>
  <si>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</si>
  <si>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</si>
  <si>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</si>
  <si>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</si>
  <si>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</si>
  <si>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</si>
  <si>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</si>
  <si>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</si>
  <si>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</si>
  <si>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</si>
  <si>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</si>
  <si>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</si>
  <si>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</si>
  <si>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</si>
  <si>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</si>
  <si>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</si>
  <si>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</si>
  <si>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</si>
  <si>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</si>
  <si>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</si>
  <si>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</si>
  <si>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</si>
  <si>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</si>
  <si>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</si>
  <si>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</si>
  <si>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</si>
  <si>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</si>
  <si>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</si>
  <si>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</si>
  <si>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</si>
  <si>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</si>
  <si>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</si>
  <si>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</si>
  <si>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</si>
  <si>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</si>
  <si>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</si>
  <si>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</si>
  <si>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</si>
  <si>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</si>
  <si>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</si>
  <si>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</si>
  <si>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Energy + Inc.</t>
  </si>
  <si>
    <t>Innpower Corporation</t>
  </si>
  <si>
    <t>COLLUS PowerStream Corporation</t>
  </si>
  <si>
    <t>Hydro One Remote Communities Inc.</t>
  </si>
  <si>
    <t>Welland Hydro Electric System Corp.</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</si>
  <si>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</si>
  <si>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</si>
  <si>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</si>
  <si>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t>The distributor should enter the number of years remaining before the transition to fully fixed rates is completed. A distributor transitioning to fully fixed rates over a four year period and began the transition in 2016 would input the number "3" into cell D40. A distributor transitioning over a five-year period would input the number "4". Where the change in the residential rate design will result in the fixed charge increasing by more than $4/year, a distributor may propose an additional transition year.</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</si>
  <si>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</si>
  <si>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</si>
  <si>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</si>
  <si>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</si>
  <si>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 xml:space="preserve">Some Applicants may have a unique rate as a result of a lead-lag study.  The default rate for 2018 cost of service applications is 7.5%, per the letter issued by the Board on June 3, 2015. </t>
  </si>
  <si>
    <t>Hydro One Networks Inc. - Haldimand County Hydro</t>
  </si>
  <si>
    <t>Hydro One Networks Inc. - Woodstock Hydro</t>
  </si>
  <si>
    <t>Hydro One Networks Inc. - Norfolk Hydro</t>
  </si>
  <si>
    <t>Alectra Utilities Corporation - Enersource Hydro</t>
  </si>
  <si>
    <t>Alectra Utilities Corporation - Horizon Utilities</t>
  </si>
  <si>
    <t xml:space="preserve">Alectra Utilities Corporation - Hydro One Brampton </t>
  </si>
  <si>
    <t>Alectra Utilities Corporation - PowerStream Inc.</t>
  </si>
  <si>
    <t>The applicant should complete Table D if it is applying for approval of a revenue-to-cost ratio in 2019 that is outside of the OEB's policy range for any customer class. Table D will show that the distributor is likely to enter into the 2020 and 2021 Price Cap IR models, as necessary. For 2020 and 2021, enter the planned revenue-to-cost ratios that will be "Change" or "No Change" in 2018 (in the current Revenue/Cost Ratio Adjustment Workform, Worksheet C1.1 'Decision - Cost Revenue Adjustment, column d), and enter TBD for class(es) that will be entered as 'Rebalance'.</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</si>
  <si>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</si>
  <si>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</si>
  <si>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</si>
  <si>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</si>
  <si>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</si>
  <si>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</si>
  <si>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</si>
  <si>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</si>
  <si>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</si>
  <si>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</si>
  <si>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</si>
  <si>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</si>
  <si>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</si>
  <si>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</si>
  <si>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</si>
  <si>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</si>
  <si>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</si>
  <si>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</si>
  <si>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</si>
  <si>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</si>
  <si>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</si>
  <si>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</si>
  <si>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</si>
  <si>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</si>
  <si>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</si>
  <si>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</si>
  <si>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</si>
  <si>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Niagara-on-the-Lake</t>
  </si>
  <si>
    <t>EB-2018-0056</t>
  </si>
  <si>
    <t>Jeff Klassen, VP Finance</t>
  </si>
  <si>
    <t>905-468-4235 ext 380</t>
  </si>
  <si>
    <t>jklassen@notlhydro.com</t>
  </si>
  <si>
    <t>GS&lt;50</t>
  </si>
  <si>
    <t>GS&gt;50</t>
  </si>
  <si>
    <t>Unmetered</t>
  </si>
  <si>
    <t>Streetlights</t>
  </si>
  <si>
    <t>Large User</t>
  </si>
  <si>
    <t>kW</t>
  </si>
  <si>
    <t>3-STAFF-36</t>
  </si>
  <si>
    <t>Updated Load Forecast tab 10.1 to reflect CDM impact of 3,770,854 consistent with tab 10</t>
  </si>
  <si>
    <t>2-STAFF-23</t>
  </si>
  <si>
    <t>Updated Other Revenue for the assumption of 100 Bell Canada poles 100 x $43.63</t>
  </si>
  <si>
    <t>2-STAFF-46</t>
  </si>
  <si>
    <t>Updated Other Revenue to reconcile Share Services mark-up in Appendix 2-N to Other Revenue Appendix 2-H</t>
  </si>
  <si>
    <t>Updated Pole Attachment expense (account 5095) to reflect assumption of 100 Bell Canada poles 100 x $43.63</t>
  </si>
  <si>
    <t>4-STAFF-47</t>
  </si>
  <si>
    <t>Reduced Intervenor cost estimate from $75,000 to $50,000 based on 2 intervenors in this case vs. an estimate of 3 in the original submission</t>
  </si>
  <si>
    <t>Updated Information</t>
  </si>
  <si>
    <t>Moved the disposal of the T1 transformer fron 2019 test year to 2018 bridge year</t>
  </si>
  <si>
    <t>Updated Appendix 2-BA to include actual disposals year to date and forecast disposals for the remainder of the year</t>
  </si>
  <si>
    <t>2-STAFF-13
2-VECC-14</t>
  </si>
  <si>
    <t>Updated Leap amount based on revised Service Revenue Requirement</t>
  </si>
  <si>
    <t>4-STAFF-49</t>
  </si>
  <si>
    <t>Updated PILs model to move Building &amp; Fixture additions from CCA class 47 (8%) to CCA class 1b (6%)</t>
  </si>
  <si>
    <t>a</t>
  </si>
  <si>
    <t>b</t>
  </si>
  <si>
    <t>Updated gross fixed assets and depreciation for 2018 disposals and moved disposal of T1 transformer from 2019 test year to 2018 bridge year - Tab 14 reference 6 &amp; 7</t>
  </si>
  <si>
    <t>c</t>
  </si>
  <si>
    <t>Adjustment to pole expenses $4,363 (Tab 14 - 4), Intervenor costs $5,000 (Tab 14 - 5) and Leap $58 (Tab 14 - 8)</t>
  </si>
  <si>
    <t>Updated Load Forecast to correct CDM adjustment in Tab 10 (Tab 14 - 1)</t>
  </si>
  <si>
    <t>Settlement Agreement</t>
  </si>
  <si>
    <t>Update 2018 capital spend to mosre recent capital forecast for 2018</t>
  </si>
  <si>
    <t>Settlement Proposal</t>
  </si>
  <si>
    <t>Add an additional 4 GS&lt;50 customers to the 2019 customer count</t>
  </si>
  <si>
    <t>Update OEB Cost of Capital Parameters to 2019 values</t>
  </si>
  <si>
    <t>Update Retail Service Charges EB-2015-0304</t>
  </si>
  <si>
    <t>Remove collection of account changes</t>
  </si>
  <si>
    <t>Reduce loss factor for Large Use Customer from 1.0373 to 1.0045</t>
  </si>
  <si>
    <t>Update interest rate on 2015 loans from the Town from 3.0% to 3.5%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</si>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</sst>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164" formatCode="_-&quot;$&quot;* #,##0.00_-;\-&quot;$&quot;* #,##0.00_-;_-&quot;$&quot;* &quot;-&quot;??_-;_-@_-"/>
    <numFmt numFmtId="165" formatCode="_-* #,##0.00_-;\-* #,##0.00_-;_-* &quot;-&quot;??_-;_-@_-"/>
    <numFmt numFmtId="166" formatCode="0.0%"/>
    <numFmt numFmtId="167" formatCode="_-&quot;$&quot;* #,##0_-;\-&quot;$&quot;* #,##0_-;_-&quot;$&quot;* &quot;-&quot;??_-;_-@_-"/>
    <numFmt numFmtId="168" formatCode="&quot;$&quot;#,##0_);[Red]\(&quot;$&quot;#,##0\);&quot;$&quot;\ \-"/>
    <numFmt numFmtId="169" formatCode="\(#\)"/>
    <numFmt numFmtId="170" formatCode="_-* #,##0_-;\-* #,##0_-;_-* &quot;-&quot;??_-;_-@_-"/>
    <numFmt numFmtId="171" formatCode="_-&quot;$&quot;* #,##0.0000_-;\-&quot;$&quot;* #,##0.0000_-;_-&quot;$&quot;* &quot;-&quot;??_-;_-@_-"/>
    <numFmt numFmtId="172" formatCode="0.000%"/>
    <numFmt numFmtId="173" formatCode="&quot;$&quot;#,##0.00;[Red]\(&quot;$&quot;#,##0.00\)"/>
    <numFmt numFmtId="174" formatCode="_-&quot;$&quot;* #,##0.0000_-;\-&quot;$&quot;* #,##0.0000_-;_-&quot;$&quot;* &quot;-&quot;????_-;_-@_-"/>
  </numFmts>
  <fonts count="64"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23">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6" fontId="0" fillId="0" borderId="0" xfId="2" applyNumberFormat="1" applyFont="1" applyFill="1" applyProtection="1"/>
    <xf numFmtId="0" fontId="18" fillId="0" borderId="0" xfId="0" applyFont="1" applyProtection="1"/>
    <xf numFmtId="6" fontId="0" fillId="0" borderId="0" xfId="0" applyNumberFormat="1" applyFill="1" applyProtection="1"/>
    <xf numFmtId="6"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8"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8" fontId="7" fillId="0" borderId="0" xfId="2" applyNumberFormat="1" applyFont="1" applyBorder="1" applyAlignment="1" applyProtection="1">
      <alignment horizontal="right" vertical="center"/>
    </xf>
    <xf numFmtId="168" fontId="0" fillId="0" borderId="0" xfId="2" applyNumberFormat="1" applyFont="1" applyProtection="1"/>
    <xf numFmtId="168" fontId="0" fillId="0" borderId="0" xfId="2" applyNumberFormat="1" applyFont="1" applyBorder="1" applyProtection="1"/>
    <xf numFmtId="168" fontId="0" fillId="0" borderId="0" xfId="2" applyNumberFormat="1" applyFont="1" applyBorder="1" applyAlignment="1" applyProtection="1"/>
    <xf numFmtId="168" fontId="0" fillId="0" borderId="0" xfId="2" applyNumberFormat="1" applyFont="1" applyBorder="1" applyAlignment="1" applyProtection="1">
      <alignment horizontal="right"/>
    </xf>
    <xf numFmtId="168" fontId="0" fillId="0" borderId="3" xfId="2" applyNumberFormat="1" applyFont="1" applyBorder="1" applyAlignment="1" applyProtection="1"/>
    <xf numFmtId="168" fontId="0" fillId="0" borderId="3" xfId="0" applyNumberFormat="1" applyBorder="1" applyAlignment="1" applyProtection="1"/>
    <xf numFmtId="168" fontId="0" fillId="0" borderId="4" xfId="2" applyNumberFormat="1" applyFont="1" applyBorder="1" applyAlignment="1" applyProtection="1"/>
    <xf numFmtId="168" fontId="0" fillId="0" borderId="0" xfId="0" applyNumberFormat="1" applyProtection="1"/>
    <xf numFmtId="168" fontId="0" fillId="0" borderId="2" xfId="2" applyNumberFormat="1" applyFont="1" applyBorder="1" applyProtection="1"/>
    <xf numFmtId="168" fontId="0" fillId="0" borderId="2" xfId="2" applyNumberFormat="1" applyFont="1" applyBorder="1" applyAlignment="1" applyProtection="1"/>
    <xf numFmtId="0" fontId="17" fillId="0" borderId="0" xfId="0" applyFont="1" applyAlignment="1" applyProtection="1">
      <alignment wrapText="1"/>
    </xf>
    <xf numFmtId="167"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8"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6" fontId="0" fillId="0" borderId="6" xfId="5" applyNumberFormat="1" applyFont="1" applyBorder="1" applyProtection="1"/>
    <xf numFmtId="168" fontId="0" fillId="0" borderId="6" xfId="2" applyNumberFormat="1" applyFont="1" applyBorder="1" applyProtection="1"/>
    <xf numFmtId="166" fontId="0" fillId="0" borderId="0" xfId="5" applyNumberFormat="1" applyFont="1" applyBorder="1" applyProtection="1"/>
    <xf numFmtId="168"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8"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8" fontId="0" fillId="0" borderId="0" xfId="2" applyNumberFormat="1" applyFont="1" applyFill="1" applyBorder="1" applyProtection="1"/>
    <xf numFmtId="6" fontId="0" fillId="0" borderId="0" xfId="0" applyNumberFormat="1" applyBorder="1" applyProtection="1"/>
    <xf numFmtId="168" fontId="0" fillId="0" borderId="2" xfId="2" applyNumberFormat="1" applyFont="1" applyFill="1" applyBorder="1" applyProtection="1"/>
    <xf numFmtId="0" fontId="8" fillId="0" borderId="0" xfId="0" applyFont="1" applyProtection="1"/>
    <xf numFmtId="0" fontId="8" fillId="0" borderId="0" xfId="0" applyFont="1" applyBorder="1" applyProtection="1"/>
    <xf numFmtId="168" fontId="8" fillId="0" borderId="0" xfId="0" applyNumberFormat="1" applyFont="1" applyProtection="1"/>
    <xf numFmtId="168" fontId="1" fillId="0" borderId="0" xfId="0" applyNumberFormat="1" applyFont="1" applyFill="1" applyAlignment="1" applyProtection="1"/>
    <xf numFmtId="168" fontId="0" fillId="0" borderId="0" xfId="2" applyNumberFormat="1" applyFont="1" applyFill="1" applyBorder="1" applyAlignment="1" applyProtection="1"/>
    <xf numFmtId="6" fontId="0" fillId="0" borderId="0" xfId="0" applyNumberFormat="1" applyBorder="1" applyAlignment="1" applyProtection="1">
      <alignment horizontal="right"/>
    </xf>
    <xf numFmtId="168"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6" fontId="0" fillId="0" borderId="0" xfId="2" applyNumberFormat="1" applyFont="1" applyAlignment="1" applyProtection="1">
      <alignment horizontal="right"/>
    </xf>
    <xf numFmtId="6" fontId="0" fillId="0" borderId="0" xfId="2" applyNumberFormat="1" applyFont="1" applyFill="1" applyBorder="1" applyAlignment="1" applyProtection="1">
      <alignment horizontal="right"/>
    </xf>
    <xf numFmtId="168"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6"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8"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8" fontId="0" fillId="0" borderId="4" xfId="2" applyNumberFormat="1" applyFont="1" applyBorder="1" applyAlignment="1" applyProtection="1">
      <alignment horizontal="right"/>
    </xf>
    <xf numFmtId="6"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8" fontId="0" fillId="0" borderId="0" xfId="2" applyNumberFormat="1" applyFont="1" applyFill="1" applyBorder="1" applyAlignment="1" applyProtection="1">
      <alignment horizontal="right"/>
    </xf>
    <xf numFmtId="168" fontId="0" fillId="0" borderId="0" xfId="0" applyNumberFormat="1" applyAlignment="1" applyProtection="1"/>
    <xf numFmtId="168" fontId="0" fillId="0" borderId="0" xfId="0" applyNumberFormat="1" applyBorder="1" applyAlignment="1" applyProtection="1"/>
    <xf numFmtId="168" fontId="0" fillId="0" borderId="0" xfId="2" applyNumberFormat="1" applyFont="1" applyAlignment="1" applyProtection="1">
      <alignment horizontal="right"/>
    </xf>
    <xf numFmtId="168"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6" fontId="0" fillId="0" borderId="0" xfId="2" applyNumberFormat="1" applyFont="1" applyFill="1" applyBorder="1" applyProtection="1"/>
    <xf numFmtId="49" fontId="10" fillId="0" borderId="0" xfId="0" applyNumberFormat="1" applyFont="1" applyBorder="1" applyAlignment="1" applyProtection="1">
      <alignment horizontal="left"/>
    </xf>
    <xf numFmtId="168" fontId="0" fillId="0" borderId="0" xfId="0" applyNumberFormat="1" applyBorder="1" applyAlignment="1" applyProtection="1">
      <alignment horizontal="center"/>
    </xf>
    <xf numFmtId="168" fontId="0" fillId="0" borderId="0" xfId="0" applyNumberFormat="1" applyBorder="1" applyAlignment="1" applyProtection="1">
      <alignment horizontal="right"/>
    </xf>
    <xf numFmtId="168" fontId="0" fillId="0" borderId="0" xfId="0" applyNumberFormat="1" applyFill="1" applyBorder="1" applyAlignment="1" applyProtection="1">
      <alignment horizontal="right"/>
    </xf>
    <xf numFmtId="168" fontId="0" fillId="0" borderId="0" xfId="0" applyNumberFormat="1" applyFill="1" applyBorder="1" applyProtection="1"/>
    <xf numFmtId="10" fontId="0" fillId="0" borderId="0" xfId="0" applyNumberFormat="1" applyBorder="1" applyProtection="1"/>
    <xf numFmtId="6"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6" fontId="0" fillId="0" borderId="0" xfId="5" applyNumberFormat="1" applyFont="1" applyFill="1" applyBorder="1" applyProtection="1"/>
    <xf numFmtId="166" fontId="0" fillId="0" borderId="6" xfId="5" applyNumberFormat="1" applyFont="1" applyFill="1" applyBorder="1" applyProtection="1"/>
    <xf numFmtId="0" fontId="28" fillId="0" borderId="0" xfId="0" applyFont="1" applyProtection="1"/>
    <xf numFmtId="168"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9" fontId="0" fillId="0" borderId="0" xfId="0" applyNumberFormat="1" applyFill="1" applyProtection="1"/>
    <xf numFmtId="169" fontId="3" fillId="0" borderId="0" xfId="0" quotePrefix="1" applyNumberFormat="1" applyFont="1" applyFill="1" applyProtection="1"/>
    <xf numFmtId="166"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9" fontId="0" fillId="0" borderId="0" xfId="0" applyNumberFormat="1" applyFill="1" applyBorder="1" applyProtection="1"/>
    <xf numFmtId="6" fontId="7" fillId="2" borderId="0" xfId="0" applyNumberFormat="1" applyFont="1" applyFill="1" applyBorder="1" applyAlignment="1" applyProtection="1">
      <alignment horizontal="center" vertical="center"/>
    </xf>
    <xf numFmtId="6" fontId="7" fillId="2" borderId="0" xfId="0" applyNumberFormat="1" applyFont="1" applyFill="1" applyProtection="1"/>
    <xf numFmtId="6" fontId="7" fillId="0" borderId="0" xfId="0" applyNumberFormat="1" applyFont="1" applyBorder="1" applyProtection="1"/>
    <xf numFmtId="6" fontId="7" fillId="0" borderId="0" xfId="0" applyNumberFormat="1" applyFont="1" applyFill="1" applyBorder="1" applyProtection="1"/>
    <xf numFmtId="6" fontId="7" fillId="2" borderId="0" xfId="0" applyNumberFormat="1" applyFont="1" applyFill="1" applyBorder="1" applyAlignment="1" applyProtection="1">
      <alignment horizontal="right"/>
    </xf>
    <xf numFmtId="6" fontId="7" fillId="2" borderId="0" xfId="0" applyNumberFormat="1" applyFont="1" applyFill="1" applyBorder="1" applyAlignment="1" applyProtection="1"/>
    <xf numFmtId="6" fontId="7" fillId="2" borderId="0" xfId="0" applyNumberFormat="1" applyFont="1" applyFill="1" applyBorder="1" applyProtection="1"/>
    <xf numFmtId="6" fontId="7" fillId="0" borderId="0" xfId="0" applyNumberFormat="1" applyFont="1" applyFill="1" applyBorder="1" applyAlignment="1" applyProtection="1">
      <alignment horizontal="right"/>
    </xf>
    <xf numFmtId="6"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8" fontId="0" fillId="0" borderId="1" xfId="2" applyNumberFormat="1" applyFont="1" applyBorder="1" applyAlignment="1" applyProtection="1">
      <alignment vertical="top"/>
    </xf>
    <xf numFmtId="168" fontId="0" fillId="0" borderId="5" xfId="2" applyNumberFormat="1" applyFont="1" applyBorder="1" applyAlignment="1" applyProtection="1">
      <alignment vertical="top"/>
    </xf>
    <xf numFmtId="168" fontId="0" fillId="0" borderId="7" xfId="2" applyNumberFormat="1" applyFont="1" applyBorder="1" applyAlignment="1" applyProtection="1">
      <alignment vertical="top"/>
    </xf>
    <xf numFmtId="168" fontId="0" fillId="0" borderId="8" xfId="2" applyNumberFormat="1" applyFont="1" applyBorder="1" applyAlignment="1" applyProtection="1">
      <alignment vertical="top"/>
    </xf>
    <xf numFmtId="168" fontId="0" fillId="0" borderId="11" xfId="2" applyNumberFormat="1" applyFont="1" applyBorder="1" applyAlignment="1" applyProtection="1">
      <alignment vertical="top"/>
    </xf>
    <xf numFmtId="168" fontId="0" fillId="0" borderId="12" xfId="2" applyNumberFormat="1" applyFont="1" applyBorder="1" applyAlignment="1" applyProtection="1">
      <alignment vertical="top"/>
    </xf>
    <xf numFmtId="168" fontId="0" fillId="0" borderId="11" xfId="0" applyNumberFormat="1" applyBorder="1" applyAlignment="1" applyProtection="1">
      <alignment vertical="top"/>
    </xf>
    <xf numFmtId="168" fontId="0" fillId="0" borderId="5" xfId="0" applyNumberFormat="1" applyBorder="1" applyAlignment="1" applyProtection="1">
      <alignment vertical="top"/>
    </xf>
    <xf numFmtId="168"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8"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8" fontId="1" fillId="0" borderId="1" xfId="0" applyNumberFormat="1" applyFont="1" applyFill="1" applyBorder="1" applyAlignment="1" applyProtection="1">
      <alignment vertical="top"/>
    </xf>
    <xf numFmtId="167" fontId="1" fillId="0" borderId="5" xfId="2" applyNumberFormat="1" applyFont="1" applyFill="1" applyBorder="1" applyAlignment="1" applyProtection="1">
      <alignment vertical="top"/>
    </xf>
    <xf numFmtId="167"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6" fontId="3" fillId="0" borderId="0" xfId="0" applyNumberFormat="1" applyFont="1" applyBorder="1" applyAlignment="1" applyProtection="1">
      <alignment vertical="top"/>
    </xf>
    <xf numFmtId="6" fontId="0" fillId="0" borderId="0" xfId="0" applyNumberFormat="1" applyAlignment="1" applyProtection="1">
      <alignment vertical="top"/>
    </xf>
    <xf numFmtId="6" fontId="0" fillId="0" borderId="8" xfId="0" applyNumberFormat="1" applyBorder="1" applyAlignment="1" applyProtection="1">
      <alignment vertical="top"/>
    </xf>
    <xf numFmtId="168" fontId="0" fillId="0" borderId="0" xfId="2" applyNumberFormat="1" applyFont="1" applyFill="1" applyAlignment="1" applyProtection="1">
      <alignment vertical="top"/>
    </xf>
    <xf numFmtId="167" fontId="0" fillId="0" borderId="0" xfId="2" applyNumberFormat="1" applyFont="1" applyFill="1" applyBorder="1" applyAlignment="1" applyProtection="1">
      <alignment vertical="top"/>
    </xf>
    <xf numFmtId="6" fontId="0" fillId="0" borderId="0" xfId="2" applyNumberFormat="1" applyFont="1" applyFill="1" applyAlignment="1" applyProtection="1">
      <alignment vertical="top"/>
    </xf>
    <xf numFmtId="167" fontId="0" fillId="0" borderId="0" xfId="2" applyNumberFormat="1" applyFont="1" applyFill="1" applyAlignment="1" applyProtection="1">
      <alignment vertical="top"/>
    </xf>
    <xf numFmtId="6" fontId="0" fillId="0" borderId="0" xfId="0" applyNumberFormat="1" applyFill="1" applyAlignment="1" applyProtection="1">
      <alignment vertical="top"/>
    </xf>
    <xf numFmtId="167" fontId="0" fillId="0" borderId="0" xfId="2" applyNumberFormat="1" applyFont="1" applyAlignment="1" applyProtection="1">
      <alignment vertical="top"/>
    </xf>
    <xf numFmtId="10" fontId="0" fillId="0" borderId="0" xfId="5" applyNumberFormat="1" applyFont="1" applyFill="1" applyAlignment="1" applyProtection="1">
      <alignment vertical="top"/>
    </xf>
    <xf numFmtId="169" fontId="0" fillId="0" borderId="0" xfId="0" applyNumberFormat="1" applyFill="1" applyAlignment="1" applyProtection="1">
      <alignment vertical="top"/>
    </xf>
    <xf numFmtId="0" fontId="0" fillId="0" borderId="0" xfId="0" applyFill="1" applyBorder="1" applyAlignment="1" applyProtection="1">
      <alignment vertical="top"/>
    </xf>
    <xf numFmtId="6" fontId="0" fillId="0" borderId="0" xfId="0" applyNumberFormat="1" applyFill="1" applyBorder="1" applyAlignment="1" applyProtection="1">
      <alignment vertical="top"/>
    </xf>
    <xf numFmtId="169" fontId="3" fillId="0" borderId="0" xfId="0" quotePrefix="1" applyNumberFormat="1" applyFont="1" applyFill="1" applyAlignment="1" applyProtection="1">
      <alignment vertical="top"/>
    </xf>
    <xf numFmtId="166" fontId="0" fillId="0" borderId="0" xfId="0" applyNumberFormat="1" applyFill="1" applyAlignment="1" applyProtection="1">
      <alignment vertical="top"/>
    </xf>
    <xf numFmtId="166"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8" fontId="0" fillId="0" borderId="2" xfId="2" applyNumberFormat="1" applyFont="1" applyFill="1" applyBorder="1" applyAlignment="1" applyProtection="1">
      <alignment vertical="top"/>
    </xf>
    <xf numFmtId="168" fontId="0" fillId="0" borderId="0" xfId="2" applyNumberFormat="1" applyFont="1" applyFill="1" applyBorder="1" applyAlignment="1" applyProtection="1">
      <alignment vertical="top"/>
    </xf>
    <xf numFmtId="168" fontId="0" fillId="0" borderId="0" xfId="2" applyNumberFormat="1" applyFont="1" applyBorder="1" applyAlignment="1" applyProtection="1">
      <alignment vertical="top"/>
    </xf>
    <xf numFmtId="6" fontId="0" fillId="0" borderId="0" xfId="2" applyNumberFormat="1" applyFont="1" applyAlignment="1" applyProtection="1">
      <alignment vertical="top"/>
    </xf>
    <xf numFmtId="168" fontId="0" fillId="0" borderId="0" xfId="2" applyNumberFormat="1" applyFont="1" applyAlignment="1" applyProtection="1">
      <alignment vertical="top"/>
    </xf>
    <xf numFmtId="168" fontId="0" fillId="0" borderId="0" xfId="2" applyNumberFormat="1" applyFont="1" applyBorder="1" applyAlignment="1" applyProtection="1">
      <alignment horizontal="right" vertical="top"/>
    </xf>
    <xf numFmtId="168" fontId="0" fillId="0" borderId="2" xfId="2" applyNumberFormat="1" applyFont="1" applyBorder="1" applyAlignment="1" applyProtection="1">
      <alignment horizontal="right" vertical="top"/>
    </xf>
    <xf numFmtId="6" fontId="0" fillId="0" borderId="0" xfId="0" applyNumberFormat="1" applyBorder="1" applyAlignment="1" applyProtection="1">
      <alignment vertical="top"/>
    </xf>
    <xf numFmtId="168" fontId="0" fillId="0" borderId="0" xfId="0" applyNumberFormat="1" applyAlignment="1" applyProtection="1">
      <alignment vertical="top"/>
    </xf>
    <xf numFmtId="168" fontId="0" fillId="0" borderId="4" xfId="0" applyNumberFormat="1" applyFill="1" applyBorder="1" applyAlignment="1" applyProtection="1">
      <alignment vertical="top"/>
    </xf>
    <xf numFmtId="168" fontId="0" fillId="0" borderId="0" xfId="0" applyNumberFormat="1" applyFill="1" applyBorder="1" applyAlignment="1" applyProtection="1">
      <alignment vertical="top"/>
    </xf>
    <xf numFmtId="168" fontId="8" fillId="0" borderId="0" xfId="0" applyNumberFormat="1" applyFont="1" applyAlignment="1" applyProtection="1">
      <alignment vertical="top"/>
    </xf>
    <xf numFmtId="6" fontId="8" fillId="0" borderId="0" xfId="0" applyNumberFormat="1" applyFont="1" applyBorder="1" applyAlignment="1" applyProtection="1">
      <alignment vertical="top"/>
    </xf>
    <xf numFmtId="168" fontId="1" fillId="0" borderId="0" xfId="0" applyNumberFormat="1" applyFont="1" applyFill="1" applyAlignment="1" applyProtection="1">
      <alignment vertical="top"/>
    </xf>
    <xf numFmtId="6" fontId="0" fillId="0" borderId="0" xfId="0" applyNumberFormat="1" applyBorder="1" applyAlignment="1" applyProtection="1">
      <alignment horizontal="right" vertical="top"/>
    </xf>
    <xf numFmtId="6" fontId="0" fillId="0" borderId="0" xfId="0" applyNumberFormat="1" applyFill="1" applyBorder="1" applyAlignment="1" applyProtection="1">
      <alignment horizontal="right" vertical="top"/>
    </xf>
    <xf numFmtId="168" fontId="0" fillId="0" borderId="0" xfId="2" applyNumberFormat="1" applyFont="1" applyBorder="1" applyAlignment="1" applyProtection="1">
      <alignment horizontal="center" vertical="top"/>
    </xf>
    <xf numFmtId="168" fontId="0" fillId="0" borderId="4" xfId="2" applyNumberFormat="1" applyFont="1" applyBorder="1" applyAlignment="1" applyProtection="1">
      <alignment horizontal="right" vertical="top"/>
    </xf>
    <xf numFmtId="169" fontId="0" fillId="0" borderId="0" xfId="0" applyNumberFormat="1" applyFill="1" applyAlignment="1" applyProtection="1">
      <alignment vertical="top"/>
      <protection locked="0"/>
    </xf>
    <xf numFmtId="6" fontId="0" fillId="0" borderId="0" xfId="2" applyNumberFormat="1" applyFont="1" applyAlignment="1" applyProtection="1"/>
    <xf numFmtId="6" fontId="0" fillId="0" borderId="0" xfId="2" applyNumberFormat="1" applyFont="1" applyFill="1" applyAlignment="1" applyProtection="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8" fontId="23" fillId="0" borderId="2" xfId="2" applyNumberFormat="1" applyFont="1" applyFill="1" applyBorder="1" applyAlignment="1" applyProtection="1">
      <alignment vertical="top"/>
    </xf>
    <xf numFmtId="168" fontId="23" fillId="0" borderId="0" xfId="2" applyNumberFormat="1" applyFont="1" applyFill="1" applyBorder="1" applyAlignment="1" applyProtection="1">
      <alignment vertical="top"/>
    </xf>
    <xf numFmtId="168" fontId="23" fillId="0" borderId="0" xfId="2" quotePrefix="1" applyNumberFormat="1" applyFont="1" applyFill="1" applyBorder="1" applyAlignment="1" applyProtection="1">
      <alignment vertical="top"/>
    </xf>
    <xf numFmtId="169" fontId="23" fillId="0" borderId="0" xfId="0" applyNumberFormat="1" applyFont="1" applyFill="1" applyAlignment="1" applyProtection="1">
      <alignment vertical="top"/>
    </xf>
    <xf numFmtId="169" fontId="23" fillId="0" borderId="0" xfId="0" quotePrefix="1" applyNumberFormat="1" applyFont="1" applyFill="1" applyAlignment="1" applyProtection="1">
      <alignment vertical="top"/>
    </xf>
    <xf numFmtId="168" fontId="23" fillId="0" borderId="0" xfId="2" applyNumberFormat="1" applyFont="1" applyFill="1" applyBorder="1" applyProtection="1"/>
    <xf numFmtId="169"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8" fontId="28" fillId="0" borderId="0" xfId="2" applyNumberFormat="1" applyFont="1" applyProtection="1"/>
    <xf numFmtId="169" fontId="28" fillId="0" borderId="0" xfId="0" applyNumberFormat="1" applyFont="1" applyFill="1" applyBorder="1" applyProtection="1">
      <protection locked="0"/>
    </xf>
    <xf numFmtId="6" fontId="28" fillId="2" borderId="0" xfId="0" applyNumberFormat="1" applyFont="1" applyFill="1" applyProtection="1"/>
    <xf numFmtId="168" fontId="28" fillId="0" borderId="0" xfId="2" applyNumberFormat="1" applyFont="1" applyAlignment="1" applyProtection="1"/>
    <xf numFmtId="168" fontId="28" fillId="0" borderId="0" xfId="0" applyNumberFormat="1" applyFont="1" applyAlignment="1" applyProtection="1"/>
    <xf numFmtId="0" fontId="28" fillId="0" borderId="0" xfId="0" applyFont="1" applyAlignment="1" applyProtection="1">
      <alignment horizontal="center"/>
    </xf>
    <xf numFmtId="6" fontId="28" fillId="0" borderId="0" xfId="2" applyNumberFormat="1" applyFont="1" applyFill="1" applyAlignment="1" applyProtection="1">
      <alignment vertical="top"/>
    </xf>
    <xf numFmtId="0" fontId="28" fillId="0" borderId="0" xfId="0" applyFont="1" applyFill="1" applyAlignment="1" applyProtection="1">
      <alignment vertical="top"/>
    </xf>
    <xf numFmtId="6" fontId="28" fillId="0" borderId="0" xfId="0" applyNumberFormat="1" applyFont="1" applyFill="1" applyAlignment="1" applyProtection="1">
      <alignment vertical="top"/>
    </xf>
    <xf numFmtId="0" fontId="28" fillId="0" borderId="0" xfId="0" applyFont="1" applyAlignment="1" applyProtection="1">
      <alignment vertical="top"/>
    </xf>
    <xf numFmtId="6"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8" fontId="0" fillId="0" borderId="0" xfId="2" applyNumberFormat="1" applyFont="1" applyFill="1" applyAlignment="1" applyProtection="1">
      <alignment vertical="top"/>
      <protection locked="0"/>
    </xf>
    <xf numFmtId="169" fontId="0" fillId="0" borderId="0" xfId="0" applyNumberFormat="1" applyFill="1" applyProtection="1">
      <protection locked="0"/>
    </xf>
    <xf numFmtId="168" fontId="0" fillId="0" borderId="6" xfId="2" applyNumberFormat="1" applyFont="1" applyBorder="1" applyAlignment="1" applyProtection="1"/>
    <xf numFmtId="6" fontId="7" fillId="0" borderId="0" xfId="0" applyNumberFormat="1" applyFont="1" applyFill="1" applyBorder="1" applyAlignment="1" applyProtection="1"/>
    <xf numFmtId="0" fontId="3" fillId="0" borderId="0" xfId="0" applyFont="1" applyAlignment="1" applyProtection="1">
      <alignment horizontal="center" vertical="top"/>
    </xf>
    <xf numFmtId="169"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8"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6" fontId="0" fillId="4" borderId="0" xfId="0" applyNumberFormat="1" applyFill="1" applyAlignment="1" applyProtection="1">
      <alignment vertical="top"/>
      <protection locked="0"/>
    </xf>
    <xf numFmtId="166"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9" fontId="0" fillId="4" borderId="0" xfId="0" applyNumberFormat="1" applyFill="1" applyAlignment="1" applyProtection="1">
      <alignment vertical="top"/>
      <protection locked="0"/>
    </xf>
    <xf numFmtId="169" fontId="0" fillId="4" borderId="0" xfId="0" applyNumberFormat="1" applyFill="1" applyProtection="1">
      <protection locked="0"/>
    </xf>
    <xf numFmtId="169" fontId="0" fillId="4" borderId="14" xfId="0" applyNumberFormat="1" applyFill="1" applyBorder="1" applyAlignment="1" applyProtection="1">
      <protection locked="0"/>
    </xf>
    <xf numFmtId="169"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8" fontId="0" fillId="0" borderId="3" xfId="2" applyNumberFormat="1" applyFont="1" applyBorder="1" applyAlignment="1" applyProtection="1"/>
    <xf numFmtId="168" fontId="0" fillId="0" borderId="4" xfId="2" applyNumberFormat="1" applyFont="1" applyBorder="1" applyAlignment="1" applyProtection="1"/>
    <xf numFmtId="0" fontId="3" fillId="0" borderId="2" xfId="0" applyFont="1" applyBorder="1" applyAlignment="1" applyProtection="1">
      <alignment horizontal="center" wrapText="1"/>
    </xf>
    <xf numFmtId="169"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7" fontId="0" fillId="0" borderId="21" xfId="2" applyNumberFormat="1" applyFont="1" applyBorder="1"/>
    <xf numFmtId="167" fontId="0" fillId="0" borderId="21" xfId="0" applyNumberFormat="1" applyBorder="1"/>
    <xf numFmtId="167" fontId="0" fillId="0" borderId="20" xfId="2" applyNumberFormat="1" applyFont="1" applyBorder="1"/>
    <xf numFmtId="167" fontId="0" fillId="0" borderId="20" xfId="0" applyNumberFormat="1" applyBorder="1"/>
    <xf numFmtId="0" fontId="0" fillId="0" borderId="24" xfId="0" applyBorder="1"/>
    <xf numFmtId="167" fontId="0" fillId="0" borderId="24" xfId="2" applyNumberFormat="1" applyFont="1" applyBorder="1"/>
    <xf numFmtId="167"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7" fontId="0" fillId="0" borderId="27" xfId="2" applyNumberFormat="1" applyFont="1" applyBorder="1"/>
    <xf numFmtId="167"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7"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7" fontId="0" fillId="7" borderId="21" xfId="0" applyNumberFormat="1" applyFill="1" applyBorder="1" applyAlignment="1" applyProtection="1">
      <alignment vertical="top"/>
      <protection locked="0"/>
    </xf>
    <xf numFmtId="167" fontId="0" fillId="7" borderId="24" xfId="0" applyNumberFormat="1" applyFill="1" applyBorder="1" applyAlignment="1" applyProtection="1">
      <alignment vertical="top"/>
      <protection locked="0"/>
    </xf>
    <xf numFmtId="167" fontId="0" fillId="7" borderId="21" xfId="2" applyNumberFormat="1" applyFont="1" applyFill="1" applyBorder="1" applyAlignment="1" applyProtection="1">
      <alignment vertical="top"/>
      <protection locked="0"/>
    </xf>
    <xf numFmtId="167" fontId="0" fillId="7" borderId="27" xfId="2" applyNumberFormat="1" applyFont="1" applyFill="1" applyBorder="1" applyAlignment="1" applyProtection="1">
      <alignment vertical="top"/>
      <protection locked="0"/>
    </xf>
    <xf numFmtId="0" fontId="26" fillId="0" borderId="0" xfId="4" applyFont="1" applyBorder="1"/>
    <xf numFmtId="0" fontId="1" fillId="0" borderId="0" xfId="0" applyFont="1" applyFill="1" applyBorder="1"/>
    <xf numFmtId="168"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8" fontId="3"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6" fontId="3" fillId="2" borderId="42" xfId="0" quotePrefix="1" applyNumberFormat="1" applyFont="1" applyFill="1" applyBorder="1" applyAlignment="1" applyProtection="1">
      <alignment horizontal="right"/>
    </xf>
    <xf numFmtId="6" fontId="3" fillId="2" borderId="42" xfId="0" quotePrefix="1" applyNumberFormat="1" applyFont="1" applyFill="1" applyBorder="1" applyAlignment="1" applyProtection="1">
      <alignment horizontal="center" vertical="center"/>
    </xf>
    <xf numFmtId="168" fontId="0" fillId="0" borderId="42" xfId="0" applyNumberFormat="1" applyFill="1" applyBorder="1" applyAlignment="1" applyProtection="1">
      <alignment horizontal="right"/>
    </xf>
    <xf numFmtId="6" fontId="3" fillId="2" borderId="23" xfId="0" quotePrefix="1" applyNumberFormat="1" applyFont="1" applyFill="1" applyBorder="1" applyAlignment="1" applyProtection="1">
      <alignment horizontal="center" vertical="center"/>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8" fontId="0" fillId="0" borderId="19" xfId="2" applyNumberFormat="1" applyFont="1" applyFill="1" applyBorder="1" applyAlignment="1" applyProtection="1">
      <alignment horizontal="right"/>
    </xf>
    <xf numFmtId="6" fontId="3" fillId="2" borderId="19" xfId="0" quotePrefix="1" applyNumberFormat="1" applyFont="1" applyFill="1" applyBorder="1" applyAlignment="1" applyProtection="1">
      <alignment horizontal="right"/>
    </xf>
    <xf numFmtId="168" fontId="0" fillId="0" borderId="19" xfId="0" applyNumberFormat="1" applyFill="1" applyBorder="1" applyAlignment="1" applyProtection="1">
      <alignment horizontal="right"/>
    </xf>
    <xf numFmtId="6" fontId="3" fillId="2" borderId="45" xfId="0" quotePrefix="1" applyNumberFormat="1" applyFont="1" applyFill="1" applyBorder="1" applyAlignment="1" applyProtection="1">
      <alignment horizontal="right"/>
    </xf>
    <xf numFmtId="6" fontId="3" fillId="2" borderId="23" xfId="0" quotePrefix="1" applyNumberFormat="1" applyFon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70" fontId="0" fillId="4" borderId="5" xfId="1" applyNumberFormat="1" applyFont="1" applyFill="1" applyBorder="1" applyAlignment="1" applyProtection="1">
      <alignment vertical="top"/>
      <protection locked="0"/>
    </xf>
    <xf numFmtId="170" fontId="0" fillId="4" borderId="7" xfId="1" applyNumberFormat="1" applyFont="1" applyFill="1" applyBorder="1" applyAlignment="1" applyProtection="1">
      <alignment vertical="top"/>
      <protection locked="0"/>
    </xf>
    <xf numFmtId="170" fontId="0" fillId="4" borderId="0" xfId="1" applyNumberFormat="1" applyFont="1" applyFill="1" applyBorder="1" applyAlignment="1" applyProtection="1">
      <alignment vertical="top"/>
      <protection locked="0"/>
    </xf>
    <xf numFmtId="170" fontId="0" fillId="4" borderId="2" xfId="1" applyNumberFormat="1" applyFont="1" applyFill="1" applyBorder="1" applyAlignment="1" applyProtection="1">
      <alignment vertical="top"/>
      <protection locked="0"/>
    </xf>
    <xf numFmtId="170" fontId="0" fillId="4" borderId="1" xfId="1" applyNumberFormat="1" applyFont="1" applyFill="1" applyBorder="1" applyAlignment="1" applyProtection="1">
      <alignment vertical="top"/>
      <protection locked="0"/>
    </xf>
    <xf numFmtId="170" fontId="0" fillId="4" borderId="8" xfId="1" applyNumberFormat="1" applyFont="1" applyFill="1" applyBorder="1" applyAlignment="1" applyProtection="1">
      <alignment vertical="top"/>
      <protection locked="0"/>
    </xf>
    <xf numFmtId="164" fontId="0" fillId="0" borderId="0" xfId="0" applyNumberFormat="1"/>
    <xf numFmtId="0" fontId="52" fillId="0" borderId="0" xfId="0" applyFont="1"/>
    <xf numFmtId="167"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8" fontId="0" fillId="4" borderId="50" xfId="2" applyNumberFormat="1" applyFont="1" applyFill="1" applyBorder="1" applyAlignment="1" applyProtection="1">
      <alignment vertical="top"/>
      <protection locked="0"/>
    </xf>
    <xf numFmtId="168" fontId="0" fillId="4" borderId="51" xfId="2" applyNumberFormat="1" applyFont="1" applyFill="1" applyBorder="1" applyAlignment="1" applyProtection="1">
      <alignment vertical="top"/>
      <protection locked="0"/>
    </xf>
    <xf numFmtId="0" fontId="48" fillId="0" borderId="0" xfId="0" quotePrefix="1" applyFont="1"/>
    <xf numFmtId="6" fontId="48" fillId="0" borderId="2" xfId="0" quotePrefix="1" applyNumberFormat="1" applyFont="1" applyBorder="1" applyAlignment="1" applyProtection="1">
      <alignment vertical="top"/>
    </xf>
    <xf numFmtId="0" fontId="48" fillId="0" borderId="0" xfId="0" quotePrefix="1" applyFont="1" applyProtection="1"/>
    <xf numFmtId="6"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9"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8" fontId="0" fillId="0" borderId="42" xfId="2" applyNumberFormat="1" applyFont="1" applyFill="1" applyBorder="1" applyProtection="1"/>
    <xf numFmtId="169" fontId="0" fillId="4" borderId="42" xfId="0" applyNumberFormat="1" applyFill="1" applyBorder="1" applyProtection="1">
      <protection locked="0"/>
    </xf>
    <xf numFmtId="169"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164" fontId="0" fillId="0" borderId="20" xfId="0" applyNumberFormat="1" applyBorder="1"/>
    <xf numFmtId="164" fontId="0" fillId="0" borderId="20" xfId="2" applyFont="1" applyBorder="1"/>
    <xf numFmtId="0" fontId="0" fillId="0" borderId="44" xfId="0" applyBorder="1"/>
    <xf numFmtId="0" fontId="0" fillId="0" borderId="19" xfId="0" applyFill="1" applyBorder="1"/>
    <xf numFmtId="167" fontId="0" fillId="0" borderId="19" xfId="2" applyNumberFormat="1" applyFont="1" applyBorder="1"/>
    <xf numFmtId="0" fontId="0" fillId="0" borderId="23" xfId="0" applyBorder="1"/>
    <xf numFmtId="167" fontId="0" fillId="0" borderId="45" xfId="2" applyNumberFormat="1" applyFont="1" applyBorder="1"/>
    <xf numFmtId="0" fontId="0" fillId="0" borderId="42" xfId="0" applyBorder="1"/>
    <xf numFmtId="0" fontId="1" fillId="0" borderId="23" xfId="0" applyFont="1" applyBorder="1"/>
    <xf numFmtId="0" fontId="0" fillId="0" borderId="43" xfId="0" applyBorder="1"/>
    <xf numFmtId="164" fontId="0" fillId="0" borderId="43" xfId="2" applyFont="1" applyBorder="1"/>
    <xf numFmtId="16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7" fontId="0" fillId="4" borderId="21" xfId="2" applyNumberFormat="1" applyFont="1" applyFill="1" applyBorder="1" applyAlignment="1" applyProtection="1">
      <alignment vertical="top"/>
      <protection locked="0"/>
    </xf>
    <xf numFmtId="0" fontId="1" fillId="0" borderId="0" xfId="0" applyFont="1" applyFill="1"/>
    <xf numFmtId="168"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164" fontId="3" fillId="0" borderId="0" xfId="2" applyFont="1" applyBorder="1"/>
    <xf numFmtId="0" fontId="3" fillId="0" borderId="19" xfId="0" applyFont="1" applyFill="1" applyBorder="1" applyAlignment="1">
      <alignment wrapText="1"/>
    </xf>
    <xf numFmtId="164" fontId="3" fillId="0" borderId="19" xfId="2" applyFont="1" applyBorder="1" applyAlignment="1">
      <alignment vertical="top"/>
    </xf>
    <xf numFmtId="0" fontId="3" fillId="0" borderId="44" xfId="0" applyFont="1" applyFill="1" applyBorder="1"/>
    <xf numFmtId="167" fontId="0" fillId="0" borderId="19" xfId="0" applyNumberFormat="1" applyBorder="1"/>
    <xf numFmtId="167"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7"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7" fontId="0" fillId="0" borderId="43" xfId="2" applyNumberFormat="1" applyFont="1" applyBorder="1"/>
    <xf numFmtId="167" fontId="0" fillId="0" borderId="44" xfId="2" applyNumberFormat="1" applyFont="1" applyBorder="1"/>
    <xf numFmtId="165" fontId="0" fillId="0" borderId="0" xfId="1" applyFont="1" applyFill="1" applyBorder="1"/>
    <xf numFmtId="165" fontId="0" fillId="0" borderId="19" xfId="1" applyFont="1" applyFill="1" applyBorder="1"/>
    <xf numFmtId="0" fontId="1" fillId="0" borderId="0" xfId="6" applyFont="1" applyFill="1" applyAlignment="1" applyProtection="1">
      <alignment horizontal="left" vertical="top" wrapText="1"/>
      <protection locked="0"/>
    </xf>
    <xf numFmtId="171"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164" fontId="1" fillId="11" borderId="62" xfId="2" applyFont="1" applyFill="1" applyBorder="1" applyAlignment="1" applyProtection="1">
      <alignment horizontal="right" vertical="top"/>
      <protection locked="0"/>
    </xf>
    <xf numFmtId="167" fontId="0" fillId="0" borderId="0" xfId="2" applyNumberFormat="1" applyFont="1" applyBorder="1"/>
    <xf numFmtId="10" fontId="0" fillId="0" borderId="20" xfId="5" applyNumberFormat="1" applyFont="1" applyBorder="1"/>
    <xf numFmtId="170" fontId="1" fillId="0" borderId="0" xfId="1" applyNumberFormat="1" applyFont="1"/>
    <xf numFmtId="170" fontId="0" fillId="0" borderId="0" xfId="1" applyNumberFormat="1" applyFont="1"/>
    <xf numFmtId="170" fontId="1" fillId="0" borderId="19" xfId="1" applyNumberFormat="1" applyFont="1" applyBorder="1"/>
    <xf numFmtId="170" fontId="0" fillId="0" borderId="19" xfId="1" applyNumberFormat="1" applyFont="1" applyBorder="1"/>
    <xf numFmtId="10" fontId="0" fillId="0" borderId="45" xfId="5" applyNumberFormat="1" applyFont="1" applyBorder="1"/>
    <xf numFmtId="167" fontId="0" fillId="4" borderId="52" xfId="2" applyNumberFormat="1" applyFont="1" applyFill="1" applyBorder="1" applyAlignment="1" applyProtection="1">
      <alignment vertical="top"/>
      <protection locked="0"/>
    </xf>
    <xf numFmtId="172" fontId="0" fillId="0" borderId="45" xfId="5" applyNumberFormat="1" applyFont="1" applyBorder="1"/>
    <xf numFmtId="167" fontId="0" fillId="0" borderId="79" xfId="0" applyNumberFormat="1" applyBorder="1"/>
    <xf numFmtId="170"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16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2"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8" fontId="0" fillId="0" borderId="19" xfId="2" applyNumberFormat="1" applyFont="1" applyFill="1" applyBorder="1" applyAlignment="1" applyProtection="1">
      <alignment horizontal="right"/>
    </xf>
    <xf numFmtId="168" fontId="1" fillId="0" borderId="50" xfId="2" applyNumberFormat="1" applyFont="1" applyFill="1" applyBorder="1" applyAlignment="1" applyProtection="1">
      <alignment vertical="top"/>
    </xf>
    <xf numFmtId="167" fontId="0" fillId="4" borderId="42" xfId="2" applyNumberFormat="1" applyFont="1" applyFill="1" applyBorder="1" applyProtection="1">
      <protection locked="0"/>
    </xf>
    <xf numFmtId="167" fontId="0" fillId="4" borderId="0" xfId="2" applyNumberFormat="1" applyFont="1" applyFill="1" applyBorder="1" applyProtection="1">
      <protection locked="0"/>
    </xf>
    <xf numFmtId="167" fontId="0" fillId="4" borderId="4" xfId="2" applyNumberFormat="1" applyFont="1" applyFill="1" applyBorder="1" applyProtection="1">
      <protection locked="0"/>
    </xf>
    <xf numFmtId="167" fontId="0" fillId="4" borderId="20" xfId="2" applyNumberFormat="1" applyFont="1" applyFill="1" applyBorder="1" applyProtection="1">
      <protection locked="0"/>
    </xf>
    <xf numFmtId="167"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42" xfId="5" applyNumberFormat="1"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70" fontId="1" fillId="0" borderId="58" xfId="1" applyNumberFormat="1" applyFont="1" applyFill="1" applyBorder="1" applyAlignment="1" applyProtection="1">
      <alignment horizontal="right" vertical="top"/>
    </xf>
    <xf numFmtId="0" fontId="1" fillId="0" borderId="59" xfId="6" applyFont="1" applyBorder="1" applyProtection="1"/>
    <xf numFmtId="170"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70" fontId="0" fillId="0" borderId="51" xfId="1" applyNumberFormat="1" applyFont="1" applyBorder="1" applyProtection="1"/>
    <xf numFmtId="164" fontId="0" fillId="0" borderId="68" xfId="2" applyFont="1" applyBorder="1" applyProtection="1"/>
    <xf numFmtId="10" fontId="0" fillId="0" borderId="58" xfId="5" applyNumberFormat="1" applyFont="1" applyBorder="1" applyProtection="1"/>
    <xf numFmtId="170" fontId="0" fillId="0" borderId="49" xfId="1" applyNumberFormat="1" applyFont="1" applyBorder="1" applyProtection="1"/>
    <xf numFmtId="170" fontId="1" fillId="0" borderId="70" xfId="1" applyNumberFormat="1" applyFont="1" applyBorder="1" applyAlignment="1" applyProtection="1">
      <alignment horizontal="center"/>
    </xf>
    <xf numFmtId="16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16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16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164" fontId="1" fillId="0" borderId="68" xfId="6" applyNumberFormat="1" applyBorder="1" applyProtection="1"/>
    <xf numFmtId="164" fontId="1" fillId="0" borderId="49" xfId="6" applyNumberFormat="1" applyBorder="1" applyProtection="1"/>
    <xf numFmtId="164" fontId="0" fillId="0" borderId="78" xfId="2" applyFont="1" applyBorder="1" applyProtection="1"/>
    <xf numFmtId="16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164" fontId="0" fillId="0" borderId="49" xfId="2" applyFont="1" applyBorder="1" applyProtection="1"/>
    <xf numFmtId="0" fontId="1" fillId="0" borderId="75" xfId="6" applyFont="1" applyFill="1" applyBorder="1" applyProtection="1"/>
    <xf numFmtId="16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9"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21" xfId="2" quotePrefix="1" applyNumberFormat="1" applyFont="1" applyFill="1" applyBorder="1" applyAlignment="1" applyProtection="1">
      <alignment vertical="top"/>
      <protection locked="0"/>
    </xf>
    <xf numFmtId="173" fontId="0" fillId="0" borderId="78" xfId="2" applyNumberFormat="1" applyFont="1" applyBorder="1" applyProtection="1"/>
    <xf numFmtId="164" fontId="1" fillId="0" borderId="73" xfId="6" applyNumberFormat="1" applyBorder="1" applyProtection="1"/>
    <xf numFmtId="174" fontId="1" fillId="0" borderId="15" xfId="6" applyNumberFormat="1" applyBorder="1" applyProtection="1"/>
    <xf numFmtId="164" fontId="1" fillId="4" borderId="58" xfId="6" applyNumberFormat="1" applyFont="1" applyFill="1" applyBorder="1" applyAlignment="1" applyProtection="1">
      <alignment horizontal="right" vertical="top"/>
      <protection locked="0"/>
    </xf>
    <xf numFmtId="174"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0" fontId="1" fillId="0" borderId="0" xfId="0" applyFont="1" applyAlignment="1" applyProtection="1">
      <alignment horizontal="left"/>
      <protection locked="0"/>
    </xf>
    <xf numFmtId="168" fontId="0" fillId="0" borderId="5" xfId="2" applyNumberFormat="1" applyFont="1" applyBorder="1" applyAlignment="1" applyProtection="1">
      <alignment vertical="top"/>
      <protection locked="0"/>
    </xf>
    <xf numFmtId="168"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1" fillId="0" borderId="0" xfId="0" applyFont="1" applyAlignment="1" applyProtection="1">
      <alignment horizontal="left"/>
    </xf>
    <xf numFmtId="2" fontId="1" fillId="0" borderId="0" xfId="0" applyNumberFormat="1" applyFont="1"/>
    <xf numFmtId="2" fontId="0" fillId="0" borderId="0" xfId="0" applyNumberFormat="1"/>
    <xf numFmtId="169" fontId="1" fillId="4" borderId="0" xfId="0" applyNumberFormat="1" applyFont="1" applyFill="1" applyAlignment="1" applyProtection="1">
      <alignment vertical="top"/>
      <protection locked="0"/>
    </xf>
    <xf numFmtId="169" fontId="1" fillId="4" borderId="14" xfId="0" applyNumberFormat="1" applyFont="1" applyFill="1" applyBorder="1" applyAlignment="1" applyProtection="1">
      <protection locked="0"/>
    </xf>
    <xf numFmtId="169" fontId="1" fillId="4" borderId="0" xfId="0" applyNumberFormat="1" applyFont="1" applyFill="1" applyProtection="1">
      <protection locked="0"/>
    </xf>
    <xf numFmtId="0" fontId="63" fillId="0" borderId="0" xfId="0" applyFont="1" applyFill="1" applyBorder="1" applyAlignment="1" applyProtection="1">
      <alignment horizontal="center"/>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168" fontId="1" fillId="4" borderId="0" xfId="0" applyNumberFormat="1" applyFont="1" applyFill="1" applyAlignment="1" applyProtection="1">
      <alignment horizontal="left" wrapText="1"/>
      <protection locked="0"/>
    </xf>
    <xf numFmtId="0" fontId="0" fillId="4" borderId="0" xfId="0"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horizontal="left" wrapText="1"/>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0" borderId="0" xfId="0" applyFill="1" applyAlignment="1" applyProtection="1">
      <alignment horizontal="left" vertical="top" wrapText="1"/>
    </xf>
    <xf numFmtId="0" fontId="1" fillId="4" borderId="0" xfId="0" applyFont="1" applyFill="1" applyAlignment="1" applyProtection="1">
      <alignment horizontal="left" wrapText="1"/>
      <protection locked="0"/>
    </xf>
    <xf numFmtId="0" fontId="0" fillId="0" borderId="0" xfId="0" applyAlignment="1" applyProtection="1">
      <alignment wrapText="1"/>
    </xf>
    <xf numFmtId="0" fontId="1" fillId="0" borderId="0" xfId="0" applyFont="1" applyAlignment="1" applyProtection="1">
      <alignment wrapText="1"/>
    </xf>
    <xf numFmtId="0" fontId="1" fillId="4" borderId="0" xfId="0" applyFont="1" applyFill="1" applyAlignment="1" applyProtection="1">
      <alignment wrapText="1"/>
      <protection locked="0"/>
    </xf>
    <xf numFmtId="0" fontId="0" fillId="4" borderId="0" xfId="0" applyFill="1" applyAlignment="1" applyProtection="1">
      <alignment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8" fontId="0" fillId="0" borderId="3" xfId="2" applyNumberFormat="1" applyFont="1" applyBorder="1" applyAlignment="1" applyProtection="1">
      <alignment horizontal="right"/>
    </xf>
    <xf numFmtId="168"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168" fontId="0" fillId="0" borderId="3" xfId="0" applyNumberFormat="1" applyBorder="1" applyAlignment="1" applyProtection="1">
      <alignment horizontal="right"/>
    </xf>
    <xf numFmtId="168" fontId="0" fillId="0" borderId="4" xfId="0" applyNumberFormat="1" applyBorder="1" applyAlignment="1" applyProtection="1">
      <alignment horizontal="right"/>
    </xf>
    <xf numFmtId="168" fontId="0" fillId="0" borderId="13" xfId="2" applyNumberFormat="1" applyFont="1" applyBorder="1" applyAlignment="1" applyProtection="1">
      <alignment horizontal="right"/>
    </xf>
    <xf numFmtId="168" fontId="0" fillId="0" borderId="2" xfId="2" applyNumberFormat="1" applyFont="1" applyBorder="1" applyAlignment="1" applyProtection="1">
      <alignment horizontal="right"/>
    </xf>
    <xf numFmtId="168" fontId="0" fillId="0" borderId="3" xfId="2" applyNumberFormat="1" applyFont="1" applyFill="1" applyBorder="1" applyAlignment="1" applyProtection="1">
      <alignment horizontal="right"/>
    </xf>
    <xf numFmtId="168" fontId="0" fillId="0" borderId="4" xfId="2" applyNumberFormat="1" applyFont="1" applyFill="1" applyBorder="1" applyAlignment="1" applyProtection="1">
      <alignment horizontal="right"/>
    </xf>
    <xf numFmtId="168" fontId="0" fillId="0" borderId="0" xfId="2" applyNumberFormat="1" applyFont="1" applyBorder="1" applyAlignment="1" applyProtection="1">
      <alignment horizontal="right"/>
    </xf>
    <xf numFmtId="168" fontId="0" fillId="0" borderId="3" xfId="2" applyNumberFormat="1" applyFont="1" applyBorder="1" applyAlignment="1" applyProtection="1"/>
    <xf numFmtId="168" fontId="0" fillId="0" borderId="2" xfId="2" applyNumberFormat="1" applyFont="1" applyBorder="1" applyAlignment="1" applyProtection="1"/>
    <xf numFmtId="0" fontId="5" fillId="0" borderId="0" xfId="0" applyFont="1" applyFill="1" applyAlignment="1" applyProtection="1">
      <alignment horizontal="center"/>
    </xf>
    <xf numFmtId="0" fontId="0" fillId="4" borderId="0" xfId="0" applyFill="1" applyBorder="1" applyAlignment="1" applyProtection="1">
      <alignment wrapText="1"/>
      <protection locked="0"/>
    </xf>
    <xf numFmtId="0" fontId="7" fillId="4" borderId="0" xfId="0" applyFont="1" applyFill="1" applyBorder="1" applyAlignment="1" applyProtection="1">
      <alignment wrapText="1"/>
      <protection locked="0"/>
    </xf>
    <xf numFmtId="0" fontId="10" fillId="0" borderId="0" xfId="0" applyFont="1" applyBorder="1" applyAlignment="1" applyProtection="1">
      <alignment horizontal="left"/>
    </xf>
    <xf numFmtId="0" fontId="23" fillId="0" borderId="0" xfId="0" applyFont="1" applyFill="1" applyAlignment="1" applyProtection="1">
      <alignment wrapText="1"/>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6" borderId="0" xfId="0" applyFont="1" applyFill="1" applyBorder="1" applyAlignment="1" applyProtection="1">
      <alignment horizontal="center" vertical="center"/>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2" xfId="0"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27" fillId="2" borderId="0" xfId="0" applyFont="1" applyFill="1" applyAlignment="1" applyProtection="1">
      <alignment horizontal="left" wrapText="1"/>
    </xf>
    <xf numFmtId="168" fontId="0" fillId="0" borderId="0" xfId="2" applyNumberFormat="1" applyFont="1" applyAlignment="1" applyProtection="1">
      <alignment horizontal="right"/>
    </xf>
    <xf numFmtId="168" fontId="0" fillId="0" borderId="0" xfId="2" applyNumberFormat="1" applyFont="1" applyAlignment="1" applyProtection="1"/>
    <xf numFmtId="168" fontId="0" fillId="0" borderId="0" xfId="0" applyNumberFormat="1" applyAlignment="1" applyProtection="1"/>
    <xf numFmtId="168" fontId="28" fillId="0" borderId="0" xfId="2" applyNumberFormat="1" applyFont="1" applyAlignment="1" applyProtection="1"/>
    <xf numFmtId="168" fontId="28" fillId="0" borderId="0" xfId="0" applyNumberFormat="1" applyFont="1" applyAlignment="1" applyProtection="1"/>
    <xf numFmtId="168" fontId="0" fillId="0" borderId="0" xfId="2" applyNumberFormat="1" applyFont="1" applyFill="1" applyBorder="1" applyAlignment="1" applyProtection="1">
      <alignment horizontal="right"/>
    </xf>
    <xf numFmtId="168" fontId="0" fillId="0" borderId="0" xfId="0" applyNumberFormat="1" applyBorder="1" applyAlignment="1" applyProtection="1">
      <alignment horizontal="center"/>
    </xf>
    <xf numFmtId="168" fontId="0" fillId="0" borderId="6" xfId="2" applyNumberFormat="1" applyFont="1" applyBorder="1" applyAlignment="1" applyProtection="1">
      <alignment horizontal="right"/>
    </xf>
    <xf numFmtId="168" fontId="7" fillId="0" borderId="0" xfId="2" applyNumberFormat="1" applyFont="1" applyBorder="1" applyAlignment="1" applyProtection="1">
      <alignment horizontal="right" vertical="center"/>
    </xf>
    <xf numFmtId="168" fontId="7" fillId="0" borderId="0" xfId="0" applyNumberFormat="1" applyFont="1" applyAlignment="1" applyProtection="1">
      <alignment horizontal="right"/>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8" fontId="0" fillId="0" borderId="2" xfId="0" applyNumberFormat="1" applyBorder="1" applyAlignment="1" applyProtection="1">
      <alignment horizontal="right"/>
    </xf>
    <xf numFmtId="168" fontId="0" fillId="0" borderId="3" xfId="0" applyNumberFormat="1" applyFill="1" applyBorder="1" applyAlignment="1" applyProtection="1">
      <alignment horizontal="right"/>
    </xf>
    <xf numFmtId="168" fontId="0" fillId="0" borderId="4" xfId="0" applyNumberFormat="1" applyFill="1" applyBorder="1" applyAlignment="1" applyProtection="1">
      <alignment horizontal="right"/>
    </xf>
    <xf numFmtId="168" fontId="3"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168" fontId="0" fillId="0" borderId="19" xfId="2" applyNumberFormat="1" applyFont="1" applyFill="1" applyBorder="1" applyAlignment="1" applyProtection="1">
      <alignment horizontal="right"/>
    </xf>
    <xf numFmtId="168" fontId="0" fillId="0" borderId="0" xfId="2" applyNumberFormat="1" applyFont="1" applyBorder="1" applyAlignment="1" applyProtection="1"/>
    <xf numFmtId="168" fontId="0" fillId="0" borderId="0" xfId="0" applyNumberFormat="1" applyBorder="1" applyAlignment="1" applyProtection="1"/>
    <xf numFmtId="168" fontId="0" fillId="0" borderId="2" xfId="0" applyNumberFormat="1" applyBorder="1" applyAlignment="1" applyProtection="1"/>
    <xf numFmtId="0" fontId="5" fillId="0" borderId="0" xfId="0" applyFont="1" applyAlignment="1" applyProtection="1">
      <alignment horizontal="center" wrapText="1"/>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3" fillId="0" borderId="0" xfId="0" applyFont="1" applyBorder="1" applyAlignment="1">
      <alignment horizontal="center" vertical="top" wrapText="1"/>
    </xf>
    <xf numFmtId="0" fontId="49" fillId="0" borderId="0" xfId="0" applyFont="1" applyFill="1" applyAlignment="1">
      <alignment horizontal="left" vertical="top" wrapText="1"/>
    </xf>
    <xf numFmtId="0" fontId="1" fillId="0" borderId="0" xfId="0" applyFont="1" applyAlignment="1">
      <alignment horizontal="left" vertical="top"/>
    </xf>
    <xf numFmtId="0" fontId="3" fillId="0" borderId="0" xfId="0" quotePrefix="1" applyFont="1" applyBorder="1" applyAlignment="1">
      <alignment horizontal="center"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3" fillId="0" borderId="0" xfId="0" applyFont="1" applyBorder="1" applyAlignment="1">
      <alignment horizontal="center"/>
    </xf>
    <xf numFmtId="0" fontId="3" fillId="0" borderId="20" xfId="0" applyFont="1" applyBorder="1" applyAlignment="1">
      <alignment horizontal="center"/>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1" fillId="0" borderId="0" xfId="0" applyFont="1" applyAlignment="1">
      <alignment horizontal="left"/>
    </xf>
    <xf numFmtId="0" fontId="50" fillId="0" borderId="0" xfId="0" applyFont="1" applyAlignment="1">
      <alignment horizontal="center"/>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49" fillId="0" borderId="0" xfId="0" applyFont="1" applyBorder="1" applyAlignment="1">
      <alignment horizontal="left" vertical="top"/>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left" vertical="top" wrapText="1"/>
    </xf>
  </cellXfs>
  <cellStyles count="7">
    <cellStyle name="Comma" xfId="1" builtinId="3"/>
    <cellStyle name="Currency" xfId="2" builtinId="4"/>
    <cellStyle name="Hyperlink" xfId="3" builtinId="8"/>
    <cellStyle name="Normal" xfId="0" builtinId="0"/>
    <cellStyle name="Normal 2" xfId="6" xr:uid="{00000000-0005-0000-0000-000004000000}"/>
    <cellStyle name="Normal_Sheet3" xfId="4" xr:uid="{00000000-0005-0000-0000-000005000000}"/>
    <cellStyle name="Percent" xfId="5" builtinId="5"/>
  </cellStyles>
  <dxfs count="92">
    <dxf>
      <font>
        <b/>
        <i val="0"/>
        <color rgb="FFFF0000"/>
      </font>
    </dxf>
    <dxf>
      <font>
        <b/>
        <i val="0"/>
        <color rgb="FFFF0000"/>
      </font>
    </dxf>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1.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calcChain.xml" Type="http://schemas.openxmlformats.org/officeDocument/2006/relationships/calcChain" Id="rId23"></Relationship><Relationship Target="worksheets/sheet10.xml" Type="http://schemas.openxmlformats.org/officeDocument/2006/relationships/worksheet" Id="rId10"></Relationship><Relationship Target="externalLinks/externalLink2.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drawings/_rels/drawing1.xml.rels><?xml version="1.0" encoding="UTF-8" ?><Relationships xmlns="http://schemas.openxmlformats.org/package/2006/relationships"><Relationship Target="../media/image3.wmf" Type="http://schemas.openxmlformats.org/officeDocument/2006/relationships/image" Id="rId3"></Relationship><Relationship Target="../media/image2.jpeg" Type="http://schemas.openxmlformats.org/officeDocument/2006/relationships/image" Id="rId2"></Relationship><Relationship Target="../media/image1.png" Type="http://schemas.openxmlformats.org/officeDocument/2006/relationships/image" Id="rId1"></Relationship></Relationships>
</file>

<file path=xl/drawings/_rels/drawing10.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1.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2.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3.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4.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2.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3.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4.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5.xml.rels><?xml version="1.0" encoding="UTF-8" ?><Relationships xmlns="http://schemas.openxmlformats.org/package/2006/relationships"><Relationship Target="../media/image3.wmf" Type="http://schemas.openxmlformats.org/officeDocument/2006/relationships/image" Id="rId3"></Relationship><Relationship Target="../media/image2.jpeg" Type="http://schemas.openxmlformats.org/officeDocument/2006/relationships/image" Id="rId2"></Relationship><Relationship Target="../media/image4.png" Type="http://schemas.openxmlformats.org/officeDocument/2006/relationships/image" Id="rId1"></Relationship></Relationships>
</file>

<file path=xl/drawings/_rels/drawing6.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7.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8.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9.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editAs="oneCell">
    <xdr:from>
      <xdr:col>14</xdr:col>
      <xdr:colOff>609599</xdr:colOff>
      <xdr:row>3</xdr:row>
      <xdr:rowOff>95249</xdr:rowOff>
    </xdr:from>
    <xdr:to>
      <xdr:col>16</xdr:col>
      <xdr:colOff>257174</xdr:colOff>
      <xdr:row>8</xdr:row>
      <xdr:rowOff>152399</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14</xdr:col>
      <xdr:colOff>361120</xdr:colOff>
      <xdr:row>11</xdr:row>
      <xdr:rowOff>153641</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38100" y="47625"/>
          <a:ext cx="8943145" cy="1915766"/>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17</xdr:col>
      <xdr:colOff>189670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023854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15</xdr:col>
      <xdr:colOff>151570</xdr:colOff>
      <xdr:row>12</xdr:row>
      <xdr:rowOff>10766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0"/>
          <a:ext cx="10457620" cy="1915766"/>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57420"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47895" cy="1908622"/>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19</xdr:col>
      <xdr:colOff>208720</xdr:colOff>
      <xdr:row>9</xdr:row>
      <xdr:rowOff>115541</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0" y="57150"/>
          <a:ext cx="9266995" cy="1915766"/>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2"></Relationship></Relationships>
</file>

<file path=xl/worksheets/_rels/sheet10.xml.rels><?xml version="1.0" encoding="UTF-8" ?><Relationships xmlns="http://schemas.openxmlformats.org/package/2006/relationships"><Relationship Target="../drawings/drawing9.xml" Type="http://schemas.openxmlformats.org/officeDocument/2006/relationships/drawing" Id="rId2"></Relationship></Relationships>
</file>

<file path=xl/worksheets/_rels/sheet12.xml.rels><?xml version="1.0" encoding="UTF-8" ?><Relationships xmlns="http://schemas.openxmlformats.org/package/2006/relationships"><Relationship Target="../drawings/vmlDrawing1.vml" Type="http://schemas.openxmlformats.org/officeDocument/2006/relationships/vmlDrawing" Id="rId3"></Relationship><Relationship Target="../drawings/drawing10.xml" Type="http://schemas.openxmlformats.org/officeDocument/2006/relationships/drawing" Id="rId2"></Relationship></Relationships>
</file>

<file path=xl/worksheets/_rels/sheet13.xml.rels><?xml version="1.0" encoding="UTF-8" ?><Relationships xmlns="http://schemas.openxmlformats.org/package/2006/relationships"><Relationship Target="../drawings/vmlDrawing2.vml" Type="http://schemas.openxmlformats.org/officeDocument/2006/relationships/vmlDrawing" Id="rId3"></Relationship><Relationship Target="../drawings/drawing11.xml" Type="http://schemas.openxmlformats.org/officeDocument/2006/relationships/drawing" Id="rId2"></Relationship></Relationships>
</file>

<file path=xl/worksheets/_rels/sheet14.xml.rels><?xml version="1.0" encoding="UTF-8" ?><Relationships xmlns="http://schemas.openxmlformats.org/package/2006/relationships"><Relationship Target="../drawings/vmlDrawing3.vml" Type="http://schemas.openxmlformats.org/officeDocument/2006/relationships/vmlDrawing" Id="rId3"></Relationship><Relationship Target="../drawings/drawing12.xml" Type="http://schemas.openxmlformats.org/officeDocument/2006/relationships/drawing" Id="rId2"></Relationship></Relationships>
</file>

<file path=xl/worksheets/_rels/sheet15.xml.rels><?xml version="1.0" encoding="UTF-8" ?><Relationships xmlns="http://schemas.openxmlformats.org/package/2006/relationships"><Relationship Target="../drawings/vmlDrawing4.vml" Type="http://schemas.openxmlformats.org/officeDocument/2006/relationships/vmlDrawing" Id="rId3"></Relationship><Relationship Target="../drawings/drawing13.xml" Type="http://schemas.openxmlformats.org/officeDocument/2006/relationships/drawing" Id="rId2"></Relationship></Relationships>
</file>

<file path=xl/worksheets/_rels/sheet16.xml.rels><?xml version="1.0" encoding="UTF-8" ?><Relationships xmlns="http://schemas.openxmlformats.org/package/2006/relationships"><Relationship Target="../drawings/drawing14.xml" Type="http://schemas.openxmlformats.org/officeDocument/2006/relationships/drawing" Id="rId2"></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5.xml.rels><?xml version="1.0" encoding="UTF-8" ?><Relationships xmlns="http://schemas.openxmlformats.org/package/2006/relationships"><Relationship Target="../drawings/drawing4.xml" Type="http://schemas.openxmlformats.org/officeDocument/2006/relationships/drawing" Id="rId2"></Relationship></Relationships>
</file>

<file path=xl/worksheets/_rels/sheet6.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7.xml.rels><?xml version="1.0" encoding="UTF-8" ?><Relationships xmlns="http://schemas.openxmlformats.org/package/2006/relationships"><Relationship Target="../drawings/drawing6.xml" Type="http://schemas.openxmlformats.org/officeDocument/2006/relationships/drawing" Id="rId2"></Relationship></Relationships>
</file>

<file path=xl/worksheets/_rels/sheet8.xml.rels><?xml version="1.0" encoding="UTF-8" ?><Relationships xmlns="http://schemas.openxmlformats.org/package/2006/relationships"><Relationship Target="../drawings/drawing7.xml" Type="http://schemas.openxmlformats.org/officeDocument/2006/relationships/drawing" Id="rId2"></Relationship></Relationships>
</file>

<file path=xl/worksheets/_rels/sheet9.xml.rels><?xml version="1.0" encoding="UTF-8" ?><Relationships xmlns="http://schemas.openxmlformats.org/package/2006/relationships"><Relationship Target="../drawings/drawing8.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G115"/>
  <sheetViews>
    <sheetView showGridLines="0" tabSelected="1" zoomScaleNormal="100" zoomScaleSheetLayoutView="100" workbookViewId="0">
      <selection activeCell="M28" sqref="M28"/>
    </sheetView>
  </sheetViews>
  <sheetFormatPr defaultColWidth="9.140625" defaultRowHeight="12.75" x14ac:dyDescent="0.2"/>
  <cols>
    <col min="1" max="4" width="9.140625" style="5"/>
    <col min="5" max="5" width="9.140625" style="5" customWidth="1"/>
    <col min="6" max="6" width="10.42578125" style="5" customWidth="1"/>
    <col min="7" max="21" width="9.140625" style="5"/>
    <col min="22" max="23" width="9.140625" style="5" customWidth="1"/>
    <col min="24" max="25" width="9.140625" style="5" hidden="1" customWidth="1"/>
    <col min="26" max="26" width="3.42578125" style="274" hidden="1" customWidth="1"/>
    <col min="27" max="27" width="46.5703125" style="274" hidden="1" customWidth="1"/>
    <col min="28" max="28" width="42.85546875" style="274" hidden="1" customWidth="1"/>
    <col min="29" max="29" width="16.42578125" style="274" customWidth="1"/>
    <col min="30" max="30" width="13.42578125" style="274" customWidth="1"/>
    <col min="31" max="31" width="13.85546875" style="275" customWidth="1"/>
    <col min="32" max="32" width="24.5703125" style="275" customWidth="1"/>
    <col min="33" max="16384" width="9.140625" style="5"/>
  </cols>
  <sheetData>
    <row r="1" spans="3:33" x14ac:dyDescent="0.2">
      <c r="C1" s="741"/>
      <c r="D1" s="741"/>
      <c r="E1" s="741"/>
      <c r="F1" s="741"/>
      <c r="G1" s="741"/>
      <c r="H1" s="741"/>
      <c r="I1" s="741"/>
      <c r="J1" s="741"/>
      <c r="K1" s="741"/>
      <c r="L1" s="741"/>
      <c r="M1" s="741"/>
      <c r="AC1" s="274" t="str">
        <f>IF('3. Data_Input_Sheet'!M12=0, "", '3. Data_Input_Sheet'!M12)</f>
        <v>Settlement Agreement</v>
      </c>
    </row>
    <row r="2" spans="3:33" x14ac:dyDescent="0.2">
      <c r="C2" s="741"/>
      <c r="D2" s="741"/>
      <c r="E2" s="741"/>
      <c r="F2" s="741"/>
      <c r="G2" s="741"/>
      <c r="H2" s="741"/>
      <c r="I2" s="741"/>
      <c r="J2" s="741"/>
      <c r="K2" s="741"/>
      <c r="L2" s="741"/>
      <c r="M2" s="741"/>
      <c r="AE2" s="274"/>
      <c r="AF2" s="274"/>
      <c r="AG2" s="274"/>
    </row>
    <row r="3" spans="3:33" x14ac:dyDescent="0.2">
      <c r="C3" s="741"/>
      <c r="D3" s="741"/>
      <c r="E3" s="741"/>
      <c r="F3" s="741"/>
      <c r="G3" s="741"/>
      <c r="H3" s="741"/>
      <c r="I3" s="741"/>
      <c r="J3" s="741"/>
      <c r="K3" s="741"/>
      <c r="L3" s="741"/>
      <c r="M3" s="741"/>
    </row>
    <row r="4" spans="3:33" x14ac:dyDescent="0.2">
      <c r="C4" s="741"/>
      <c r="D4" s="741"/>
      <c r="E4" s="741"/>
      <c r="F4" s="741"/>
      <c r="G4" s="741"/>
      <c r="H4" s="741"/>
      <c r="I4" s="741"/>
      <c r="J4" s="741"/>
      <c r="K4" s="741"/>
      <c r="L4" s="741"/>
      <c r="M4" s="741"/>
    </row>
    <row r="11" spans="3:33" ht="15" x14ac:dyDescent="0.25">
      <c r="P11" s="360" t="s">
        <v>242</v>
      </c>
      <c r="Q11" s="361">
        <v>8</v>
      </c>
    </row>
    <row r="15" spans="3:33" ht="13.5" thickBot="1" x14ac:dyDescent="0.25"/>
    <row r="16" spans="3:33" ht="29.25" customHeight="1" thickTop="1" thickBot="1" x14ac:dyDescent="0.25">
      <c r="F16" s="364" t="s">
        <v>243</v>
      </c>
      <c r="G16" s="744" t="s">
        <v>185</v>
      </c>
      <c r="H16" s="745"/>
      <c r="I16" s="745"/>
      <c r="J16" s="745"/>
      <c r="K16" s="745"/>
      <c r="L16" s="745"/>
      <c r="M16" s="746"/>
    </row>
    <row r="17" spans="2:32" ht="13.5" thickBot="1" x14ac:dyDescent="0.25">
      <c r="F17" s="365"/>
      <c r="G17" s="195"/>
      <c r="H17" s="196"/>
      <c r="I17" s="195"/>
      <c r="J17" s="195"/>
      <c r="K17" s="195"/>
    </row>
    <row r="18" spans="2:32" ht="16.5" thickTop="1" thickBot="1" x14ac:dyDescent="0.25">
      <c r="F18" s="366" t="s">
        <v>244</v>
      </c>
      <c r="G18" s="747" t="s">
        <v>482</v>
      </c>
      <c r="H18" s="748"/>
      <c r="I18" s="748"/>
      <c r="J18" s="748"/>
      <c r="K18" s="749"/>
    </row>
    <row r="19" spans="2:32" ht="15" thickBot="1" x14ac:dyDescent="0.25">
      <c r="F19" s="367"/>
    </row>
    <row r="20" spans="2:32" ht="18" thickTop="1" thickBot="1" x14ac:dyDescent="0.35">
      <c r="C20" s="276"/>
      <c r="F20" s="366" t="s">
        <v>245</v>
      </c>
      <c r="G20" s="750" t="s">
        <v>483</v>
      </c>
      <c r="H20" s="751"/>
      <c r="I20" s="751"/>
      <c r="J20" s="751"/>
      <c r="K20" s="752"/>
      <c r="Z20" s="277"/>
      <c r="AA20" s="277" t="s">
        <v>212</v>
      </c>
      <c r="AB20" s="277"/>
      <c r="AC20" s="277"/>
      <c r="AD20" s="277"/>
      <c r="AE20" s="278"/>
      <c r="AF20" s="278"/>
    </row>
    <row r="21" spans="2:32" ht="15" thickBot="1" x14ac:dyDescent="0.25">
      <c r="F21" s="367"/>
      <c r="Z21" s="274">
        <v>1</v>
      </c>
      <c r="AA21" s="724" t="s">
        <v>450</v>
      </c>
      <c r="AE21" s="280"/>
      <c r="AF21" s="281"/>
    </row>
    <row r="22" spans="2:32" ht="18" thickTop="1" thickBot="1" x14ac:dyDescent="0.35">
      <c r="B22" s="739"/>
      <c r="C22" s="739"/>
      <c r="D22" s="29"/>
      <c r="F22" s="366" t="s">
        <v>246</v>
      </c>
      <c r="G22" s="750" t="s">
        <v>484</v>
      </c>
      <c r="H22" s="751"/>
      <c r="I22" s="751"/>
      <c r="J22" s="751"/>
      <c r="K22" s="752"/>
      <c r="Z22" s="274">
        <v>2</v>
      </c>
      <c r="AA22" s="724" t="s">
        <v>451</v>
      </c>
      <c r="AE22" s="280"/>
      <c r="AF22" s="281"/>
    </row>
    <row r="23" spans="2:32" ht="17.25" thickBot="1" x14ac:dyDescent="0.35">
      <c r="B23" s="29"/>
      <c r="C23" s="362"/>
      <c r="D23" s="29"/>
      <c r="F23" s="368"/>
      <c r="G23" s="195"/>
      <c r="H23" s="196"/>
      <c r="I23" s="195"/>
      <c r="J23" s="195"/>
      <c r="K23" s="195"/>
      <c r="Z23" s="274">
        <v>3</v>
      </c>
      <c r="AA23" s="724" t="s">
        <v>452</v>
      </c>
      <c r="AE23" s="280"/>
      <c r="AF23" s="281"/>
    </row>
    <row r="24" spans="2:32" ht="18" thickTop="1" thickBot="1" x14ac:dyDescent="0.35">
      <c r="B24" s="739"/>
      <c r="C24" s="739"/>
      <c r="D24" s="29"/>
      <c r="F24" s="364" t="s">
        <v>247</v>
      </c>
      <c r="G24" s="750" t="s">
        <v>485</v>
      </c>
      <c r="H24" s="751"/>
      <c r="I24" s="751"/>
      <c r="J24" s="751"/>
      <c r="K24" s="752"/>
      <c r="Z24" s="274">
        <v>4</v>
      </c>
      <c r="AA24" s="724" t="s">
        <v>453</v>
      </c>
      <c r="AE24" s="280"/>
      <c r="AF24" s="281"/>
    </row>
    <row r="25" spans="2:32" ht="17.25" thickBot="1" x14ac:dyDescent="0.35">
      <c r="B25" s="29"/>
      <c r="C25" s="362"/>
      <c r="D25" s="29"/>
      <c r="F25" s="368"/>
      <c r="G25" s="195"/>
      <c r="H25" s="196"/>
      <c r="I25" s="195"/>
      <c r="J25" s="195"/>
      <c r="K25" s="195"/>
      <c r="Z25" s="274">
        <v>5</v>
      </c>
      <c r="AA25" s="427" t="s">
        <v>162</v>
      </c>
      <c r="AE25" s="280"/>
      <c r="AF25" s="281"/>
    </row>
    <row r="26" spans="2:32" ht="18" thickTop="1" thickBot="1" x14ac:dyDescent="0.35">
      <c r="B26" s="739"/>
      <c r="C26" s="739"/>
      <c r="D26" s="739"/>
      <c r="F26" s="364" t="s">
        <v>248</v>
      </c>
      <c r="G26" s="736" t="s">
        <v>486</v>
      </c>
      <c r="H26" s="737"/>
      <c r="I26" s="737"/>
      <c r="J26" s="737"/>
      <c r="K26" s="738"/>
      <c r="Z26" s="274">
        <v>6</v>
      </c>
      <c r="AA26" s="427" t="s">
        <v>163</v>
      </c>
      <c r="AE26" s="280"/>
      <c r="AF26" s="281"/>
    </row>
    <row r="27" spans="2:32" ht="17.25" thickBot="1" x14ac:dyDescent="0.35">
      <c r="B27" s="29"/>
      <c r="C27" s="362"/>
      <c r="D27" s="29"/>
      <c r="E27" s="363"/>
      <c r="F27" s="29"/>
      <c r="G27" s="29"/>
      <c r="H27" s="29"/>
      <c r="I27" s="29"/>
      <c r="J27" s="29"/>
      <c r="Z27" s="274">
        <v>7</v>
      </c>
      <c r="AA27" s="427" t="s">
        <v>276</v>
      </c>
      <c r="AE27" s="280"/>
      <c r="AF27" s="281"/>
    </row>
    <row r="28" spans="2:32" ht="18" thickTop="1" thickBot="1" x14ac:dyDescent="0.35">
      <c r="B28" s="29"/>
      <c r="C28" s="362"/>
      <c r="D28" s="29"/>
      <c r="E28" s="735" t="s">
        <v>376</v>
      </c>
      <c r="F28" s="735"/>
      <c r="G28" s="736">
        <v>2019</v>
      </c>
      <c r="H28" s="737"/>
      <c r="I28" s="737"/>
      <c r="J28" s="737"/>
      <c r="K28" s="738"/>
      <c r="Z28" s="274">
        <v>8</v>
      </c>
      <c r="AA28" s="427" t="s">
        <v>277</v>
      </c>
      <c r="AE28" s="280"/>
      <c r="AF28" s="281"/>
    </row>
    <row r="29" spans="2:32" ht="17.25" thickBot="1" x14ac:dyDescent="0.35">
      <c r="B29" s="29"/>
      <c r="C29" s="362"/>
      <c r="D29" s="29"/>
      <c r="E29" s="363"/>
      <c r="F29" s="29"/>
      <c r="G29" s="29"/>
      <c r="H29" s="29"/>
      <c r="I29" s="29"/>
      <c r="J29" s="29"/>
      <c r="Z29" s="274">
        <v>9</v>
      </c>
      <c r="AA29" s="427" t="s">
        <v>164</v>
      </c>
      <c r="AE29" s="280"/>
      <c r="AF29" s="281"/>
    </row>
    <row r="30" spans="2:32" ht="18" thickTop="1" thickBot="1" x14ac:dyDescent="0.35">
      <c r="B30" s="29"/>
      <c r="C30" s="362"/>
      <c r="D30" s="29"/>
      <c r="E30" s="735" t="s">
        <v>455</v>
      </c>
      <c r="F30" s="735"/>
      <c r="G30" s="736">
        <v>2018</v>
      </c>
      <c r="H30" s="737"/>
      <c r="I30" s="737"/>
      <c r="J30" s="737"/>
      <c r="K30" s="738"/>
      <c r="Z30" s="274">
        <v>10</v>
      </c>
      <c r="AA30" s="427" t="s">
        <v>165</v>
      </c>
      <c r="AE30" s="280"/>
      <c r="AF30" s="281"/>
    </row>
    <row r="31" spans="2:32" ht="17.25" thickBot="1" x14ac:dyDescent="0.35">
      <c r="B31" s="29"/>
      <c r="C31" s="362"/>
      <c r="D31" s="29"/>
      <c r="E31" s="363"/>
      <c r="F31" s="29"/>
      <c r="G31" s="29"/>
      <c r="H31" s="29"/>
      <c r="I31" s="29"/>
      <c r="J31" s="29"/>
      <c r="Z31" s="274">
        <v>11</v>
      </c>
      <c r="AA31" s="427" t="s">
        <v>284</v>
      </c>
      <c r="AE31" s="280"/>
      <c r="AF31" s="281"/>
    </row>
    <row r="32" spans="2:32" ht="18" thickTop="1" thickBot="1" x14ac:dyDescent="0.35">
      <c r="B32" s="29"/>
      <c r="C32" s="362"/>
      <c r="D32" s="29"/>
      <c r="E32" s="735" t="s">
        <v>456</v>
      </c>
      <c r="F32" s="735"/>
      <c r="G32" s="736">
        <v>2014</v>
      </c>
      <c r="H32" s="737"/>
      <c r="I32" s="737"/>
      <c r="J32" s="737"/>
      <c r="K32" s="738"/>
      <c r="Z32" s="274">
        <v>12</v>
      </c>
      <c r="AA32" s="427" t="s">
        <v>166</v>
      </c>
      <c r="AE32" s="280"/>
      <c r="AF32" s="281"/>
    </row>
    <row r="33" spans="1:32" ht="16.5" x14ac:dyDescent="0.3">
      <c r="B33" s="29"/>
      <c r="C33" s="362"/>
      <c r="D33" s="29"/>
      <c r="E33" s="363"/>
      <c r="F33" s="29"/>
      <c r="G33" s="29"/>
      <c r="H33" s="29"/>
      <c r="I33" s="29"/>
      <c r="J33" s="29"/>
      <c r="Z33" s="274">
        <v>13</v>
      </c>
      <c r="AA33" s="427" t="s">
        <v>167</v>
      </c>
      <c r="AE33" s="280"/>
      <c r="AF33" s="281"/>
    </row>
    <row r="34" spans="1:32" ht="16.5" x14ac:dyDescent="0.3">
      <c r="B34" s="29"/>
      <c r="C34" s="362"/>
      <c r="D34" s="29"/>
      <c r="E34" s="363"/>
      <c r="F34" s="29"/>
      <c r="G34" s="29"/>
      <c r="H34" s="29"/>
      <c r="I34" s="29"/>
      <c r="J34" s="29"/>
      <c r="Z34" s="274">
        <v>14</v>
      </c>
      <c r="AA34" s="427" t="s">
        <v>435</v>
      </c>
      <c r="AE34" s="280"/>
      <c r="AF34" s="281"/>
    </row>
    <row r="35" spans="1:32" ht="16.5" x14ac:dyDescent="0.3">
      <c r="B35" s="29"/>
      <c r="C35" s="362"/>
      <c r="D35" s="29"/>
      <c r="E35" s="363"/>
      <c r="F35" s="29"/>
      <c r="G35" s="29"/>
      <c r="H35" s="29"/>
      <c r="I35" s="29"/>
      <c r="J35" s="29"/>
      <c r="Z35" s="274">
        <v>15</v>
      </c>
      <c r="AA35" s="427" t="s">
        <v>168</v>
      </c>
      <c r="AE35" s="280"/>
      <c r="AF35" s="281"/>
    </row>
    <row r="36" spans="1:32" ht="16.5" x14ac:dyDescent="0.3">
      <c r="B36" s="739"/>
      <c r="C36" s="739"/>
      <c r="D36" s="739"/>
      <c r="E36" s="742"/>
      <c r="F36" s="743"/>
      <c r="G36" s="743"/>
      <c r="H36" s="743"/>
      <c r="I36" s="743"/>
      <c r="J36" s="743"/>
      <c r="Z36" s="274">
        <v>16</v>
      </c>
      <c r="AA36" s="427" t="s">
        <v>169</v>
      </c>
      <c r="AE36" s="280"/>
      <c r="AF36" s="281"/>
    </row>
    <row r="37" spans="1:32" ht="59.25" customHeight="1" x14ac:dyDescent="0.25">
      <c r="A37" s="753" t="s">
        <v>444</v>
      </c>
      <c r="B37" s="753"/>
      <c r="C37" s="753"/>
      <c r="D37" s="753"/>
      <c r="E37" s="753"/>
      <c r="F37" s="753"/>
      <c r="G37" s="753"/>
      <c r="H37" s="753"/>
      <c r="I37" s="753"/>
      <c r="J37" s="753"/>
      <c r="K37" s="753"/>
      <c r="L37" s="753"/>
      <c r="M37" s="753"/>
      <c r="N37" s="753"/>
      <c r="O37" s="753"/>
      <c r="P37" s="753"/>
      <c r="Q37" s="753"/>
      <c r="Z37" s="274">
        <v>17</v>
      </c>
      <c r="AA37" s="427" t="s">
        <v>433</v>
      </c>
      <c r="AE37" s="280"/>
      <c r="AF37" s="281"/>
    </row>
    <row r="38" spans="1:32" ht="9" customHeight="1" x14ac:dyDescent="0.25">
      <c r="Z38" s="274">
        <v>18</v>
      </c>
      <c r="AA38" s="264" t="s">
        <v>249</v>
      </c>
      <c r="AE38" s="280"/>
      <c r="AF38" s="281"/>
    </row>
    <row r="39" spans="1:32" ht="9" customHeight="1" x14ac:dyDescent="0.25">
      <c r="Z39" s="274">
        <v>19</v>
      </c>
      <c r="AA39" s="427" t="s">
        <v>170</v>
      </c>
      <c r="AE39" s="280"/>
      <c r="AF39" s="281"/>
    </row>
    <row r="40" spans="1:32" ht="15" x14ac:dyDescent="0.25">
      <c r="Z40" s="274">
        <v>20</v>
      </c>
      <c r="AA40" s="427" t="s">
        <v>278</v>
      </c>
      <c r="AE40" s="280"/>
      <c r="AF40" s="281"/>
    </row>
    <row r="41" spans="1:32" ht="15" x14ac:dyDescent="0.25">
      <c r="Z41" s="274">
        <v>21</v>
      </c>
      <c r="AA41" s="427" t="s">
        <v>171</v>
      </c>
      <c r="AE41" s="280"/>
      <c r="AF41" s="281"/>
    </row>
    <row r="42" spans="1:32" ht="15" x14ac:dyDescent="0.25">
      <c r="Z42" s="274">
        <v>22</v>
      </c>
      <c r="AA42" s="427" t="s">
        <v>172</v>
      </c>
      <c r="AE42" s="280"/>
      <c r="AF42" s="281"/>
    </row>
    <row r="43" spans="1:32" ht="15" x14ac:dyDescent="0.25">
      <c r="B43" s="740"/>
      <c r="C43" s="740"/>
      <c r="D43" s="740"/>
      <c r="E43" s="740"/>
      <c r="F43" s="740"/>
      <c r="G43" s="740"/>
      <c r="H43" s="740"/>
      <c r="I43" s="740"/>
      <c r="J43" s="740"/>
      <c r="K43" s="740"/>
      <c r="L43" s="740"/>
      <c r="Z43" s="274">
        <v>23</v>
      </c>
      <c r="AA43" s="427" t="s">
        <v>173</v>
      </c>
      <c r="AE43" s="280"/>
      <c r="AF43" s="281"/>
    </row>
    <row r="44" spans="1:32" ht="15" x14ac:dyDescent="0.25">
      <c r="B44" s="740"/>
      <c r="C44" s="740"/>
      <c r="D44" s="740"/>
      <c r="E44" s="740"/>
      <c r="F44" s="740"/>
      <c r="G44" s="740"/>
      <c r="H44" s="740"/>
      <c r="I44" s="740"/>
      <c r="J44" s="740"/>
      <c r="K44" s="740"/>
      <c r="L44" s="740"/>
      <c r="Z44" s="274">
        <v>24</v>
      </c>
      <c r="AA44" s="427" t="s">
        <v>205</v>
      </c>
      <c r="AE44" s="280"/>
      <c r="AF44" s="281"/>
    </row>
    <row r="45" spans="1:32" ht="15" x14ac:dyDescent="0.25">
      <c r="B45" s="740"/>
      <c r="C45" s="740"/>
      <c r="D45" s="740"/>
      <c r="E45" s="740"/>
      <c r="F45" s="740"/>
      <c r="G45" s="740"/>
      <c r="H45" s="740"/>
      <c r="I45" s="740"/>
      <c r="J45" s="740"/>
      <c r="K45" s="740"/>
      <c r="L45" s="740"/>
      <c r="Z45" s="274">
        <v>25</v>
      </c>
      <c r="AA45" s="427" t="s">
        <v>174</v>
      </c>
      <c r="AE45" s="280"/>
      <c r="AF45" s="281"/>
    </row>
    <row r="46" spans="1:32" ht="15" x14ac:dyDescent="0.25">
      <c r="B46" s="740"/>
      <c r="C46" s="740"/>
      <c r="D46" s="740"/>
      <c r="E46" s="740"/>
      <c r="F46" s="740"/>
      <c r="G46" s="740"/>
      <c r="H46" s="740"/>
      <c r="I46" s="740"/>
      <c r="J46" s="740"/>
      <c r="K46" s="740"/>
      <c r="L46" s="740"/>
      <c r="Z46" s="274">
        <v>26</v>
      </c>
      <c r="AA46" s="427" t="s">
        <v>206</v>
      </c>
      <c r="AE46" s="280"/>
      <c r="AF46" s="281"/>
    </row>
    <row r="47" spans="1:32" ht="15" x14ac:dyDescent="0.25">
      <c r="B47" s="740"/>
      <c r="C47" s="740"/>
      <c r="D47" s="740"/>
      <c r="E47" s="740"/>
      <c r="F47" s="740"/>
      <c r="G47" s="740"/>
      <c r="H47" s="740"/>
      <c r="I47" s="740"/>
      <c r="J47" s="740"/>
      <c r="K47" s="740"/>
      <c r="L47" s="740"/>
      <c r="Z47" s="274">
        <v>27</v>
      </c>
      <c r="AA47" s="427" t="s">
        <v>207</v>
      </c>
      <c r="AE47" s="280"/>
      <c r="AF47" s="281"/>
    </row>
    <row r="48" spans="1:32" ht="15" x14ac:dyDescent="0.25">
      <c r="B48" s="740"/>
      <c r="C48" s="740"/>
      <c r="D48" s="740"/>
      <c r="E48" s="740"/>
      <c r="F48" s="740"/>
      <c r="G48" s="740"/>
      <c r="H48" s="740"/>
      <c r="I48" s="740"/>
      <c r="J48" s="740"/>
      <c r="K48" s="740"/>
      <c r="L48" s="740"/>
      <c r="Z48" s="274">
        <v>28</v>
      </c>
      <c r="AA48" s="427" t="s">
        <v>175</v>
      </c>
      <c r="AE48" s="280"/>
      <c r="AF48" s="281"/>
    </row>
    <row r="49" spans="2:32" ht="15" x14ac:dyDescent="0.25">
      <c r="B49" s="740"/>
      <c r="C49" s="740"/>
      <c r="D49" s="740"/>
      <c r="E49" s="740"/>
      <c r="F49" s="740"/>
      <c r="G49" s="740"/>
      <c r="H49" s="740"/>
      <c r="I49" s="740"/>
      <c r="J49" s="740"/>
      <c r="K49" s="740"/>
      <c r="L49" s="740"/>
      <c r="Z49" s="274">
        <v>29</v>
      </c>
      <c r="AA49" s="427" t="s">
        <v>176</v>
      </c>
      <c r="AE49" s="280"/>
      <c r="AF49" s="281"/>
    </row>
    <row r="50" spans="2:32" ht="15" x14ac:dyDescent="0.25">
      <c r="Z50" s="274">
        <v>30</v>
      </c>
      <c r="AA50" s="264" t="s">
        <v>279</v>
      </c>
      <c r="AE50" s="280"/>
      <c r="AF50" s="281"/>
    </row>
    <row r="51" spans="2:32" ht="15" x14ac:dyDescent="0.25">
      <c r="Z51" s="274">
        <v>31</v>
      </c>
      <c r="AA51" s="427" t="s">
        <v>177</v>
      </c>
      <c r="AE51" s="280"/>
      <c r="AF51" s="281"/>
    </row>
    <row r="52" spans="2:32" ht="15" x14ac:dyDescent="0.25">
      <c r="Z52" s="274">
        <v>32</v>
      </c>
      <c r="AA52" s="427" t="s">
        <v>178</v>
      </c>
      <c r="AE52" s="280"/>
      <c r="AF52" s="281"/>
    </row>
    <row r="53" spans="2:32" ht="15" x14ac:dyDescent="0.25">
      <c r="Z53" s="274">
        <v>33</v>
      </c>
      <c r="AA53" s="427" t="s">
        <v>250</v>
      </c>
      <c r="AE53" s="280"/>
      <c r="AF53" s="281"/>
    </row>
    <row r="54" spans="2:32" ht="15" x14ac:dyDescent="0.25">
      <c r="Z54" s="274">
        <v>34</v>
      </c>
      <c r="AA54" s="427" t="s">
        <v>447</v>
      </c>
      <c r="AE54" s="280"/>
      <c r="AF54" s="281"/>
    </row>
    <row r="55" spans="2:32" ht="15" x14ac:dyDescent="0.25">
      <c r="Z55" s="274">
        <v>35</v>
      </c>
      <c r="AA55" s="427" t="s">
        <v>449</v>
      </c>
      <c r="AE55" s="280"/>
      <c r="AF55" s="281"/>
    </row>
    <row r="56" spans="2:32" ht="15" x14ac:dyDescent="0.25">
      <c r="Z56" s="274">
        <v>36</v>
      </c>
      <c r="AA56" s="427" t="s">
        <v>448</v>
      </c>
      <c r="AE56" s="280"/>
      <c r="AF56" s="281"/>
    </row>
    <row r="57" spans="2:32" ht="15" x14ac:dyDescent="0.25">
      <c r="B57" s="282"/>
      <c r="C57" s="282"/>
      <c r="D57" s="282"/>
      <c r="Z57" s="274">
        <v>37</v>
      </c>
      <c r="AA57" s="427" t="s">
        <v>436</v>
      </c>
      <c r="AE57" s="280"/>
      <c r="AF57" s="281"/>
    </row>
    <row r="58" spans="2:32" ht="15" x14ac:dyDescent="0.25">
      <c r="Z58" s="274">
        <v>38</v>
      </c>
      <c r="AA58" s="427" t="s">
        <v>208</v>
      </c>
      <c r="AE58" s="280"/>
      <c r="AF58" s="281"/>
    </row>
    <row r="59" spans="2:32" ht="15" x14ac:dyDescent="0.25">
      <c r="Z59" s="274">
        <v>39</v>
      </c>
      <c r="AA59" s="427" t="s">
        <v>434</v>
      </c>
      <c r="AE59" s="280"/>
      <c r="AF59" s="281"/>
    </row>
    <row r="60" spans="2:32" ht="15" x14ac:dyDescent="0.25">
      <c r="Z60" s="274">
        <v>40</v>
      </c>
      <c r="AA60" s="427" t="s">
        <v>209</v>
      </c>
      <c r="AE60" s="280"/>
      <c r="AF60" s="281"/>
    </row>
    <row r="61" spans="2:32" ht="15" x14ac:dyDescent="0.25">
      <c r="Z61" s="274">
        <v>41</v>
      </c>
      <c r="AA61" s="427" t="s">
        <v>179</v>
      </c>
      <c r="AE61" s="280"/>
      <c r="AF61" s="281"/>
    </row>
    <row r="62" spans="2:32" ht="15" x14ac:dyDescent="0.25">
      <c r="Z62" s="274">
        <v>42</v>
      </c>
      <c r="AA62" s="427" t="s">
        <v>180</v>
      </c>
      <c r="AE62" s="280"/>
      <c r="AF62" s="281"/>
    </row>
    <row r="63" spans="2:32" ht="15" x14ac:dyDescent="0.25">
      <c r="Z63" s="274">
        <v>43</v>
      </c>
      <c r="AA63" s="427" t="s">
        <v>181</v>
      </c>
      <c r="AE63" s="280"/>
      <c r="AF63" s="281"/>
    </row>
    <row r="64" spans="2:32" ht="15" x14ac:dyDescent="0.25">
      <c r="Z64" s="274">
        <v>44</v>
      </c>
      <c r="AA64" s="427" t="s">
        <v>182</v>
      </c>
      <c r="AE64" s="280"/>
      <c r="AF64" s="281"/>
    </row>
    <row r="65" spans="26:32" ht="15" x14ac:dyDescent="0.25">
      <c r="Z65" s="274">
        <v>45</v>
      </c>
      <c r="AA65" s="427" t="s">
        <v>210</v>
      </c>
      <c r="AE65" s="280"/>
      <c r="AF65" s="281"/>
    </row>
    <row r="66" spans="26:32" ht="15" x14ac:dyDescent="0.25">
      <c r="Z66" s="274">
        <v>46</v>
      </c>
      <c r="AA66" s="427" t="s">
        <v>183</v>
      </c>
      <c r="AE66" s="280"/>
      <c r="AF66" s="281"/>
    </row>
    <row r="67" spans="26:32" ht="15" x14ac:dyDescent="0.25">
      <c r="Z67" s="274">
        <v>47</v>
      </c>
      <c r="AA67" s="427" t="s">
        <v>184</v>
      </c>
      <c r="AE67" s="280"/>
      <c r="AF67" s="281"/>
    </row>
    <row r="68" spans="26:32" ht="15" x14ac:dyDescent="0.25">
      <c r="Z68" s="274">
        <v>48</v>
      </c>
      <c r="AA68" s="427" t="s">
        <v>280</v>
      </c>
      <c r="AE68" s="280"/>
      <c r="AF68" s="281"/>
    </row>
    <row r="69" spans="26:32" ht="15" x14ac:dyDescent="0.25">
      <c r="Z69" s="274">
        <v>49</v>
      </c>
      <c r="AA69" s="427" t="s">
        <v>285</v>
      </c>
      <c r="AE69" s="280"/>
      <c r="AF69" s="281"/>
    </row>
    <row r="70" spans="26:32" x14ac:dyDescent="0.2">
      <c r="Z70" s="274">
        <v>50</v>
      </c>
      <c r="AA70" s="428" t="s">
        <v>251</v>
      </c>
      <c r="AE70" s="280"/>
      <c r="AF70" s="281"/>
    </row>
    <row r="71" spans="26:32" ht="15" x14ac:dyDescent="0.25">
      <c r="Z71" s="274">
        <v>51</v>
      </c>
      <c r="AA71" s="427" t="s">
        <v>185</v>
      </c>
      <c r="AE71" s="280"/>
      <c r="AF71" s="281"/>
    </row>
    <row r="72" spans="26:32" ht="15" x14ac:dyDescent="0.25">
      <c r="Z72" s="274">
        <v>52</v>
      </c>
      <c r="AA72" s="427" t="s">
        <v>186</v>
      </c>
      <c r="AE72" s="280"/>
      <c r="AF72" s="281"/>
    </row>
    <row r="73" spans="26:32" ht="15" x14ac:dyDescent="0.25">
      <c r="Z73" s="274">
        <v>53</v>
      </c>
      <c r="AA73" s="427" t="s">
        <v>187</v>
      </c>
      <c r="AE73" s="280"/>
      <c r="AF73" s="281"/>
    </row>
    <row r="74" spans="26:32" ht="15" x14ac:dyDescent="0.25">
      <c r="Z74" s="274">
        <v>54</v>
      </c>
      <c r="AA74" s="427" t="s">
        <v>281</v>
      </c>
      <c r="AE74" s="280"/>
      <c r="AF74" s="281"/>
    </row>
    <row r="75" spans="26:32" ht="15" x14ac:dyDescent="0.25">
      <c r="Z75" s="274">
        <v>55</v>
      </c>
      <c r="AA75" s="427" t="s">
        <v>188</v>
      </c>
      <c r="AE75" s="280"/>
      <c r="AF75" s="281"/>
    </row>
    <row r="76" spans="26:32" ht="12.75" customHeight="1" x14ac:dyDescent="0.25">
      <c r="Z76" s="274">
        <v>56</v>
      </c>
      <c r="AA76" s="427" t="s">
        <v>282</v>
      </c>
      <c r="AE76" s="280"/>
      <c r="AF76" s="281"/>
    </row>
    <row r="77" spans="26:32" ht="12.75" customHeight="1" x14ac:dyDescent="0.25">
      <c r="Z77" s="274">
        <v>57</v>
      </c>
      <c r="AA77" s="427" t="s">
        <v>189</v>
      </c>
      <c r="AE77" s="280"/>
      <c r="AF77" s="281"/>
    </row>
    <row r="78" spans="26:32" ht="15" customHeight="1" x14ac:dyDescent="0.25">
      <c r="Z78" s="274">
        <v>58</v>
      </c>
      <c r="AA78" s="427" t="s">
        <v>190</v>
      </c>
      <c r="AE78" s="280"/>
      <c r="AF78" s="281"/>
    </row>
    <row r="79" spans="26:32" ht="15" x14ac:dyDescent="0.25">
      <c r="Z79" s="274">
        <v>59</v>
      </c>
      <c r="AA79" s="427" t="s">
        <v>283</v>
      </c>
      <c r="AE79" s="280"/>
      <c r="AF79" s="281"/>
    </row>
    <row r="80" spans="26:32" ht="15" x14ac:dyDescent="0.25">
      <c r="Z80" s="274">
        <v>60</v>
      </c>
      <c r="AA80" s="427" t="s">
        <v>191</v>
      </c>
      <c r="AE80" s="280"/>
      <c r="AF80" s="281"/>
    </row>
    <row r="81" spans="26:32" ht="15" x14ac:dyDescent="0.25">
      <c r="Z81" s="274">
        <v>61</v>
      </c>
      <c r="AA81" s="427" t="s">
        <v>192</v>
      </c>
      <c r="AE81" s="280"/>
      <c r="AF81" s="281"/>
    </row>
    <row r="82" spans="26:32" ht="12.75" customHeight="1" x14ac:dyDescent="0.25">
      <c r="Z82" s="274">
        <v>62</v>
      </c>
      <c r="AA82" s="427" t="s">
        <v>193</v>
      </c>
      <c r="AE82" s="280"/>
      <c r="AF82" s="281"/>
    </row>
    <row r="83" spans="26:32" ht="12.75" customHeight="1" x14ac:dyDescent="0.25">
      <c r="Z83" s="274">
        <v>63</v>
      </c>
      <c r="AA83" s="427" t="s">
        <v>194</v>
      </c>
      <c r="AE83" s="280"/>
      <c r="AF83" s="281"/>
    </row>
    <row r="84" spans="26:32" ht="15" x14ac:dyDescent="0.25">
      <c r="Z84" s="274">
        <v>64</v>
      </c>
      <c r="AA84" s="427" t="s">
        <v>195</v>
      </c>
      <c r="AE84" s="280"/>
      <c r="AF84" s="281"/>
    </row>
    <row r="85" spans="26:32" ht="15" x14ac:dyDescent="0.25">
      <c r="Z85" s="274">
        <v>65</v>
      </c>
      <c r="AA85" s="427" t="s">
        <v>196</v>
      </c>
      <c r="AE85" s="280"/>
      <c r="AF85" s="281"/>
    </row>
    <row r="86" spans="26:32" ht="15" x14ac:dyDescent="0.25">
      <c r="Z86" s="274">
        <v>66</v>
      </c>
      <c r="AA86" s="427" t="s">
        <v>197</v>
      </c>
      <c r="AE86" s="280"/>
      <c r="AF86" s="281"/>
    </row>
    <row r="87" spans="26:32" ht="15" x14ac:dyDescent="0.25">
      <c r="Z87" s="274">
        <v>67</v>
      </c>
      <c r="AA87" s="427" t="s">
        <v>211</v>
      </c>
      <c r="AE87" s="280"/>
      <c r="AF87" s="281"/>
    </row>
    <row r="88" spans="26:32" ht="15" x14ac:dyDescent="0.25">
      <c r="Z88" s="274">
        <v>68</v>
      </c>
      <c r="AA88" s="427" t="s">
        <v>198</v>
      </c>
      <c r="AE88" s="280"/>
      <c r="AF88" s="281"/>
    </row>
    <row r="89" spans="26:32" ht="15" x14ac:dyDescent="0.25">
      <c r="Z89" s="274">
        <v>69</v>
      </c>
      <c r="AA89" s="427" t="s">
        <v>199</v>
      </c>
      <c r="AE89" s="280"/>
      <c r="AF89" s="281"/>
    </row>
    <row r="90" spans="26:32" ht="15" x14ac:dyDescent="0.25">
      <c r="Z90" s="274">
        <v>70</v>
      </c>
      <c r="AA90" s="427" t="s">
        <v>200</v>
      </c>
      <c r="AE90" s="280"/>
      <c r="AF90" s="281"/>
    </row>
    <row r="91" spans="26:32" ht="15" x14ac:dyDescent="0.25">
      <c r="Z91" s="274">
        <v>71</v>
      </c>
      <c r="AA91" s="427" t="s">
        <v>437</v>
      </c>
      <c r="AE91" s="280"/>
      <c r="AF91" s="281"/>
    </row>
    <row r="92" spans="26:32" ht="15" x14ac:dyDescent="0.25">
      <c r="Z92" s="274">
        <v>72</v>
      </c>
      <c r="AA92" s="427" t="s">
        <v>201</v>
      </c>
      <c r="AE92" s="280"/>
      <c r="AF92" s="281"/>
    </row>
    <row r="93" spans="26:32" ht="15" x14ac:dyDescent="0.25">
      <c r="Z93" s="274">
        <v>73</v>
      </c>
      <c r="AA93" s="427" t="s">
        <v>202</v>
      </c>
      <c r="AE93" s="280"/>
      <c r="AF93" s="281"/>
    </row>
    <row r="94" spans="26:32" ht="15" x14ac:dyDescent="0.25">
      <c r="Z94" s="274">
        <v>74</v>
      </c>
      <c r="AA94" s="427" t="s">
        <v>203</v>
      </c>
      <c r="AE94" s="281"/>
      <c r="AF94" s="281"/>
    </row>
    <row r="95" spans="26:32" ht="15" x14ac:dyDescent="0.25">
      <c r="Z95" s="274">
        <v>75</v>
      </c>
      <c r="AA95" s="427" t="s">
        <v>204</v>
      </c>
      <c r="AE95" s="281"/>
      <c r="AF95" s="281"/>
    </row>
    <row r="96" spans="26:32" x14ac:dyDescent="0.2">
      <c r="AE96" s="281"/>
      <c r="AF96" s="281"/>
    </row>
    <row r="97" spans="27:32" ht="15" x14ac:dyDescent="0.25">
      <c r="AA97" s="427"/>
      <c r="AE97" s="281"/>
      <c r="AF97" s="281"/>
    </row>
    <row r="98" spans="27:32" ht="15" x14ac:dyDescent="0.25">
      <c r="AA98" s="427"/>
      <c r="AE98" s="281"/>
      <c r="AF98" s="281"/>
    </row>
    <row r="99" spans="27:32" x14ac:dyDescent="0.2">
      <c r="AA99" s="382"/>
      <c r="AE99" s="281"/>
      <c r="AF99" s="281"/>
    </row>
    <row r="100" spans="27:32" x14ac:dyDescent="0.2">
      <c r="AA100" s="382"/>
      <c r="AE100" s="281"/>
      <c r="AF100" s="281"/>
    </row>
    <row r="101" spans="27:32" ht="15" x14ac:dyDescent="0.25">
      <c r="AA101" s="427"/>
      <c r="AE101" s="281"/>
      <c r="AF101" s="281"/>
    </row>
    <row r="102" spans="27:32" x14ac:dyDescent="0.2">
      <c r="AA102" s="415"/>
      <c r="AE102" s="281"/>
      <c r="AF102" s="281"/>
    </row>
    <row r="103" spans="27:32" ht="15" x14ac:dyDescent="0.25">
      <c r="AA103" s="427"/>
      <c r="AE103" s="281"/>
      <c r="AF103" s="281"/>
    </row>
    <row r="104" spans="27:32" ht="15" x14ac:dyDescent="0.25">
      <c r="AA104" s="427"/>
      <c r="AE104" s="281"/>
      <c r="AF104" s="281"/>
    </row>
    <row r="105" spans="27:32" ht="15" x14ac:dyDescent="0.25">
      <c r="AA105" s="427"/>
      <c r="AE105" s="281"/>
      <c r="AF105" s="281"/>
    </row>
    <row r="106" spans="27:32" ht="15" x14ac:dyDescent="0.25">
      <c r="AA106" s="427"/>
      <c r="AE106" s="281"/>
      <c r="AF106" s="281"/>
    </row>
    <row r="107" spans="27:32" ht="15" x14ac:dyDescent="0.25">
      <c r="AA107" s="427"/>
      <c r="AB107" s="279"/>
      <c r="AE107" s="281"/>
      <c r="AF107" s="281"/>
    </row>
    <row r="108" spans="27:32" x14ac:dyDescent="0.2">
      <c r="AB108" s="279"/>
      <c r="AE108" s="281"/>
      <c r="AF108" s="281"/>
    </row>
    <row r="109" spans="27:32" x14ac:dyDescent="0.2">
      <c r="AB109" s="279"/>
      <c r="AE109" s="281"/>
      <c r="AF109" s="281"/>
    </row>
    <row r="110" spans="27:32" x14ac:dyDescent="0.2">
      <c r="AB110" s="279"/>
      <c r="AE110" s="281"/>
      <c r="AF110" s="281"/>
    </row>
    <row r="111" spans="27:32" ht="15" customHeight="1" x14ac:dyDescent="0.2">
      <c r="AB111" s="279"/>
      <c r="AE111" s="281"/>
      <c r="AF111" s="281"/>
    </row>
    <row r="112" spans="27:32" ht="15" customHeight="1" x14ac:dyDescent="0.2">
      <c r="AB112" s="279"/>
      <c r="AE112" s="281"/>
      <c r="AF112" s="281"/>
    </row>
    <row r="113" spans="28:32" x14ac:dyDescent="0.2">
      <c r="AB113" s="279"/>
      <c r="AE113" s="281"/>
      <c r="AF113" s="281"/>
    </row>
    <row r="114" spans="28:32" ht="15" customHeight="1" x14ac:dyDescent="0.2">
      <c r="AB114" s="279"/>
      <c r="AE114" s="281"/>
      <c r="AF114" s="281"/>
    </row>
    <row r="115" spans="28:32" x14ac:dyDescent="0.2">
      <c r="AB115" s="279"/>
      <c r="AE115" s="281"/>
      <c r="AF115" s="281"/>
    </row>
  </sheetData>
  <sheetProtection algorithmName="SHA-512" hashValue="ijz8qE/q5Zuxh+X/sa2npv3GNnMnyOGhsdJ9rStw2q6WQFGYZT3F4qRnPxujQtB+UxKNna85lyrAUi2hINFnwg==" saltValue="+4RaA3qUzxEy0Qm8mDkshg==" spinCount="100000" sheet="1" objects="1" scenarios="1"/>
  <sortState ref="AA21:AA108">
    <sortCondition ref="AA108"/>
  </sortState>
  <mergeCells count="21">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 ref="E30:F30"/>
    <mergeCell ref="E32:F32"/>
    <mergeCell ref="G28:K28"/>
    <mergeCell ref="G30:K30"/>
    <mergeCell ref="G32:K32"/>
  </mergeCells>
  <phoneticPr fontId="30" type="noConversion"/>
  <conditionalFormatting sqref="E22:J22 E24:J24 E26:J26 E36:J36">
    <cfRule type="cellIs" dxfId="91" priority="5" stopIfTrue="1" operator="notEqual">
      <formula>""</formula>
    </cfRule>
  </conditionalFormatting>
  <conditionalFormatting sqref="G32:J32">
    <cfRule type="cellIs" dxfId="90" priority="1" stopIfTrue="1" operator="notEqual">
      <formula>""</formula>
    </cfRule>
  </conditionalFormatting>
  <conditionalFormatting sqref="G28:J28">
    <cfRule type="cellIs" dxfId="89" priority="3" stopIfTrue="1" operator="notEqual">
      <formula>""</formula>
    </cfRule>
  </conditionalFormatting>
  <conditionalFormatting sqref="G30:J30">
    <cfRule type="cellIs" dxfId="88"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$AA$21:$AA$95</formula1>
    </dataValidation>
  </dataValidations>
  <pageMargins left="0.75" right="0.75" top="1" bottom="1" header="0.5" footer="0.5"/>
  <pageSetup scale="78" orientation="landscape"/>
  <headerFooter alignWithMargins="0"/>
  <colBreaks count="1" manualBreakCount="1">
    <brk id="17"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1:U57"/>
  <sheetViews>
    <sheetView showGridLines="0" zoomScaleNormal="100" zoomScaleSheetLayoutView="100" workbookViewId="0">
      <selection activeCell="J31" sqref="J31"/>
    </sheetView>
  </sheetViews>
  <sheetFormatPr defaultColWidth="9.140625"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4.5703125" style="5" customWidth="1"/>
    <col min="9" max="9" width="1.7109375" style="5" customWidth="1"/>
    <col min="10" max="10" width="18.7109375" style="5" customWidth="1"/>
    <col min="11" max="11" width="1.140625" style="5" customWidth="1"/>
    <col min="12" max="12" width="6.28515625" style="5" customWidth="1"/>
    <col min="13" max="13" width="1.140625" style="5" customWidth="1"/>
    <col min="14" max="14" width="6.7109375" style="5" customWidth="1"/>
    <col min="15" max="15" width="12.7109375" style="5" customWidth="1"/>
    <col min="16" max="16" width="1.140625" style="5" customWidth="1"/>
    <col min="17" max="17" width="6.42578125" style="5" customWidth="1"/>
    <col min="18" max="18" width="2.140625" style="5" customWidth="1"/>
    <col min="19" max="16384" width="9.140625" style="5"/>
  </cols>
  <sheetData>
    <row r="1" spans="2:18" s="2" customFormat="1" ht="21.75" x14ac:dyDescent="0.2">
      <c r="C1" s="763"/>
      <c r="D1" s="763"/>
      <c r="E1" s="763"/>
      <c r="F1" s="763"/>
      <c r="G1" s="763"/>
      <c r="H1" s="763"/>
      <c r="I1" s="763"/>
      <c r="J1" s="763"/>
      <c r="K1" s="763"/>
      <c r="L1" s="763"/>
      <c r="M1" s="763"/>
      <c r="N1" s="763"/>
      <c r="O1" s="830"/>
      <c r="P1" s="830"/>
      <c r="Q1" s="830"/>
      <c r="R1" s="1"/>
    </row>
    <row r="2" spans="2:18" s="2" customFormat="1" ht="18" x14ac:dyDescent="0.25">
      <c r="C2" s="815"/>
      <c r="D2" s="815"/>
      <c r="E2" s="815"/>
      <c r="F2" s="815"/>
      <c r="G2" s="815"/>
      <c r="H2" s="815"/>
      <c r="I2" s="815"/>
      <c r="J2" s="815"/>
      <c r="K2" s="815"/>
      <c r="L2" s="815"/>
      <c r="M2" s="815"/>
      <c r="N2" s="815"/>
      <c r="O2" s="815"/>
      <c r="P2" s="815"/>
      <c r="Q2" s="815"/>
      <c r="R2" s="815"/>
    </row>
    <row r="3" spans="2:18" s="2" customFormat="1" ht="18" x14ac:dyDescent="0.25">
      <c r="C3" s="815"/>
      <c r="D3" s="815"/>
      <c r="E3" s="815"/>
      <c r="F3" s="815"/>
      <c r="G3" s="815"/>
      <c r="H3" s="815"/>
      <c r="I3" s="815"/>
      <c r="J3" s="815"/>
      <c r="K3" s="815"/>
      <c r="L3" s="815"/>
      <c r="M3" s="815"/>
      <c r="N3" s="815"/>
      <c r="O3" s="815"/>
      <c r="P3" s="815"/>
      <c r="Q3" s="815"/>
      <c r="R3" s="815"/>
    </row>
    <row r="4" spans="2:18" s="2" customFormat="1" ht="18" x14ac:dyDescent="0.25">
      <c r="C4" s="815"/>
      <c r="D4" s="815"/>
      <c r="E4" s="815"/>
      <c r="F4" s="815"/>
      <c r="G4" s="815"/>
      <c r="H4" s="815"/>
      <c r="I4" s="815"/>
      <c r="J4" s="815"/>
      <c r="K4" s="815"/>
      <c r="L4" s="815"/>
      <c r="M4" s="815"/>
      <c r="N4" s="815"/>
      <c r="O4" s="37"/>
      <c r="P4" s="37"/>
      <c r="Q4" s="37"/>
      <c r="R4" s="37"/>
    </row>
    <row r="5" spans="2:18" s="2" customFormat="1" ht="15.75" x14ac:dyDescent="0.25">
      <c r="E5" s="3"/>
      <c r="F5" s="3"/>
      <c r="G5" s="3"/>
    </row>
    <row r="6" spans="2:18" s="2" customFormat="1" x14ac:dyDescent="0.2"/>
    <row r="8" spans="2:18" ht="15.75" x14ac:dyDescent="0.2">
      <c r="D8" s="24"/>
      <c r="F8" s="842"/>
      <c r="G8" s="842"/>
      <c r="H8" s="842"/>
      <c r="I8" s="842"/>
      <c r="J8" s="842"/>
      <c r="K8" s="842"/>
      <c r="L8" s="842"/>
      <c r="M8" s="842"/>
      <c r="N8" s="842"/>
      <c r="O8" s="842"/>
      <c r="P8" s="39"/>
      <c r="Q8" s="38"/>
    </row>
    <row r="9" spans="2:18" ht="13.5" customHeight="1" x14ac:dyDescent="0.2">
      <c r="F9" s="39"/>
      <c r="G9" s="39"/>
      <c r="H9" s="39"/>
      <c r="I9" s="39"/>
      <c r="J9" s="39"/>
      <c r="K9" s="39"/>
      <c r="L9" s="39"/>
      <c r="M9" s="39"/>
      <c r="N9" s="39"/>
      <c r="O9" s="39"/>
      <c r="P9" s="39"/>
      <c r="Q9" s="38"/>
    </row>
    <row r="10" spans="2:18" ht="18" customHeight="1" x14ac:dyDescent="0.2">
      <c r="F10" s="39"/>
      <c r="G10" s="39"/>
      <c r="H10" s="39"/>
      <c r="I10" s="39"/>
      <c r="J10" s="39"/>
      <c r="K10" s="39"/>
      <c r="L10" s="39"/>
      <c r="M10" s="39"/>
      <c r="N10" s="39"/>
      <c r="O10" s="39"/>
      <c r="P10" s="39"/>
      <c r="Q10" s="38"/>
    </row>
    <row r="11" spans="2:18" ht="13.5" customHeight="1" x14ac:dyDescent="0.2">
      <c r="B11" s="370" t="s">
        <v>239</v>
      </c>
      <c r="F11" s="39"/>
      <c r="G11" s="39"/>
      <c r="H11" s="39"/>
      <c r="I11" s="39"/>
      <c r="J11" s="39"/>
      <c r="K11" s="39"/>
      <c r="L11" s="39"/>
      <c r="M11" s="39"/>
      <c r="N11" s="39"/>
      <c r="O11" s="39"/>
      <c r="P11" s="39"/>
      <c r="Q11" s="38"/>
    </row>
    <row r="12" spans="2:18" ht="13.5" customHeight="1" x14ac:dyDescent="0.2">
      <c r="F12" s="39"/>
      <c r="G12" s="39"/>
      <c r="H12" s="39"/>
      <c r="I12" s="39"/>
      <c r="J12" s="39"/>
      <c r="K12" s="39"/>
      <c r="L12" s="39"/>
      <c r="M12" s="39"/>
      <c r="N12" s="39"/>
      <c r="O12" s="39"/>
      <c r="P12" s="39"/>
      <c r="Q12" s="38"/>
    </row>
    <row r="13" spans="2:18" ht="39" customHeight="1" x14ac:dyDescent="0.2">
      <c r="B13" s="376" t="s">
        <v>37</v>
      </c>
      <c r="D13" s="41" t="s">
        <v>36</v>
      </c>
      <c r="F13" s="299" t="s">
        <v>23</v>
      </c>
      <c r="G13" s="300"/>
      <c r="H13" s="300"/>
      <c r="I13" s="300"/>
      <c r="J13" s="301" t="str">
        <f>IF(ISBLANK('3. Data_Input_Sheet'!M12),"",'3. Data_Input_Sheet'!M12)</f>
        <v>Settlement Agreement</v>
      </c>
      <c r="K13" s="300"/>
      <c r="L13" s="300"/>
      <c r="M13" s="300"/>
      <c r="N13" s="841" t="str">
        <f>'3. Data_Input_Sheet'!U12</f>
        <v>Per Board Decision</v>
      </c>
      <c r="O13" s="841"/>
      <c r="P13" s="141"/>
    </row>
    <row r="14" spans="2:18" ht="14.25" customHeight="1" x14ac:dyDescent="0.2">
      <c r="B14" s="379"/>
      <c r="D14" s="43"/>
      <c r="F14" s="43"/>
      <c r="G14" s="43"/>
      <c r="H14" s="43"/>
      <c r="I14" s="43"/>
      <c r="J14" s="43"/>
      <c r="K14" s="43"/>
      <c r="L14" s="43"/>
      <c r="M14" s="43"/>
      <c r="N14" s="827"/>
      <c r="O14" s="827"/>
      <c r="P14" s="43"/>
    </row>
    <row r="15" spans="2:18" x14ac:dyDescent="0.2">
      <c r="B15" s="343">
        <v>1</v>
      </c>
      <c r="D15" s="5" t="s">
        <v>140</v>
      </c>
      <c r="F15" s="44">
        <f>'5. Utility Income'!F22</f>
        <v>2974185.7497909409</v>
      </c>
      <c r="G15" s="44"/>
      <c r="H15" s="356"/>
      <c r="I15" s="182"/>
      <c r="J15" s="44">
        <f>'5. Utility Income'!N22</f>
        <v>2964765.1286075148</v>
      </c>
      <c r="K15" s="182"/>
      <c r="L15" s="356"/>
      <c r="M15" s="182"/>
      <c r="N15" s="839">
        <f>'5. Utility Income'!V22</f>
        <v>2964765.1286075148</v>
      </c>
      <c r="O15" s="840"/>
      <c r="P15" s="149"/>
      <c r="Q15" s="356"/>
    </row>
    <row r="16" spans="2:18" x14ac:dyDescent="0.2">
      <c r="B16" s="343">
        <v>2</v>
      </c>
      <c r="D16" s="5" t="s">
        <v>34</v>
      </c>
      <c r="F16" s="45">
        <f>'5. Utility Income'!F23</f>
        <v>1157365.0285484223</v>
      </c>
      <c r="G16" s="45"/>
      <c r="H16" s="356"/>
      <c r="I16" s="183"/>
      <c r="J16" s="170">
        <f>'5. Utility Income'!N23</f>
        <v>1128765.5757544751</v>
      </c>
      <c r="K16" s="183"/>
      <c r="L16" s="356"/>
      <c r="M16" s="183"/>
      <c r="N16" s="832">
        <f>'5. Utility Income'!V23</f>
        <v>1128765.5757544751</v>
      </c>
      <c r="O16" s="833"/>
      <c r="P16" s="146"/>
      <c r="Q16" s="356"/>
    </row>
    <row r="17" spans="2:21" ht="12.75" customHeight="1" x14ac:dyDescent="0.2">
      <c r="B17" s="343">
        <v>3</v>
      </c>
      <c r="D17" s="5" t="s">
        <v>45</v>
      </c>
      <c r="F17" s="45">
        <f>'5. Utility Income'!F24</f>
        <v>34954.80000000001</v>
      </c>
      <c r="G17" s="45"/>
      <c r="H17" s="356"/>
      <c r="I17" s="183"/>
      <c r="J17" s="170">
        <f>'5. Utility Income'!N24</f>
        <v>34954.80000000001</v>
      </c>
      <c r="K17" s="183"/>
      <c r="L17" s="356"/>
      <c r="M17" s="183"/>
      <c r="N17" s="832">
        <f>'5. Utility Income'!V24</f>
        <v>34954.80000000001</v>
      </c>
      <c r="O17" s="833"/>
      <c r="P17" s="146"/>
      <c r="Q17" s="356"/>
    </row>
    <row r="18" spans="2:21" s="169" customFormat="1" ht="0.75" customHeight="1" x14ac:dyDescent="0.2">
      <c r="B18" s="380">
        <v>4</v>
      </c>
      <c r="D18" s="169" t="inlineStr">
        <is>
          <t/>
        </is>
      </c>
      <c r="F18" s="317">
        <f>'6. Taxes_PILs'!G25</f>
        <v>0</v>
      </c>
      <c r="G18" s="317"/>
      <c r="H18" s="318"/>
      <c r="I18" s="319"/>
      <c r="J18" s="320">
        <f>'6. Taxes_PILs'!K25</f>
        <v>0</v>
      </c>
      <c r="K18" s="319"/>
      <c r="L18" s="318"/>
      <c r="M18" s="319"/>
      <c r="N18" s="834">
        <f>'6. Taxes_PILs'!O25</f>
        <v>0</v>
      </c>
      <c r="O18" s="835"/>
      <c r="P18" s="321"/>
      <c r="Q18" s="318"/>
    </row>
    <row r="19" spans="2:21" x14ac:dyDescent="0.2">
      <c r="B19" s="343">
        <v>5</v>
      </c>
      <c r="D19" s="5" t="s">
        <v>91</v>
      </c>
      <c r="F19" s="45">
        <f>'6. Taxes_PILs'!G33-F18</f>
        <v>109827.80949031486</v>
      </c>
      <c r="G19" s="45"/>
      <c r="H19" s="356"/>
      <c r="I19" s="183"/>
      <c r="J19" s="170">
        <f>'6. Taxes_PILs'!K33-J18</f>
        <v>95602.044140877304</v>
      </c>
      <c r="K19" s="183"/>
      <c r="L19" s="356"/>
      <c r="M19" s="183"/>
      <c r="N19" s="832">
        <f>'6. Taxes_PILs'!O33-N18</f>
        <v>95602.044140877304</v>
      </c>
      <c r="O19" s="833"/>
      <c r="P19" s="146"/>
      <c r="Q19" s="356"/>
    </row>
    <row r="20" spans="2:21" x14ac:dyDescent="0.2">
      <c r="B20" s="343">
        <v>6</v>
      </c>
      <c r="D20" s="5" t="s">
        <v>134</v>
      </c>
      <c r="F20" s="45">
        <f>'5. Utility Income'!F26</f>
        <v>0</v>
      </c>
      <c r="G20" s="45"/>
      <c r="H20" s="356"/>
      <c r="I20" s="183"/>
      <c r="J20" s="148" t="str">
        <f>'5. Utility Income'!N26</f>
        <v/>
      </c>
      <c r="K20" s="183"/>
      <c r="L20" s="356"/>
      <c r="M20" s="183"/>
      <c r="N20" s="831" t="str">
        <f>'5. Utility Income'!V26</f>
        <v/>
      </c>
      <c r="O20" s="831"/>
      <c r="P20" s="148"/>
      <c r="Q20" s="356"/>
    </row>
    <row r="21" spans="2:21" x14ac:dyDescent="0.2">
      <c r="B21" s="343">
        <v>7</v>
      </c>
      <c r="D21" s="5" t="s">
        <v>22</v>
      </c>
      <c r="F21" s="46"/>
      <c r="G21" s="46"/>
      <c r="H21" s="184"/>
      <c r="I21" s="184"/>
      <c r="J21" s="46"/>
      <c r="K21" s="184"/>
      <c r="L21" s="185"/>
      <c r="M21" s="184"/>
      <c r="N21" s="849"/>
      <c r="O21" s="850"/>
      <c r="P21" s="147"/>
      <c r="Q21" s="185"/>
    </row>
    <row r="22" spans="2:21" x14ac:dyDescent="0.2">
      <c r="B22" s="343"/>
      <c r="D22" s="373" t="s">
        <v>95</v>
      </c>
      <c r="F22" s="48">
        <f>'8. Rev_Def_Suff'!F25</f>
        <v>665901.24874385493</v>
      </c>
      <c r="G22" s="48"/>
      <c r="H22" s="356"/>
      <c r="I22" s="186"/>
      <c r="J22" s="48">
        <f>'8. Rev_Def_Suff'!L25</f>
        <v>710000.92996632401</v>
      </c>
      <c r="K22" s="186"/>
      <c r="L22" s="356"/>
      <c r="M22" s="186"/>
      <c r="N22" s="836">
        <f>'8. Rev_Def_Suff'!P25</f>
        <v>615480.39508646028</v>
      </c>
      <c r="O22" s="836"/>
      <c r="P22" s="145"/>
      <c r="Q22" s="356"/>
    </row>
    <row r="23" spans="2:21" x14ac:dyDescent="0.2">
      <c r="B23" s="343"/>
      <c r="D23" s="373" t="s">
        <v>254</v>
      </c>
      <c r="F23" s="48">
        <f>'8. Rev_Def_Suff'!F50</f>
        <v>1105128.3862612378</v>
      </c>
      <c r="G23" s="48"/>
      <c r="H23" s="356"/>
      <c r="I23" s="186"/>
      <c r="J23" s="48">
        <f>'8. Rev_Def_Suff'!L50</f>
        <v>1097007.630952785</v>
      </c>
      <c r="K23" s="186"/>
      <c r="L23" s="356"/>
      <c r="M23" s="186"/>
      <c r="N23" s="836">
        <f>'8. Rev_Def_Suff'!P50</f>
        <v>1021450.0379454438</v>
      </c>
      <c r="O23" s="836"/>
      <c r="P23" s="145"/>
      <c r="Q23" s="356"/>
    </row>
    <row r="24" spans="2:21" x14ac:dyDescent="0.2">
      <c r="B24" s="343"/>
      <c r="C24" s="15"/>
      <c r="D24" s="15"/>
      <c r="E24" s="15"/>
      <c r="F24" s="49"/>
      <c r="G24" s="47"/>
      <c r="H24" s="187"/>
      <c r="I24" s="187"/>
      <c r="J24" s="49"/>
      <c r="K24" s="187"/>
      <c r="L24" s="187"/>
      <c r="M24" s="187"/>
      <c r="N24" s="49"/>
      <c r="O24" s="50"/>
      <c r="P24" s="147"/>
      <c r="Q24" s="187"/>
      <c r="R24" s="15"/>
      <c r="S24" s="15"/>
      <c r="T24" s="15"/>
      <c r="U24" s="15"/>
    </row>
    <row r="25" spans="2:21" ht="26.25" thickBot="1" x14ac:dyDescent="0.25">
      <c r="B25" s="343">
        <v>8</v>
      </c>
      <c r="C25" s="15"/>
      <c r="D25" s="55" t="s">
        <v>231</v>
      </c>
      <c r="E25" s="15"/>
      <c r="F25" s="51">
        <f>SUM(F15:F23)</f>
        <v>6047363.0228347704</v>
      </c>
      <c r="G25" s="47"/>
      <c r="H25" s="356"/>
      <c r="I25" s="187"/>
      <c r="J25" s="51">
        <f>SUM(J15:J23)</f>
        <v>6031096.1094219759</v>
      </c>
      <c r="K25" s="187"/>
      <c r="L25" s="356"/>
      <c r="M25" s="187"/>
      <c r="N25" s="789">
        <f>SUM(N15:O23)</f>
        <v>5861017.9815347716</v>
      </c>
      <c r="O25" s="789"/>
      <c r="P25" s="48"/>
      <c r="Q25" s="356"/>
      <c r="R25" s="15"/>
      <c r="S25" s="15"/>
      <c r="T25" s="15"/>
      <c r="U25" s="15"/>
    </row>
    <row r="26" spans="2:21" ht="13.5" thickTop="1" x14ac:dyDescent="0.2">
      <c r="B26" s="343"/>
      <c r="C26" s="15"/>
      <c r="D26" s="27"/>
      <c r="E26" s="15"/>
      <c r="F26" s="47"/>
      <c r="G26" s="47"/>
      <c r="H26" s="181"/>
      <c r="I26" s="342"/>
      <c r="J26" s="106"/>
      <c r="K26" s="342"/>
      <c r="L26" s="181"/>
      <c r="M26" s="342"/>
      <c r="N26" s="145"/>
      <c r="O26" s="145"/>
      <c r="P26" s="145"/>
      <c r="Q26" s="181"/>
      <c r="R26" s="15"/>
      <c r="S26" s="15"/>
      <c r="T26" s="15"/>
      <c r="U26" s="15"/>
    </row>
    <row r="27" spans="2:21" x14ac:dyDescent="0.2">
      <c r="B27" s="343">
        <v>9</v>
      </c>
      <c r="C27" s="15"/>
      <c r="D27" s="27" t="s">
        <v>232</v>
      </c>
      <c r="E27" s="15"/>
      <c r="F27" s="54">
        <f>'3. Data_Input_Sheet'!E33</f>
        <v>502938.99582215952</v>
      </c>
      <c r="G27" s="47"/>
      <c r="H27" s="356"/>
      <c r="I27" s="187"/>
      <c r="J27" s="54">
        <f>'3. Data_Input_Sheet'!M33</f>
        <v>482447.49131242814</v>
      </c>
      <c r="K27" s="187"/>
      <c r="L27" s="356"/>
      <c r="M27" s="187"/>
      <c r="N27" s="797">
        <f>'3. Data_Input_Sheet'!U33</f>
        <v>0</v>
      </c>
      <c r="O27" s="797"/>
      <c r="P27" s="48"/>
      <c r="Q27" s="356"/>
      <c r="R27" s="15"/>
      <c r="S27" s="15"/>
      <c r="T27" s="15"/>
      <c r="U27" s="15"/>
    </row>
    <row r="28" spans="2:21" ht="13.5" thickBot="1" x14ac:dyDescent="0.25">
      <c r="B28" s="343">
        <v>10</v>
      </c>
      <c r="C28" s="15"/>
      <c r="D28" s="55" t="s">
        <v>233</v>
      </c>
      <c r="E28" s="15"/>
      <c r="F28" s="341">
        <f>F25-F27</f>
        <v>5544424.0270126108</v>
      </c>
      <c r="G28" s="47"/>
      <c r="H28" s="356"/>
      <c r="I28" s="187"/>
      <c r="J28" s="341">
        <f>J25-J27</f>
        <v>5548648.6181095475</v>
      </c>
      <c r="K28" s="187"/>
      <c r="L28" s="356"/>
      <c r="M28" s="187"/>
      <c r="N28" s="838">
        <f>N25-N27</f>
        <v>5861017.9815347716</v>
      </c>
      <c r="O28" s="838"/>
      <c r="P28" s="48"/>
      <c r="Q28" s="356"/>
      <c r="R28" s="15"/>
      <c r="S28" s="15"/>
      <c r="T28" s="15"/>
      <c r="U28" s="15"/>
    </row>
    <row r="29" spans="2:21" ht="25.5" customHeight="1" thickTop="1" x14ac:dyDescent="0.2">
      <c r="B29" s="343"/>
      <c r="C29" s="15"/>
      <c r="D29" s="345" t="s">
        <v>238</v>
      </c>
      <c r="E29" s="15"/>
      <c r="F29" s="47"/>
      <c r="G29" s="47"/>
      <c r="H29" s="344"/>
      <c r="I29" s="187"/>
      <c r="J29" s="47"/>
      <c r="K29" s="187"/>
      <c r="L29" s="344"/>
      <c r="M29" s="187"/>
      <c r="N29" s="48"/>
      <c r="O29" s="48"/>
      <c r="P29" s="48"/>
      <c r="Q29" s="344"/>
      <c r="R29" s="15"/>
      <c r="S29" s="15"/>
      <c r="T29" s="15"/>
      <c r="U29" s="15"/>
    </row>
    <row r="30" spans="2:21" x14ac:dyDescent="0.2">
      <c r="B30" s="343"/>
      <c r="F30" s="52"/>
      <c r="G30" s="52"/>
      <c r="H30" s="183"/>
      <c r="I30" s="183"/>
      <c r="J30" s="52"/>
      <c r="K30" s="183"/>
      <c r="L30" s="183"/>
      <c r="M30" s="183"/>
      <c r="N30" s="837"/>
      <c r="O30" s="837"/>
      <c r="P30" s="154"/>
      <c r="Q30" s="183"/>
    </row>
    <row r="31" spans="2:21" x14ac:dyDescent="0.2">
      <c r="B31" s="343">
        <v>11</v>
      </c>
      <c r="D31" s="5" t="s">
        <v>52</v>
      </c>
      <c r="F31" s="45">
        <f>'5. Utility Income'!F16</f>
        <v>5544424.0270126099</v>
      </c>
      <c r="G31" s="45"/>
      <c r="H31" s="356"/>
      <c r="I31" s="183"/>
      <c r="J31" s="45">
        <f>'5. Utility Income'!N16</f>
        <v>5548648.6181095475</v>
      </c>
      <c r="K31" s="183"/>
      <c r="L31" s="356"/>
      <c r="M31" s="183"/>
      <c r="N31" s="832">
        <f>'5. Utility Income'!V16</f>
        <v>5548648.6181095475</v>
      </c>
      <c r="O31" s="833"/>
      <c r="P31" s="146"/>
      <c r="Q31" s="356"/>
    </row>
    <row r="32" spans="2:21" x14ac:dyDescent="0.2">
      <c r="B32" s="343">
        <v>12</v>
      </c>
      <c r="D32" s="5" t="s">
        <v>35</v>
      </c>
      <c r="F32" s="53">
        <f>'5. Utility Income'!F17</f>
        <v>502938.99582215952</v>
      </c>
      <c r="G32" s="46"/>
      <c r="H32" s="356"/>
      <c r="I32" s="188"/>
      <c r="J32" s="53">
        <f>'5. Utility Income'!N17</f>
        <v>482447.49131242814</v>
      </c>
      <c r="K32" s="188"/>
      <c r="L32" s="356"/>
      <c r="M32" s="188"/>
      <c r="N32" s="802">
        <f>'5. Utility Income'!V17</f>
        <v>482447.49131242814</v>
      </c>
      <c r="O32" s="851"/>
      <c r="P32" s="147"/>
      <c r="Q32" s="356"/>
    </row>
    <row r="33" spans="2:17" x14ac:dyDescent="0.2">
      <c r="B33" s="343"/>
      <c r="F33" s="788">
        <f>SUM(F31:F32)</f>
        <v>6047363.0228347695</v>
      </c>
      <c r="G33" s="48"/>
      <c r="H33" s="186"/>
      <c r="I33" s="186"/>
      <c r="J33" s="788">
        <f>SUM(J31:J32)</f>
        <v>6031096.1094219759</v>
      </c>
      <c r="K33" s="186"/>
      <c r="L33" s="186"/>
      <c r="M33" s="186"/>
      <c r="N33" s="788">
        <f>SUM(N31:N32)</f>
        <v>6031096.1094219759</v>
      </c>
      <c r="O33" s="794"/>
      <c r="P33" s="155"/>
      <c r="Q33" s="186"/>
    </row>
    <row r="34" spans="2:17" x14ac:dyDescent="0.2">
      <c r="B34" s="343">
        <v>13</v>
      </c>
      <c r="D34" s="16" t="s">
        <v>40</v>
      </c>
      <c r="F34" s="797"/>
      <c r="G34" s="48"/>
      <c r="H34" s="356"/>
      <c r="I34" s="186"/>
      <c r="J34" s="797"/>
      <c r="K34" s="186"/>
      <c r="L34" s="356"/>
      <c r="M34" s="186"/>
      <c r="N34" s="797"/>
      <c r="O34" s="843"/>
      <c r="P34" s="155"/>
      <c r="Q34" s="356"/>
    </row>
    <row r="35" spans="2:17" x14ac:dyDescent="0.2">
      <c r="B35" s="343"/>
      <c r="F35" s="836">
        <f>F33-F25</f>
        <v>0</v>
      </c>
      <c r="G35" s="145"/>
      <c r="H35" s="189"/>
      <c r="I35" s="189"/>
      <c r="J35" s="836">
        <f>J33-J25</f>
        <v>0</v>
      </c>
      <c r="K35" s="189"/>
      <c r="L35" s="189"/>
      <c r="M35" s="189"/>
      <c r="N35" s="798">
        <f>N33-N25</f>
        <v>170078.12788720429</v>
      </c>
      <c r="O35" s="844"/>
      <c r="P35" s="156"/>
      <c r="Q35" s="4"/>
    </row>
    <row r="36" spans="2:17" ht="39" thickBot="1" x14ac:dyDescent="0.25">
      <c r="B36" s="343">
        <v>14</v>
      </c>
      <c r="D36" s="55" t="s">
        <v>144</v>
      </c>
      <c r="F36" s="799"/>
      <c r="G36" s="145"/>
      <c r="H36" s="482" t="s">
        <v>2</v>
      </c>
      <c r="I36" s="190"/>
      <c r="J36" s="799"/>
      <c r="K36" s="190"/>
      <c r="L36" s="482" t="s">
        <v>2</v>
      </c>
      <c r="M36" s="190"/>
      <c r="N36" s="799"/>
      <c r="O36" s="845"/>
      <c r="P36" s="156"/>
      <c r="Q36" s="483" t="s">
        <v>2</v>
      </c>
    </row>
    <row r="37" spans="2:17" ht="13.5" thickTop="1" x14ac:dyDescent="0.2">
      <c r="B37" s="343"/>
      <c r="D37" s="55"/>
      <c r="F37" s="429"/>
      <c r="G37" s="429"/>
      <c r="H37" s="190"/>
      <c r="I37" s="190"/>
      <c r="J37" s="429"/>
      <c r="K37" s="190"/>
      <c r="L37" s="190"/>
      <c r="M37" s="190"/>
      <c r="N37" s="429"/>
      <c r="O37" s="156"/>
      <c r="P37" s="156"/>
      <c r="Q37" s="191"/>
    </row>
    <row r="38" spans="2:17" x14ac:dyDescent="0.2">
      <c r="B38" s="343"/>
      <c r="D38" s="55"/>
      <c r="F38" s="429"/>
      <c r="G38" s="429"/>
      <c r="H38" s="190"/>
      <c r="I38" s="190"/>
      <c r="J38" s="429"/>
      <c r="K38" s="190"/>
      <c r="L38" s="190"/>
      <c r="M38" s="190"/>
      <c r="N38" s="429"/>
      <c r="O38" s="156"/>
      <c r="P38" s="156"/>
      <c r="Q38" s="191"/>
    </row>
    <row r="39" spans="2:17" ht="12.75" customHeight="1" x14ac:dyDescent="0.25">
      <c r="B39" s="343"/>
      <c r="D39" s="852" t="s">
        <v>286</v>
      </c>
      <c r="E39" s="852"/>
      <c r="F39" s="852"/>
      <c r="G39" s="852"/>
      <c r="H39" s="852"/>
      <c r="I39" s="852"/>
      <c r="J39" s="852"/>
      <c r="K39" s="852"/>
      <c r="L39" s="852"/>
      <c r="M39" s="852"/>
      <c r="N39" s="852"/>
      <c r="O39" s="852"/>
      <c r="P39" s="852"/>
      <c r="Q39" s="852"/>
    </row>
    <row r="40" spans="2:17" ht="13.5" thickBot="1" x14ac:dyDescent="0.25">
      <c r="B40" s="343"/>
      <c r="D40" s="55"/>
      <c r="F40" s="429"/>
      <c r="G40" s="429"/>
      <c r="H40" s="190"/>
      <c r="I40" s="190"/>
      <c r="J40" s="429"/>
      <c r="K40" s="190"/>
      <c r="L40" s="190"/>
      <c r="M40" s="190"/>
      <c r="N40" s="429"/>
      <c r="O40" s="156"/>
      <c r="P40" s="156"/>
      <c r="Q40" s="191"/>
    </row>
    <row r="41" spans="2:17" ht="31.5" customHeight="1" thickBot="1" x14ac:dyDescent="0.25">
      <c r="B41" s="343"/>
      <c r="D41" s="430"/>
      <c r="E41" s="431"/>
      <c r="F41" s="432" t="str">
        <f>F13</f>
        <v xml:space="preserve">Application   </v>
      </c>
      <c r="G41" s="433"/>
      <c r="H41" s="434"/>
      <c r="I41" s="434"/>
      <c r="J41" s="432" t="str">
        <f>J13</f>
        <v>Settlement Agreement</v>
      </c>
      <c r="K41" s="434"/>
      <c r="L41" s="435" t="s">
        <v>326</v>
      </c>
      <c r="M41" s="434"/>
      <c r="N41" s="846" t="str">
        <f>N13</f>
        <v>Per Board Decision</v>
      </c>
      <c r="O41" s="846"/>
      <c r="P41" s="436"/>
      <c r="Q41" s="437" t="str">
        <f>L41</f>
        <v>Δ% (2)</v>
      </c>
    </row>
    <row r="42" spans="2:17" x14ac:dyDescent="0.2">
      <c r="B42" s="343"/>
      <c r="D42" s="430" t="s">
        <v>263</v>
      </c>
      <c r="E42" s="431"/>
      <c r="F42" s="433">
        <f>F25</f>
        <v>6047363.0228347704</v>
      </c>
      <c r="G42" s="433"/>
      <c r="H42" s="434"/>
      <c r="I42" s="434"/>
      <c r="J42" s="433">
        <f>J25</f>
        <v>6031096.1094219759</v>
      </c>
      <c r="K42" s="434"/>
      <c r="L42" s="434">
        <f>IF($F42=0," ",(J42-$F42)/$F42)</f>
        <v>-2.689918457246704E-3</v>
      </c>
      <c r="M42" s="434"/>
      <c r="N42" s="847">
        <f>N25</f>
        <v>5861017.9815347716</v>
      </c>
      <c r="O42" s="847"/>
      <c r="P42" s="436"/>
      <c r="Q42" s="446">
        <f>IF($F42=0," ",(O42-$F42)/$F42)</f>
        <v>-1</v>
      </c>
    </row>
    <row r="43" spans="2:17" ht="26.25" thickBot="1" x14ac:dyDescent="0.25">
      <c r="B43" s="343"/>
      <c r="D43" s="440" t="s">
        <v>287</v>
      </c>
      <c r="E43" s="441"/>
      <c r="F43" s="442">
        <f>'8. Rev_Def_Suff'!F52</f>
        <v>50401.404456559212</v>
      </c>
      <c r="G43" s="442"/>
      <c r="H43" s="443"/>
      <c r="I43" s="443"/>
      <c r="J43" s="442">
        <f>'8. Rev_Def_Suff'!J52</f>
        <v>55692.704754182436</v>
      </c>
      <c r="K43" s="443"/>
      <c r="L43" s="443">
        <f>IF($F43=0," ",(J43-$F43)/$F43)</f>
        <v>0.1049831915335569</v>
      </c>
      <c r="M43" s="443"/>
      <c r="N43" s="848">
        <f>'8. Rev_Def_Suff'!N52</f>
        <v>-141627.27639417222</v>
      </c>
      <c r="O43" s="848"/>
      <c r="P43" s="444"/>
      <c r="Q43" s="445">
        <f>IF($F43=0," ",(O43-$F43)/$F43)</f>
        <v>-1</v>
      </c>
    </row>
    <row r="44" spans="2:17" ht="13.5" thickBot="1" x14ac:dyDescent="0.25">
      <c r="B44" s="343"/>
      <c r="D44" s="438"/>
      <c r="E44" s="33"/>
      <c r="F44" s="429"/>
      <c r="G44" s="429"/>
      <c r="H44" s="190"/>
      <c r="I44" s="190"/>
      <c r="J44" s="429"/>
      <c r="K44" s="190"/>
      <c r="L44" s="190"/>
      <c r="M44" s="190"/>
      <c r="N44" s="429"/>
      <c r="O44" s="156"/>
      <c r="P44" s="156"/>
      <c r="Q44" s="439"/>
    </row>
    <row r="45" spans="2:17" ht="38.25" x14ac:dyDescent="0.2">
      <c r="B45" s="343"/>
      <c r="D45" s="430" t="s">
        <v>288</v>
      </c>
      <c r="E45" s="431"/>
      <c r="F45" s="433">
        <f>F28</f>
        <v>5544424.0270126108</v>
      </c>
      <c r="G45" s="433"/>
      <c r="H45" s="434"/>
      <c r="I45" s="434"/>
      <c r="J45" s="433">
        <f>J28</f>
        <v>5548648.6181095475</v>
      </c>
      <c r="K45" s="434"/>
      <c r="L45" s="434">
        <f>IF($F45=0," ",(J45-$F45)/$F45)</f>
        <v>7.6195310393908954E-4</v>
      </c>
      <c r="M45" s="434"/>
      <c r="N45" s="847">
        <f>N28</f>
        <v>5861017.9815347716</v>
      </c>
      <c r="O45" s="847"/>
      <c r="P45" s="436"/>
      <c r="Q45" s="446">
        <f>IF($F45=0," ",(O45-$F45)/$F45)</f>
        <v>-1</v>
      </c>
    </row>
    <row r="46" spans="2:17" ht="42.75" customHeight="1" thickBot="1" x14ac:dyDescent="0.25">
      <c r="B46" s="343"/>
      <c r="D46" s="440" t="s">
        <v>432</v>
      </c>
      <c r="E46" s="441"/>
      <c r="F46" s="615">
        <f>'3. Data_Input_Sheet'!E26-'3. Data_Input_Sheet'!E25</f>
        <v>50401.404456557706</v>
      </c>
      <c r="G46" s="442"/>
      <c r="H46" s="443"/>
      <c r="I46" s="443"/>
      <c r="J46" s="442">
        <f>'3. Data_Input_Sheet'!M26-'3. Data_Input_Sheet'!M25</f>
        <v>55692.704754182138</v>
      </c>
      <c r="K46" s="443"/>
      <c r="L46" s="443">
        <f>IF($F46=0," ",(J46-$F46)/$F46)</f>
        <v>0.104983191533584</v>
      </c>
      <c r="M46" s="443"/>
      <c r="N46" s="848">
        <f>'3. Data_Input_Sheet'!U26-'3. Data_Input_Sheet'!U25</f>
        <v>0</v>
      </c>
      <c r="O46" s="848"/>
      <c r="P46" s="444"/>
      <c r="Q46" s="445">
        <f>IF($F46=0," ",(O46-$F46)/$F46)</f>
        <v>-1</v>
      </c>
    </row>
    <row r="47" spans="2:17" x14ac:dyDescent="0.2">
      <c r="B47" s="343"/>
      <c r="D47" s="55"/>
      <c r="F47" s="429"/>
      <c r="G47" s="429"/>
      <c r="H47" s="190"/>
      <c r="I47" s="190"/>
      <c r="J47" s="429"/>
      <c r="K47" s="190"/>
      <c r="L47" s="190"/>
      <c r="M47" s="190"/>
      <c r="N47" s="429"/>
      <c r="O47" s="156"/>
      <c r="P47" s="156"/>
      <c r="Q47" s="191"/>
    </row>
    <row r="48" spans="2:17" x14ac:dyDescent="0.2">
      <c r="F48" s="56"/>
      <c r="G48" s="56"/>
      <c r="H48" s="56"/>
      <c r="I48" s="56"/>
      <c r="J48" s="56"/>
      <c r="K48" s="56"/>
      <c r="L48" s="56"/>
      <c r="M48" s="56"/>
      <c r="N48" s="56"/>
      <c r="O48" s="56"/>
      <c r="P48" s="56"/>
    </row>
    <row r="49" spans="2:17" x14ac:dyDescent="0.2">
      <c r="B49" s="806" t="s">
        <v>38</v>
      </c>
      <c r="C49" s="806"/>
      <c r="D49" s="806"/>
      <c r="E49" s="806"/>
      <c r="F49" s="806"/>
      <c r="G49" s="806"/>
      <c r="H49" s="806"/>
      <c r="I49" s="806"/>
      <c r="J49" s="806"/>
      <c r="K49" s="806"/>
      <c r="L49" s="806"/>
      <c r="M49" s="806"/>
      <c r="N49" s="806"/>
      <c r="O49" s="806"/>
      <c r="P49" s="144"/>
    </row>
    <row r="50" spans="2:17" ht="14.25" x14ac:dyDescent="0.2">
      <c r="B50" s="481" t="s">
        <v>2</v>
      </c>
      <c r="D50" s="5" t="s">
        <v>142</v>
      </c>
    </row>
    <row r="51" spans="2:17" ht="14.25" x14ac:dyDescent="0.2">
      <c r="B51" s="481" t="s">
        <v>3</v>
      </c>
      <c r="D51" s="30" t="s">
        <v>289</v>
      </c>
    </row>
    <row r="52" spans="2:17" x14ac:dyDescent="0.2">
      <c r="B52" s="354"/>
      <c r="D52" s="818"/>
      <c r="E52" s="818"/>
      <c r="F52" s="818"/>
      <c r="G52" s="818"/>
      <c r="H52" s="818"/>
      <c r="I52" s="818"/>
      <c r="J52" s="818"/>
      <c r="K52" s="818"/>
      <c r="L52" s="818"/>
      <c r="M52" s="818"/>
      <c r="N52" s="818"/>
      <c r="O52" s="818"/>
      <c r="P52" s="818"/>
      <c r="Q52" s="818"/>
    </row>
    <row r="53" spans="2:17" x14ac:dyDescent="0.2">
      <c r="B53" s="354"/>
      <c r="D53" s="818"/>
      <c r="E53" s="818"/>
      <c r="F53" s="818"/>
      <c r="G53" s="818"/>
      <c r="H53" s="818"/>
      <c r="I53" s="818"/>
      <c r="J53" s="818"/>
      <c r="K53" s="818"/>
      <c r="L53" s="818"/>
      <c r="M53" s="818"/>
      <c r="N53" s="818"/>
      <c r="O53" s="818"/>
      <c r="P53" s="818"/>
      <c r="Q53" s="818"/>
    </row>
    <row r="54" spans="2:17" x14ac:dyDescent="0.2">
      <c r="B54" s="354"/>
      <c r="D54" s="818"/>
      <c r="E54" s="818"/>
      <c r="F54" s="818"/>
      <c r="G54" s="818"/>
      <c r="H54" s="818"/>
      <c r="I54" s="818"/>
      <c r="J54" s="818"/>
      <c r="K54" s="818"/>
      <c r="L54" s="818"/>
      <c r="M54" s="818"/>
      <c r="N54" s="818"/>
      <c r="O54" s="818"/>
      <c r="P54" s="818"/>
      <c r="Q54" s="818"/>
    </row>
    <row r="55" spans="2:17" x14ac:dyDescent="0.2">
      <c r="B55" s="354"/>
      <c r="D55" s="818"/>
      <c r="E55" s="818"/>
      <c r="F55" s="818"/>
      <c r="G55" s="818"/>
      <c r="H55" s="818"/>
      <c r="I55" s="818"/>
      <c r="J55" s="818"/>
      <c r="K55" s="818"/>
      <c r="L55" s="818"/>
      <c r="M55" s="818"/>
      <c r="N55" s="818"/>
      <c r="O55" s="818"/>
      <c r="P55" s="818"/>
      <c r="Q55" s="818"/>
    </row>
    <row r="56" spans="2:17" x14ac:dyDescent="0.2">
      <c r="B56" s="354"/>
      <c r="D56" s="818"/>
      <c r="E56" s="818"/>
      <c r="F56" s="818"/>
      <c r="G56" s="818"/>
      <c r="H56" s="818"/>
      <c r="I56" s="818"/>
      <c r="J56" s="818"/>
      <c r="K56" s="818"/>
      <c r="L56" s="818"/>
      <c r="M56" s="818"/>
      <c r="N56" s="818"/>
      <c r="O56" s="818"/>
      <c r="P56" s="818"/>
      <c r="Q56" s="818"/>
    </row>
    <row r="57" spans="2:17" x14ac:dyDescent="0.2">
      <c r="B57" s="354"/>
      <c r="D57" s="818"/>
      <c r="E57" s="818"/>
      <c r="F57" s="818"/>
      <c r="G57" s="818"/>
      <c r="H57" s="818"/>
      <c r="I57" s="818"/>
      <c r="J57" s="818"/>
      <c r="K57" s="818"/>
      <c r="L57" s="818"/>
      <c r="M57" s="818"/>
      <c r="N57" s="818"/>
      <c r="O57" s="818"/>
      <c r="P57" s="818"/>
      <c r="Q57" s="818"/>
    </row>
  </sheetData>
  <sheetProtection algorithmName="SHA-512" hashValue="7FrQwjyN8DqAYV2hSaDT/NTguv33RVVue6SD+EQITZUiIDlPN9s/Ikvdr33ETpodvm4S8x9vIJ+ql+0RiUXXRQ==" saltValue="F1v8v5ofvAgaHUfZTwSgWw==" spinCount="100000" sheet="1" objects="1" scenarios="1"/>
  <mergeCells count="42">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 ref="N13:O13"/>
    <mergeCell ref="F8:O8"/>
    <mergeCell ref="D54:Q54"/>
    <mergeCell ref="N33:O34"/>
    <mergeCell ref="N35:O36"/>
    <mergeCell ref="N41:O41"/>
    <mergeCell ref="N42:O42"/>
    <mergeCell ref="N43:O43"/>
    <mergeCell ref="N45:O45"/>
    <mergeCell ref="N46:O4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s>
  <phoneticPr fontId="2" type="noConversion"/>
  <conditionalFormatting sqref="J13">
    <cfRule type="cellIs" dxfId="67" priority="1" stopIfTrue="1" operator="equal">
      <formula>""</formula>
    </cfRule>
  </conditionalFormatting>
  <pageMargins left="0.75" right="0.75" top="0.64" bottom="1" header="0.5" footer="0.5"/>
  <pageSetup scale="71" orientation="portrait"/>
  <headerFooter alignWithMargins="0">
    <oddFooter>&amp;C8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731" bestFit="1" customWidth="1"/>
    <col min="8" max="8" width="16.42578125" style="731" bestFit="1" customWidth="1"/>
  </cols>
  <sheetData>
    <row r="1" spans="1:8" x14ac:dyDescent="0.2">
      <c r="A1" t="s">
        <v>457</v>
      </c>
      <c r="B1" t="s">
        <v>458</v>
      </c>
      <c r="C1" t="s">
        <v>376</v>
      </c>
      <c r="D1" t="s">
        <v>455</v>
      </c>
      <c r="E1" t="s">
        <v>456</v>
      </c>
      <c r="F1" s="449" t="s">
        <v>459</v>
      </c>
      <c r="G1" s="730" t="s">
        <v>461</v>
      </c>
      <c r="H1" s="730" t="s">
        <v>154</v>
      </c>
    </row>
    <row r="2" spans="1:8" x14ac:dyDescent="0.2">
      <c r="A2" t="str">
        <f>'1. Info'!$G$16</f>
        <v>Niagara-on-the-Lake Hydro Inc.</v>
      </c>
      <c r="B2" t="str">
        <f>'1. Info'!$G$20</f>
        <v>EB-2018-0056</v>
      </c>
      <c r="C2">
        <f>'1. Info'!$G$28</f>
        <v>2019</v>
      </c>
      <c r="D2">
        <f>'1. Info'!$G$30</f>
        <v>2018</v>
      </c>
      <c r="E2">
        <f>'1. Info'!$G$32</f>
        <v>2014</v>
      </c>
      <c r="F2" s="449" t="s">
        <v>231</v>
      </c>
      <c r="G2" s="731">
        <f>'9. Rev_Reqt'!F25</f>
        <v>6047363.0228347704</v>
      </c>
      <c r="H2" s="731">
        <f>'9. Rev_Reqt'!N25</f>
        <v>5861017.9815347716</v>
      </c>
    </row>
    <row r="3" spans="1:8" x14ac:dyDescent="0.2">
      <c r="A3" t="str">
        <f>'1. Info'!$G$16</f>
        <v>Niagara-on-the-Lake Hydro Inc.</v>
      </c>
      <c r="B3" t="str">
        <f>'1. Info'!$G$20</f>
        <v>EB-2018-0056</v>
      </c>
      <c r="C3">
        <f>'1. Info'!$G$28</f>
        <v>2019</v>
      </c>
      <c r="D3">
        <f>'1. Info'!$G$30</f>
        <v>2018</v>
      </c>
      <c r="E3">
        <f>'1. Info'!$G$32</f>
        <v>2014</v>
      </c>
      <c r="F3" s="449" t="s">
        <v>233</v>
      </c>
      <c r="G3" s="731">
        <f>'9. Rev_Reqt'!F28</f>
        <v>5544424.0270126108</v>
      </c>
      <c r="H3" s="731">
        <f>'9. Rev_Reqt'!N28</f>
        <v>5861017.9815347716</v>
      </c>
    </row>
    <row r="4" spans="1:8" x14ac:dyDescent="0.2">
      <c r="A4" t="str">
        <f>'1. Info'!$G$16</f>
        <v>Niagara-on-the-Lake Hydro Inc.</v>
      </c>
      <c r="B4" t="str">
        <f>'1. Info'!$G$20</f>
        <v>EB-2018-0056</v>
      </c>
      <c r="C4">
        <f>'1. Info'!$G$28</f>
        <v>2019</v>
      </c>
      <c r="D4">
        <f>'1. Info'!$G$30</f>
        <v>2018</v>
      </c>
      <c r="E4">
        <f>'1. Info'!$G$32</f>
        <v>2014</v>
      </c>
      <c r="F4" s="449" t="s">
        <v>432</v>
      </c>
      <c r="G4" s="731">
        <f>'9. Rev_Reqt'!F46</f>
        <v>50401.404456557706</v>
      </c>
      <c r="H4" s="731">
        <f>'9. Rev_Reqt'!N46</f>
        <v>0</v>
      </c>
    </row>
  </sheetData>
  <sheetProtection algorithmName="SHA-512" hashValue="ughDAzAAL/FCQyYAuUzU2cHeENKd7MQ2PLNcw6KoPj1lOq95ArddHHzFjM/LOZO2MuPS9B4QqGWERyNCOFcvUQ==" saltValue="R+T4Jn8f7LciNfcEdZKEd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4:V64"/>
  <sheetViews>
    <sheetView showGridLines="0" workbookViewId="0">
      <selection activeCell="L32" sqref="L32"/>
    </sheetView>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853" t="s">
        <v>290</v>
      </c>
      <c r="C14" s="853"/>
      <c r="D14" s="853"/>
      <c r="E14" s="853"/>
      <c r="F14" s="853"/>
      <c r="G14" s="853"/>
      <c r="H14" s="853"/>
      <c r="I14" s="853"/>
      <c r="J14" s="853"/>
      <c r="K14" s="853"/>
      <c r="L14" s="853"/>
      <c r="M14" s="853"/>
      <c r="N14" s="853"/>
      <c r="O14" s="853"/>
      <c r="P14" s="853"/>
      <c r="Q14" s="853"/>
      <c r="R14" s="853"/>
      <c r="S14" s="853"/>
      <c r="T14" s="853"/>
      <c r="U14" s="853"/>
      <c r="V14" s="853"/>
    </row>
    <row r="16" spans="2:22" ht="26.25" customHeight="1" x14ac:dyDescent="0.2">
      <c r="B16" s="858" t="s">
        <v>440</v>
      </c>
      <c r="C16" s="859"/>
      <c r="D16" s="859"/>
      <c r="E16" s="859"/>
      <c r="F16" s="859"/>
      <c r="G16" s="859"/>
      <c r="H16" s="859"/>
      <c r="I16" s="859"/>
      <c r="J16" s="859"/>
      <c r="K16" s="859"/>
      <c r="L16" s="859"/>
      <c r="M16" s="859"/>
      <c r="N16" s="859"/>
      <c r="O16" s="859"/>
      <c r="P16" s="859"/>
      <c r="Q16" s="859"/>
      <c r="R16" s="859"/>
      <c r="S16" s="859"/>
      <c r="T16" s="859"/>
      <c r="U16" s="859"/>
      <c r="V16" s="859"/>
    </row>
    <row r="17" spans="2:22" ht="15" customHeight="1" x14ac:dyDescent="0.2">
      <c r="B17" s="692"/>
      <c r="C17" s="692"/>
      <c r="D17" s="692"/>
      <c r="E17" s="692"/>
      <c r="F17" s="692"/>
      <c r="G17" s="692"/>
      <c r="H17" s="692"/>
      <c r="I17" s="692"/>
      <c r="J17" s="692"/>
      <c r="K17" s="692"/>
      <c r="L17" s="692"/>
      <c r="M17" s="692"/>
      <c r="N17" s="692"/>
      <c r="O17" s="692"/>
      <c r="P17" s="692"/>
      <c r="Q17" s="692"/>
      <c r="R17" s="692"/>
      <c r="S17" s="692"/>
      <c r="T17" s="692"/>
      <c r="U17" s="692"/>
      <c r="V17" s="692"/>
    </row>
    <row r="18" spans="2:22" ht="25.5" customHeight="1" x14ac:dyDescent="0.2">
      <c r="B18" s="858" t="s">
        <v>430</v>
      </c>
      <c r="C18" s="859"/>
      <c r="D18" s="859"/>
      <c r="E18" s="859"/>
      <c r="F18" s="859"/>
      <c r="G18" s="859"/>
      <c r="H18" s="859"/>
      <c r="I18" s="859"/>
      <c r="J18" s="859"/>
      <c r="K18" s="859"/>
      <c r="L18" s="859"/>
      <c r="M18" s="859"/>
      <c r="N18" s="859"/>
      <c r="O18" s="859"/>
      <c r="P18" s="859"/>
      <c r="Q18" s="859"/>
      <c r="R18" s="859"/>
      <c r="S18" s="859"/>
      <c r="T18" s="859"/>
      <c r="U18" s="859"/>
      <c r="V18" s="859"/>
    </row>
    <row r="19" spans="2:22" ht="12.75" customHeight="1" x14ac:dyDescent="0.2">
      <c r="B19" s="693"/>
      <c r="C19" s="692"/>
      <c r="D19" s="692"/>
      <c r="E19" s="692"/>
      <c r="F19" s="692"/>
      <c r="G19" s="692"/>
      <c r="H19" s="692"/>
      <c r="I19" s="692"/>
      <c r="J19" s="692"/>
      <c r="K19" s="692"/>
      <c r="L19" s="692"/>
      <c r="M19" s="692"/>
      <c r="N19" s="692"/>
      <c r="O19" s="692"/>
      <c r="P19" s="692"/>
      <c r="Q19" s="692"/>
      <c r="R19" s="692"/>
      <c r="S19" s="692"/>
      <c r="T19" s="692"/>
      <c r="U19" s="692"/>
      <c r="V19" s="692"/>
    </row>
    <row r="20" spans="2:22" ht="14.25" customHeight="1" x14ac:dyDescent="0.2">
      <c r="B20" s="861" t="s">
        <v>429</v>
      </c>
      <c r="C20" s="861"/>
      <c r="D20" s="861"/>
      <c r="E20" s="861"/>
      <c r="F20" s="861"/>
      <c r="G20" s="861"/>
      <c r="H20" s="861"/>
      <c r="I20" s="861"/>
      <c r="J20" s="861"/>
      <c r="K20" s="861"/>
      <c r="L20" s="861"/>
      <c r="M20" s="861"/>
      <c r="N20" s="861"/>
      <c r="O20" s="861"/>
      <c r="P20" s="861"/>
      <c r="Q20" s="861"/>
      <c r="R20" s="861"/>
      <c r="S20" s="861"/>
      <c r="T20" s="861"/>
      <c r="U20" s="861"/>
      <c r="V20" s="861"/>
    </row>
    <row r="22" spans="2:22" x14ac:dyDescent="0.2">
      <c r="D22" s="448" t="s">
        <v>297</v>
      </c>
      <c r="F22" s="860" t="s">
        <v>515</v>
      </c>
      <c r="G22" s="860"/>
      <c r="H22" s="860"/>
      <c r="I22" s="860"/>
      <c r="J22" s="860"/>
    </row>
    <row r="24" spans="2:22" x14ac:dyDescent="0.2">
      <c r="D24" s="475" t="s">
        <v>291</v>
      </c>
      <c r="F24" s="855" t="str">
        <f>'3. Data_Input_Sheet'!E12</f>
        <v>Initial Application</v>
      </c>
      <c r="G24" s="856"/>
      <c r="H24" s="856"/>
      <c r="I24" s="856"/>
      <c r="J24" s="857"/>
      <c r="L24" s="855" t="str">
        <f>IF(ISBLANK('3. Data_Input_Sheet'!M12)," ",'3. Data_Input_Sheet'!M12)</f>
        <v>Settlement Agreement</v>
      </c>
      <c r="M24" s="856"/>
      <c r="N24" s="856"/>
      <c r="O24" s="856"/>
      <c r="P24" s="857"/>
      <c r="R24" s="855" t="str">
        <f>'3. Data_Input_Sheet'!U12</f>
        <v>Per Board Decision</v>
      </c>
      <c r="S24" s="856"/>
      <c r="T24" s="856"/>
      <c r="U24" s="856"/>
      <c r="V24" s="857"/>
    </row>
    <row r="25" spans="2:22" x14ac:dyDescent="0.2">
      <c r="D25" s="476"/>
      <c r="F25" s="450"/>
      <c r="G25" s="382"/>
      <c r="H25" s="382"/>
      <c r="I25" s="382"/>
      <c r="J25" s="451"/>
      <c r="L25" s="450"/>
      <c r="M25" s="382"/>
      <c r="N25" s="382"/>
      <c r="O25" s="382"/>
      <c r="P25" s="451"/>
      <c r="R25" s="450"/>
      <c r="S25" s="382"/>
      <c r="T25" s="382"/>
      <c r="U25" s="382"/>
      <c r="V25" s="451"/>
    </row>
    <row r="26" spans="2:22" ht="25.5" x14ac:dyDescent="0.2">
      <c r="D26" s="854" t="s">
        <v>323</v>
      </c>
      <c r="F26" s="453" t="s">
        <v>292</v>
      </c>
      <c r="G26" s="696"/>
      <c r="H26" s="696" t="s">
        <v>294</v>
      </c>
      <c r="I26" s="696"/>
      <c r="J26" s="454" t="s">
        <v>333</v>
      </c>
      <c r="K26" s="455"/>
      <c r="L26" s="453" t="str">
        <f>F26</f>
        <v>Customer / Connections</v>
      </c>
      <c r="M26" s="696"/>
      <c r="N26" s="696" t="str">
        <f>H26</f>
        <v>kWh</v>
      </c>
      <c r="O26" s="696"/>
      <c r="P26" s="454" t="s">
        <v>333</v>
      </c>
      <c r="Q26" s="455"/>
      <c r="R26" s="453" t="str">
        <f>F26</f>
        <v>Customer / Connections</v>
      </c>
      <c r="S26" s="696"/>
      <c r="T26" s="696" t="str">
        <f>H26</f>
        <v>kWh</v>
      </c>
      <c r="U26" s="696"/>
      <c r="V26" s="454" t="s">
        <v>333</v>
      </c>
    </row>
    <row r="27" spans="2:22" ht="26.25" customHeight="1" x14ac:dyDescent="0.2">
      <c r="D27" s="854"/>
      <c r="F27" s="456" t="s">
        <v>293</v>
      </c>
      <c r="G27" s="457"/>
      <c r="H27" s="457" t="s">
        <v>295</v>
      </c>
      <c r="I27" s="457"/>
      <c r="J27" s="458" t="s">
        <v>295</v>
      </c>
      <c r="K27" s="455"/>
      <c r="L27" s="456" t="str">
        <f>F27</f>
        <v>Test Year average or mid-year</v>
      </c>
      <c r="M27" s="457"/>
      <c r="N27" s="457" t="str">
        <f>H27</f>
        <v>Annual</v>
      </c>
      <c r="O27" s="457"/>
      <c r="P27" s="458" t="str">
        <f>J27</f>
        <v>Annual</v>
      </c>
      <c r="Q27" s="455"/>
      <c r="R27" s="456" t="str">
        <f>F27</f>
        <v>Test Year average or mid-year</v>
      </c>
      <c r="S27" s="457"/>
      <c r="T27" s="457" t="str">
        <f>H27</f>
        <v>Annual</v>
      </c>
      <c r="U27" s="457"/>
      <c r="V27" s="458" t="str">
        <f>J27</f>
        <v>Annual</v>
      </c>
    </row>
    <row r="28" spans="2:22" ht="10.5" customHeight="1" x14ac:dyDescent="0.2">
      <c r="D28" s="476"/>
      <c r="F28" s="450"/>
      <c r="G28" s="382"/>
      <c r="H28" s="382"/>
      <c r="I28" s="382"/>
      <c r="J28" s="451"/>
      <c r="L28" s="450"/>
      <c r="M28" s="382"/>
      <c r="N28" s="382"/>
      <c r="O28" s="382"/>
      <c r="P28" s="451"/>
      <c r="R28" s="450"/>
      <c r="S28" s="382"/>
      <c r="T28" s="382"/>
      <c r="U28" s="382"/>
      <c r="V28" s="451"/>
    </row>
    <row r="29" spans="2:22" x14ac:dyDescent="0.2">
      <c r="B29" s="448">
        <v>1</v>
      </c>
      <c r="D29" s="616" t="s">
        <v>331</v>
      </c>
      <c r="F29" s="462">
        <v>8152.375</v>
      </c>
      <c r="G29" s="382"/>
      <c r="H29" s="464">
        <v>73998980.774480164</v>
      </c>
      <c r="I29" s="382"/>
      <c r="J29" s="466">
        <v>0</v>
      </c>
      <c r="L29" s="462">
        <v>8152.375</v>
      </c>
      <c r="M29" s="382"/>
      <c r="N29" s="464">
        <v>73898698.101207584</v>
      </c>
      <c r="O29" s="382"/>
      <c r="P29" s="466">
        <v>0</v>
      </c>
      <c r="R29" s="462"/>
      <c r="S29" s="382"/>
      <c r="T29" s="464"/>
      <c r="U29" s="382"/>
      <c r="V29" s="466"/>
    </row>
    <row r="30" spans="2:22" x14ac:dyDescent="0.2">
      <c r="B30" s="448">
        <v>2</v>
      </c>
      <c r="D30" s="525" t="s">
        <v>487</v>
      </c>
      <c r="F30" s="462">
        <v>1337.6666666666667</v>
      </c>
      <c r="G30" s="382"/>
      <c r="H30" s="464">
        <v>41877513.350617968</v>
      </c>
      <c r="I30" s="382"/>
      <c r="J30" s="466">
        <v>0</v>
      </c>
      <c r="L30" s="462">
        <v>1341.6666666666667</v>
      </c>
      <c r="M30" s="382"/>
      <c r="N30" s="464">
        <v>41801817.090252772</v>
      </c>
      <c r="O30" s="382"/>
      <c r="P30" s="466">
        <v>0</v>
      </c>
      <c r="R30" s="462"/>
      <c r="S30" s="382"/>
      <c r="T30" s="464"/>
      <c r="U30" s="382"/>
      <c r="V30" s="466"/>
    </row>
    <row r="31" spans="2:22" x14ac:dyDescent="0.2">
      <c r="B31" s="448">
        <v>3</v>
      </c>
      <c r="D31" s="525" t="s">
        <v>488</v>
      </c>
      <c r="F31" s="462">
        <v>131</v>
      </c>
      <c r="G31" s="382"/>
      <c r="H31" s="464">
        <v>82705771.222735077</v>
      </c>
      <c r="I31" s="382"/>
      <c r="J31" s="466">
        <v>212895.59654134113</v>
      </c>
      <c r="L31" s="462">
        <v>131</v>
      </c>
      <c r="M31" s="382"/>
      <c r="N31" s="464">
        <v>82468048.959229335</v>
      </c>
      <c r="O31" s="382"/>
      <c r="P31" s="466">
        <v>212283.66798603014</v>
      </c>
      <c r="R31" s="462"/>
      <c r="S31" s="382"/>
      <c r="T31" s="464"/>
      <c r="U31" s="382"/>
      <c r="V31" s="466"/>
    </row>
    <row r="32" spans="2:22" x14ac:dyDescent="0.2">
      <c r="B32" s="448">
        <v>4</v>
      </c>
      <c r="D32" s="525" t="s">
        <v>489</v>
      </c>
      <c r="F32" s="462">
        <v>26</v>
      </c>
      <c r="G32" s="382"/>
      <c r="H32" s="464">
        <v>251508.00000000023</v>
      </c>
      <c r="I32" s="382"/>
      <c r="J32" s="466">
        <v>0</v>
      </c>
      <c r="L32" s="462">
        <v>26</v>
      </c>
      <c r="M32" s="382"/>
      <c r="N32" s="464">
        <v>251508.00000000023</v>
      </c>
      <c r="O32" s="382"/>
      <c r="P32" s="466">
        <v>0</v>
      </c>
      <c r="R32" s="462"/>
      <c r="S32" s="382"/>
      <c r="T32" s="464"/>
      <c r="U32" s="382"/>
      <c r="V32" s="466"/>
    </row>
    <row r="33" spans="2:22" x14ac:dyDescent="0.2">
      <c r="B33" s="448">
        <v>5</v>
      </c>
      <c r="D33" s="525" t="s">
        <v>490</v>
      </c>
      <c r="F33" s="462">
        <v>2186.7661966795336</v>
      </c>
      <c r="G33" s="382"/>
      <c r="H33" s="464">
        <v>886615.77344277513</v>
      </c>
      <c r="I33" s="382"/>
      <c r="J33" s="466">
        <v>2474.7419388126632</v>
      </c>
      <c r="L33" s="462">
        <v>2186.7661966795336</v>
      </c>
      <c r="M33" s="382"/>
      <c r="N33" s="464">
        <v>886615.77344277513</v>
      </c>
      <c r="O33" s="382"/>
      <c r="P33" s="466">
        <v>2474.7419388126632</v>
      </c>
      <c r="R33" s="462"/>
      <c r="S33" s="382"/>
      <c r="T33" s="464"/>
      <c r="U33" s="382"/>
      <c r="V33" s="466"/>
    </row>
    <row r="34" spans="2:22" x14ac:dyDescent="0.2">
      <c r="B34" s="448">
        <v>6</v>
      </c>
      <c r="D34" s="525" t="s">
        <v>491</v>
      </c>
      <c r="F34" s="462">
        <v>1</v>
      </c>
      <c r="G34" s="382"/>
      <c r="H34" s="464">
        <v>23308825.330262251</v>
      </c>
      <c r="I34" s="382"/>
      <c r="J34" s="466">
        <v>60000</v>
      </c>
      <c r="L34" s="462">
        <v>1</v>
      </c>
      <c r="M34" s="382"/>
      <c r="N34" s="464">
        <v>23308825.330262251</v>
      </c>
      <c r="O34" s="382"/>
      <c r="P34" s="466">
        <v>60000</v>
      </c>
      <c r="R34" s="462"/>
      <c r="S34" s="382"/>
      <c r="T34" s="464"/>
      <c r="U34" s="382"/>
      <c r="V34" s="466"/>
    </row>
    <row r="35" spans="2:22" x14ac:dyDescent="0.2">
      <c r="B35" s="448">
        <v>7</v>
      </c>
      <c r="D35" s="525"/>
      <c r="F35" s="462"/>
      <c r="G35" s="382"/>
      <c r="H35" s="464"/>
      <c r="I35" s="382"/>
      <c r="J35" s="466"/>
      <c r="L35" s="462"/>
      <c r="M35" s="382"/>
      <c r="N35" s="464"/>
      <c r="O35" s="382"/>
      <c r="P35" s="466"/>
      <c r="R35" s="462"/>
      <c r="S35" s="382"/>
      <c r="T35" s="464"/>
      <c r="U35" s="382"/>
      <c r="V35" s="466"/>
    </row>
    <row r="36" spans="2:22" x14ac:dyDescent="0.2">
      <c r="B36" s="448">
        <v>8</v>
      </c>
      <c r="D36" s="477"/>
      <c r="F36" s="462"/>
      <c r="G36" s="382"/>
      <c r="H36" s="464"/>
      <c r="I36" s="382"/>
      <c r="J36" s="466"/>
      <c r="L36" s="462"/>
      <c r="M36" s="382"/>
      <c r="N36" s="464"/>
      <c r="O36" s="382"/>
      <c r="P36" s="466"/>
      <c r="R36" s="462"/>
      <c r="S36" s="382"/>
      <c r="T36" s="464"/>
      <c r="U36" s="382"/>
      <c r="V36" s="466"/>
    </row>
    <row r="37" spans="2:22" x14ac:dyDescent="0.2">
      <c r="B37" s="448">
        <v>9</v>
      </c>
      <c r="D37" s="477"/>
      <c r="F37" s="462"/>
      <c r="G37" s="382"/>
      <c r="H37" s="464"/>
      <c r="I37" s="382"/>
      <c r="J37" s="466"/>
      <c r="L37" s="462"/>
      <c r="M37" s="382"/>
      <c r="N37" s="464"/>
      <c r="O37" s="382"/>
      <c r="P37" s="466"/>
      <c r="R37" s="462"/>
      <c r="S37" s="382"/>
      <c r="T37" s="464"/>
      <c r="U37" s="382"/>
      <c r="V37" s="466"/>
    </row>
    <row r="38" spans="2:22" x14ac:dyDescent="0.2">
      <c r="B38" s="448">
        <v>10</v>
      </c>
      <c r="D38" s="477"/>
      <c r="F38" s="462"/>
      <c r="G38" s="382"/>
      <c r="H38" s="464"/>
      <c r="I38" s="382"/>
      <c r="J38" s="466"/>
      <c r="L38" s="462"/>
      <c r="M38" s="382"/>
      <c r="N38" s="464"/>
      <c r="O38" s="382"/>
      <c r="P38" s="466"/>
      <c r="R38" s="462"/>
      <c r="S38" s="382"/>
      <c r="T38" s="464"/>
      <c r="U38" s="382"/>
      <c r="V38" s="466"/>
    </row>
    <row r="39" spans="2:22" x14ac:dyDescent="0.2">
      <c r="B39" s="448">
        <v>11</v>
      </c>
      <c r="D39" s="477"/>
      <c r="F39" s="462"/>
      <c r="G39" s="382"/>
      <c r="H39" s="464"/>
      <c r="I39" s="382"/>
      <c r="J39" s="466"/>
      <c r="L39" s="462"/>
      <c r="M39" s="382"/>
      <c r="N39" s="464"/>
      <c r="O39" s="382"/>
      <c r="P39" s="466"/>
      <c r="R39" s="462"/>
      <c r="S39" s="382"/>
      <c r="T39" s="464"/>
      <c r="U39" s="382"/>
      <c r="V39" s="466"/>
    </row>
    <row r="40" spans="2:22" x14ac:dyDescent="0.2">
      <c r="B40" s="448">
        <v>12</v>
      </c>
      <c r="D40" s="477"/>
      <c r="F40" s="462"/>
      <c r="G40" s="382"/>
      <c r="H40" s="464"/>
      <c r="I40" s="382"/>
      <c r="J40" s="466"/>
      <c r="L40" s="462"/>
      <c r="M40" s="382"/>
      <c r="N40" s="464"/>
      <c r="O40" s="382"/>
      <c r="P40" s="466"/>
      <c r="R40" s="462"/>
      <c r="S40" s="382"/>
      <c r="T40" s="464"/>
      <c r="U40" s="382"/>
      <c r="V40" s="466"/>
    </row>
    <row r="41" spans="2:22" x14ac:dyDescent="0.2">
      <c r="B41" s="448">
        <v>13</v>
      </c>
      <c r="D41" s="477"/>
      <c r="F41" s="462"/>
      <c r="G41" s="382"/>
      <c r="H41" s="464"/>
      <c r="I41" s="382"/>
      <c r="J41" s="466"/>
      <c r="L41" s="462"/>
      <c r="M41" s="382"/>
      <c r="N41" s="464"/>
      <c r="O41" s="382"/>
      <c r="P41" s="466"/>
      <c r="R41" s="462"/>
      <c r="S41" s="382"/>
      <c r="T41" s="464"/>
      <c r="U41" s="382"/>
      <c r="V41" s="466"/>
    </row>
    <row r="42" spans="2:22" x14ac:dyDescent="0.2">
      <c r="B42" s="448">
        <v>14</v>
      </c>
      <c r="D42" s="477"/>
      <c r="F42" s="462"/>
      <c r="G42" s="382"/>
      <c r="H42" s="464"/>
      <c r="I42" s="382"/>
      <c r="J42" s="466"/>
      <c r="L42" s="462"/>
      <c r="M42" s="382"/>
      <c r="N42" s="464"/>
      <c r="O42" s="382"/>
      <c r="P42" s="466"/>
      <c r="R42" s="462"/>
      <c r="S42" s="382"/>
      <c r="T42" s="464"/>
      <c r="U42" s="382"/>
      <c r="V42" s="466"/>
    </row>
    <row r="43" spans="2:22" x14ac:dyDescent="0.2">
      <c r="B43" s="448">
        <v>15</v>
      </c>
      <c r="D43" s="477"/>
      <c r="F43" s="462"/>
      <c r="G43" s="382"/>
      <c r="H43" s="464"/>
      <c r="I43" s="382"/>
      <c r="J43" s="466"/>
      <c r="L43" s="462"/>
      <c r="M43" s="382"/>
      <c r="N43" s="464"/>
      <c r="O43" s="382"/>
      <c r="P43" s="466"/>
      <c r="R43" s="462"/>
      <c r="S43" s="382"/>
      <c r="T43" s="464"/>
      <c r="U43" s="382"/>
      <c r="V43" s="466"/>
    </row>
    <row r="44" spans="2:22" x14ac:dyDescent="0.2">
      <c r="B44" s="448">
        <v>16</v>
      </c>
      <c r="D44" s="477"/>
      <c r="F44" s="462"/>
      <c r="G44" s="382"/>
      <c r="H44" s="464"/>
      <c r="I44" s="382"/>
      <c r="J44" s="466"/>
      <c r="L44" s="462"/>
      <c r="M44" s="382"/>
      <c r="N44" s="464"/>
      <c r="O44" s="382"/>
      <c r="P44" s="466"/>
      <c r="R44" s="462"/>
      <c r="S44" s="382"/>
      <c r="T44" s="464"/>
      <c r="U44" s="382"/>
      <c r="V44" s="466"/>
    </row>
    <row r="45" spans="2:22" x14ac:dyDescent="0.2">
      <c r="B45" s="448">
        <v>17</v>
      </c>
      <c r="D45" s="477"/>
      <c r="F45" s="462"/>
      <c r="G45" s="382"/>
      <c r="H45" s="464"/>
      <c r="I45" s="382"/>
      <c r="J45" s="466"/>
      <c r="L45" s="462"/>
      <c r="M45" s="382"/>
      <c r="N45" s="464"/>
      <c r="O45" s="382"/>
      <c r="P45" s="466"/>
      <c r="R45" s="462"/>
      <c r="S45" s="382"/>
      <c r="T45" s="464"/>
      <c r="U45" s="382"/>
      <c r="V45" s="466"/>
    </row>
    <row r="46" spans="2:22" x14ac:dyDescent="0.2">
      <c r="B46" s="448">
        <v>18</v>
      </c>
      <c r="D46" s="477"/>
      <c r="F46" s="462"/>
      <c r="G46" s="382"/>
      <c r="H46" s="464"/>
      <c r="I46" s="382"/>
      <c r="J46" s="466"/>
      <c r="L46" s="462"/>
      <c r="M46" s="382"/>
      <c r="N46" s="464"/>
      <c r="O46" s="382"/>
      <c r="P46" s="466"/>
      <c r="R46" s="462"/>
      <c r="S46" s="382"/>
      <c r="T46" s="464"/>
      <c r="U46" s="382"/>
      <c r="V46" s="466"/>
    </row>
    <row r="47" spans="2:22" x14ac:dyDescent="0.2">
      <c r="B47" s="448">
        <v>19</v>
      </c>
      <c r="D47" s="477"/>
      <c r="F47" s="462"/>
      <c r="G47" s="382"/>
      <c r="H47" s="464"/>
      <c r="I47" s="382"/>
      <c r="J47" s="466"/>
      <c r="L47" s="462"/>
      <c r="M47" s="382"/>
      <c r="N47" s="464"/>
      <c r="O47" s="382"/>
      <c r="P47" s="466"/>
      <c r="R47" s="462"/>
      <c r="S47" s="382"/>
      <c r="T47" s="464"/>
      <c r="U47" s="382"/>
      <c r="V47" s="466"/>
    </row>
    <row r="48" spans="2:22" x14ac:dyDescent="0.2">
      <c r="B48" s="448">
        <v>20</v>
      </c>
      <c r="D48" s="478"/>
      <c r="F48" s="463"/>
      <c r="G48" s="452"/>
      <c r="H48" s="465"/>
      <c r="I48" s="452"/>
      <c r="J48" s="467"/>
      <c r="L48" s="463"/>
      <c r="M48" s="452"/>
      <c r="N48" s="465"/>
      <c r="O48" s="452"/>
      <c r="P48" s="467"/>
      <c r="R48" s="463"/>
      <c r="S48" s="452"/>
      <c r="T48" s="465"/>
      <c r="U48" s="452"/>
      <c r="V48" s="467"/>
    </row>
    <row r="50" spans="2:22" x14ac:dyDescent="0.2">
      <c r="D50" s="448" t="s">
        <v>19</v>
      </c>
      <c r="E50" s="448"/>
      <c r="F50" s="448"/>
      <c r="G50" s="448"/>
      <c r="H50" s="593">
        <f>SUM(H29:H48)</f>
        <v>223029214.45153823</v>
      </c>
      <c r="J50" s="593">
        <f>SUM(J29:J48)</f>
        <v>275370.33848015382</v>
      </c>
      <c r="N50" s="593">
        <f>SUM(N29:N48)</f>
        <v>222615513.25439471</v>
      </c>
      <c r="P50" s="593">
        <f>SUM(P29:P48)</f>
        <v>274758.40992484277</v>
      </c>
      <c r="T50" s="593">
        <f>SUM(T29:T48)</f>
        <v>0</v>
      </c>
      <c r="V50" s="593">
        <f>SUM(V29:V48)</f>
        <v>0</v>
      </c>
    </row>
    <row r="52" spans="2:22" x14ac:dyDescent="0.2">
      <c r="B52" s="448" t="s">
        <v>42</v>
      </c>
    </row>
    <row r="54" spans="2:22" ht="14.25" x14ac:dyDescent="0.2">
      <c r="B54" s="479" t="s">
        <v>2</v>
      </c>
      <c r="C54" s="449" t="s">
        <v>422</v>
      </c>
    </row>
    <row r="55" spans="2:22" x14ac:dyDescent="0.2">
      <c r="C55" s="818"/>
      <c r="D55" s="818"/>
      <c r="E55" s="818"/>
      <c r="F55" s="818"/>
      <c r="G55" s="818"/>
      <c r="H55" s="818"/>
      <c r="I55" s="818"/>
      <c r="J55" s="818"/>
      <c r="K55" s="818"/>
      <c r="L55" s="818"/>
      <c r="M55" s="818"/>
      <c r="N55" s="818"/>
      <c r="O55" s="818"/>
      <c r="P55" s="818"/>
      <c r="Q55" s="818"/>
      <c r="R55" s="818"/>
      <c r="S55" s="818"/>
      <c r="T55" s="818"/>
      <c r="U55" s="818"/>
      <c r="V55" s="818"/>
    </row>
    <row r="56" spans="2:22" x14ac:dyDescent="0.2">
      <c r="C56" s="818"/>
      <c r="D56" s="818"/>
      <c r="E56" s="818"/>
      <c r="F56" s="818"/>
      <c r="G56" s="818"/>
      <c r="H56" s="818"/>
      <c r="I56" s="818"/>
      <c r="J56" s="818"/>
      <c r="K56" s="818"/>
      <c r="L56" s="818"/>
      <c r="M56" s="818"/>
      <c r="N56" s="818"/>
      <c r="O56" s="818"/>
      <c r="P56" s="818"/>
      <c r="Q56" s="818"/>
      <c r="R56" s="818"/>
      <c r="S56" s="818"/>
      <c r="T56" s="818"/>
      <c r="U56" s="818"/>
      <c r="V56" s="818"/>
    </row>
    <row r="57" spans="2:22" x14ac:dyDescent="0.2">
      <c r="C57" s="818"/>
      <c r="D57" s="818"/>
      <c r="E57" s="818"/>
      <c r="F57" s="818"/>
      <c r="G57" s="818"/>
      <c r="H57" s="818"/>
      <c r="I57" s="818"/>
      <c r="J57" s="818"/>
      <c r="K57" s="818"/>
      <c r="L57" s="818"/>
      <c r="M57" s="818"/>
      <c r="N57" s="818"/>
      <c r="O57" s="818"/>
      <c r="P57" s="818"/>
      <c r="Q57" s="818"/>
      <c r="R57" s="818"/>
      <c r="S57" s="818"/>
      <c r="T57" s="818"/>
      <c r="U57" s="818"/>
      <c r="V57" s="818"/>
    </row>
    <row r="58" spans="2:22" x14ac:dyDescent="0.2">
      <c r="C58" s="818"/>
      <c r="D58" s="818"/>
      <c r="E58" s="818"/>
      <c r="F58" s="818"/>
      <c r="G58" s="818"/>
      <c r="H58" s="818"/>
      <c r="I58" s="818"/>
      <c r="J58" s="818"/>
      <c r="K58" s="818"/>
      <c r="L58" s="818"/>
      <c r="M58" s="818"/>
      <c r="N58" s="818"/>
      <c r="O58" s="818"/>
      <c r="P58" s="818"/>
      <c r="Q58" s="818"/>
      <c r="R58" s="818"/>
      <c r="S58" s="818"/>
      <c r="T58" s="818"/>
      <c r="U58" s="818"/>
      <c r="V58" s="818"/>
    </row>
    <row r="59" spans="2:22" x14ac:dyDescent="0.2">
      <c r="C59" s="818"/>
      <c r="D59" s="818"/>
      <c r="E59" s="818"/>
      <c r="F59" s="818"/>
      <c r="G59" s="818"/>
      <c r="H59" s="818"/>
      <c r="I59" s="818"/>
      <c r="J59" s="818"/>
      <c r="K59" s="818"/>
      <c r="L59" s="818"/>
      <c r="M59" s="818"/>
      <c r="N59" s="818"/>
      <c r="O59" s="818"/>
      <c r="P59" s="818"/>
      <c r="Q59" s="818"/>
      <c r="R59" s="818"/>
      <c r="S59" s="818"/>
      <c r="T59" s="818"/>
      <c r="U59" s="818"/>
      <c r="V59" s="818"/>
    </row>
    <row r="60" spans="2:22" x14ac:dyDescent="0.2">
      <c r="C60" s="818"/>
      <c r="D60" s="818"/>
      <c r="E60" s="818"/>
      <c r="F60" s="818"/>
      <c r="G60" s="818"/>
      <c r="H60" s="818"/>
      <c r="I60" s="818"/>
      <c r="J60" s="818"/>
      <c r="K60" s="818"/>
      <c r="L60" s="818"/>
      <c r="M60" s="818"/>
      <c r="N60" s="818"/>
      <c r="O60" s="818"/>
      <c r="P60" s="818"/>
      <c r="Q60" s="818"/>
      <c r="R60" s="818"/>
      <c r="S60" s="818"/>
      <c r="T60" s="818"/>
      <c r="U60" s="818"/>
      <c r="V60" s="818"/>
    </row>
    <row r="61" spans="2:22" x14ac:dyDescent="0.2">
      <c r="C61" s="818"/>
      <c r="D61" s="818"/>
      <c r="E61" s="818"/>
      <c r="F61" s="818"/>
      <c r="G61" s="818"/>
      <c r="H61" s="818"/>
      <c r="I61" s="818"/>
      <c r="J61" s="818"/>
      <c r="K61" s="818"/>
      <c r="L61" s="818"/>
      <c r="M61" s="818"/>
      <c r="N61" s="818"/>
      <c r="O61" s="818"/>
      <c r="P61" s="818"/>
      <c r="Q61" s="818"/>
      <c r="R61" s="818"/>
      <c r="S61" s="818"/>
      <c r="T61" s="818"/>
      <c r="U61" s="818"/>
      <c r="V61" s="818"/>
    </row>
    <row r="62" spans="2:22" x14ac:dyDescent="0.2">
      <c r="C62" s="818"/>
      <c r="D62" s="818"/>
      <c r="E62" s="818"/>
      <c r="F62" s="818"/>
      <c r="G62" s="818"/>
      <c r="H62" s="818"/>
      <c r="I62" s="818"/>
      <c r="J62" s="818"/>
      <c r="K62" s="818"/>
      <c r="L62" s="818"/>
      <c r="M62" s="818"/>
      <c r="N62" s="818"/>
      <c r="O62" s="818"/>
      <c r="P62" s="818"/>
      <c r="Q62" s="818"/>
      <c r="R62" s="818"/>
      <c r="S62" s="818"/>
      <c r="T62" s="818"/>
      <c r="U62" s="818"/>
      <c r="V62" s="818"/>
    </row>
    <row r="63" spans="2:22" x14ac:dyDescent="0.2">
      <c r="C63" s="818"/>
      <c r="D63" s="818"/>
      <c r="E63" s="818"/>
      <c r="F63" s="818"/>
      <c r="G63" s="818"/>
      <c r="H63" s="818"/>
      <c r="I63" s="818"/>
      <c r="J63" s="818"/>
      <c r="K63" s="818"/>
      <c r="L63" s="818"/>
      <c r="M63" s="818"/>
      <c r="N63" s="818"/>
      <c r="O63" s="818"/>
      <c r="P63" s="818"/>
      <c r="Q63" s="818"/>
      <c r="R63" s="818"/>
      <c r="S63" s="818"/>
      <c r="T63" s="818"/>
      <c r="U63" s="818"/>
      <c r="V63" s="818"/>
    </row>
    <row r="64" spans="2:22" x14ac:dyDescent="0.2">
      <c r="C64" s="818"/>
      <c r="D64" s="818"/>
      <c r="E64" s="818"/>
      <c r="F64" s="818"/>
      <c r="G64" s="818"/>
      <c r="H64" s="818"/>
      <c r="I64" s="818"/>
      <c r="J64" s="818"/>
      <c r="K64" s="818"/>
      <c r="L64" s="818"/>
      <c r="M64" s="818"/>
      <c r="N64" s="818"/>
      <c r="O64" s="818"/>
      <c r="P64" s="818"/>
      <c r="Q64" s="818"/>
      <c r="R64" s="818"/>
      <c r="S64" s="818"/>
      <c r="T64" s="818"/>
      <c r="U64" s="818"/>
      <c r="V64" s="818"/>
    </row>
  </sheetData>
  <sheetProtection algorithmName="SHA-512" hashValue="dh8KTl0QilJ3NUt+JDA5oQ1zir3ngoeojYbZD1ENAaefXnDkAgJH1bXvo/AzbQC0jHar3s4Yc+MraIgBxCU/hg==" saltValue="KvW3WCeYU9cKQ6Kf/pK3BQ==" spinCount="100000" sheet="1" objects="1" scenarios="1"/>
  <mergeCells count="19">
    <mergeCell ref="C63:V63"/>
    <mergeCell ref="C64:V64"/>
    <mergeCell ref="C55:V55"/>
    <mergeCell ref="C56:V56"/>
    <mergeCell ref="C57:V57"/>
    <mergeCell ref="C58:V58"/>
    <mergeCell ref="C59:V59"/>
    <mergeCell ref="B14:V14"/>
    <mergeCell ref="D26:D27"/>
    <mergeCell ref="C60:V60"/>
    <mergeCell ref="C61:V61"/>
    <mergeCell ref="C62:V62"/>
    <mergeCell ref="F24:J24"/>
    <mergeCell ref="L24:P24"/>
    <mergeCell ref="R24:V24"/>
    <mergeCell ref="B16:V16"/>
    <mergeCell ref="B18:V18"/>
    <mergeCell ref="F22:J22"/>
    <mergeCell ref="B20:V20"/>
  </mergeCells>
  <pageMargins left="0.7" right="0.7" top="0.75" bottom="0.75" header="0.3" footer="0.3"/>
  <pageSetup scale="58"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3:O155"/>
  <sheetViews>
    <sheetView showGridLines="0" workbookViewId="0"/>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9.140625" customWidth="1"/>
    <col min="14" max="14" width="7.28515625" customWidth="1"/>
  </cols>
  <sheetData>
    <row r="13" spans="2:15" ht="9" customHeight="1" x14ac:dyDescent="0.2"/>
    <row r="14" spans="2:15" ht="17.25" customHeight="1" x14ac:dyDescent="0.25">
      <c r="B14" s="863" t="s">
        <v>341</v>
      </c>
      <c r="C14" s="863"/>
      <c r="D14" s="863"/>
      <c r="E14" s="863"/>
      <c r="F14" s="863"/>
      <c r="G14" s="863"/>
      <c r="H14" s="863"/>
      <c r="I14" s="863"/>
      <c r="J14" s="863"/>
      <c r="K14" s="863"/>
      <c r="L14" s="863"/>
      <c r="M14" s="863"/>
      <c r="N14" s="863"/>
      <c r="O14" s="863"/>
    </row>
    <row r="15" spans="2:15" ht="9" customHeight="1" x14ac:dyDescent="0.2"/>
    <row r="16" spans="2:15" ht="30" customHeight="1" x14ac:dyDescent="0.2">
      <c r="B16" s="861" t="s">
        <v>335</v>
      </c>
      <c r="C16" s="861"/>
      <c r="D16" s="861"/>
      <c r="E16" s="861"/>
      <c r="F16" s="861"/>
      <c r="G16" s="861"/>
      <c r="H16" s="861"/>
      <c r="I16" s="861"/>
      <c r="J16" s="861"/>
      <c r="K16" s="861"/>
      <c r="L16" s="861"/>
      <c r="M16" s="861"/>
      <c r="N16" s="861"/>
      <c r="O16" s="861"/>
    </row>
    <row r="17" spans="2:15" ht="13.5" hidden="1" customHeight="1" x14ac:dyDescent="0.2">
      <c r="B17" s="694"/>
      <c r="C17" s="694"/>
      <c r="D17" s="694"/>
      <c r="E17" s="694"/>
      <c r="F17" s="694"/>
      <c r="G17" s="694"/>
      <c r="H17" s="694"/>
      <c r="I17" s="694"/>
      <c r="J17" s="694"/>
      <c r="K17" s="694"/>
      <c r="L17" s="694"/>
      <c r="M17" s="694"/>
      <c r="N17" s="694"/>
      <c r="O17" s="694"/>
    </row>
    <row r="18" spans="2:15" ht="30" hidden="1" customHeight="1" x14ac:dyDescent="0.2">
      <c r="B18" s="694"/>
      <c r="C18" s="694"/>
      <c r="D18" s="694"/>
      <c r="E18" s="694"/>
      <c r="F18" s="694"/>
      <c r="G18" s="694"/>
      <c r="H18" s="694"/>
      <c r="I18" s="694"/>
      <c r="J18" s="694"/>
      <c r="K18" s="694"/>
      <c r="L18" s="694"/>
      <c r="M18" s="694"/>
      <c r="N18" s="694"/>
      <c r="O18" s="694"/>
    </row>
    <row r="19" spans="2:15" ht="9" customHeight="1" x14ac:dyDescent="0.2">
      <c r="B19" s="694"/>
      <c r="C19" s="694"/>
      <c r="D19" s="694"/>
      <c r="E19" s="694"/>
      <c r="F19" s="694"/>
      <c r="G19" s="694"/>
      <c r="H19" s="694"/>
      <c r="I19" s="694"/>
      <c r="J19" s="694"/>
      <c r="K19" s="694"/>
      <c r="L19" s="694"/>
      <c r="M19" s="694"/>
      <c r="N19" s="694"/>
      <c r="O19" s="694"/>
    </row>
    <row r="20" spans="2:15" ht="13.5" customHeight="1" x14ac:dyDescent="0.2">
      <c r="B20" s="694"/>
      <c r="C20" s="707" t="s">
        <v>339</v>
      </c>
      <c r="D20" s="694"/>
      <c r="E20" s="866" t="str">
        <f>IF(ISBLANK('10. Load Forecast'!F22),"",'10. Load Forecast'!F22)</f>
        <v>Settlement Agreement</v>
      </c>
      <c r="F20" s="866"/>
      <c r="G20" s="866"/>
      <c r="H20" s="694"/>
      <c r="I20" s="694"/>
      <c r="J20" s="694"/>
      <c r="K20" s="694"/>
      <c r="L20" s="694"/>
      <c r="M20" s="694"/>
      <c r="N20" s="694"/>
      <c r="O20" s="694"/>
    </row>
    <row r="21" spans="2:15" ht="9" customHeight="1" x14ac:dyDescent="0.2">
      <c r="B21" s="694"/>
      <c r="C21" s="707"/>
      <c r="D21" s="694"/>
      <c r="E21" s="527"/>
      <c r="F21" s="527"/>
      <c r="G21" s="527"/>
      <c r="H21" s="694"/>
      <c r="I21" s="694"/>
      <c r="J21" s="694"/>
      <c r="K21" s="694"/>
      <c r="L21" s="694"/>
      <c r="M21" s="694"/>
      <c r="N21" s="694"/>
      <c r="O21" s="694"/>
    </row>
    <row r="22" spans="2:15" ht="13.5" customHeight="1" x14ac:dyDescent="0.2">
      <c r="B22" s="695" t="s">
        <v>337</v>
      </c>
      <c r="C22" s="695" t="s">
        <v>338</v>
      </c>
      <c r="D22" s="694"/>
      <c r="E22" s="527"/>
      <c r="F22" s="527"/>
      <c r="G22" s="527"/>
      <c r="H22" s="694"/>
      <c r="I22" s="694"/>
      <c r="J22" s="694"/>
      <c r="K22" s="694"/>
      <c r="L22" s="694"/>
      <c r="M22" s="694"/>
      <c r="N22" s="694"/>
      <c r="O22" s="694"/>
    </row>
    <row r="23" spans="2:15" ht="9" customHeight="1" thickBot="1" x14ac:dyDescent="0.25"/>
    <row r="24" spans="2:15" ht="26.25" customHeight="1" x14ac:dyDescent="0.2">
      <c r="B24" s="530"/>
      <c r="C24" s="531" t="s">
        <v>346</v>
      </c>
      <c r="D24" s="510"/>
      <c r="E24" s="699" t="s">
        <v>345</v>
      </c>
      <c r="F24" s="510"/>
      <c r="G24" s="532" t="s">
        <v>336</v>
      </c>
      <c r="H24" s="510"/>
      <c r="I24" s="864" t="s">
        <v>332</v>
      </c>
      <c r="J24" s="510"/>
      <c r="K24" s="699" t="s">
        <v>336</v>
      </c>
      <c r="L24" s="508"/>
    </row>
    <row r="25" spans="2:15" ht="15.75" customHeight="1" x14ac:dyDescent="0.2">
      <c r="B25" s="512"/>
      <c r="C25" s="533" t="s">
        <v>330</v>
      </c>
      <c r="D25" s="382"/>
      <c r="E25" s="382"/>
      <c r="F25" s="382"/>
      <c r="G25" s="382"/>
      <c r="H25" s="382"/>
      <c r="I25" s="865"/>
      <c r="J25" s="382"/>
      <c r="K25" s="543"/>
      <c r="L25" s="381"/>
    </row>
    <row r="26" spans="2:15" ht="15.75" customHeight="1" x14ac:dyDescent="0.2">
      <c r="B26" s="512"/>
      <c r="C26" s="533"/>
      <c r="D26" s="382"/>
      <c r="E26" s="382"/>
      <c r="F26" s="382"/>
      <c r="G26" s="382"/>
      <c r="H26" s="382"/>
      <c r="I26" s="534" t="s">
        <v>348</v>
      </c>
      <c r="J26" s="382"/>
      <c r="K26" s="543"/>
      <c r="L26" s="381"/>
    </row>
    <row r="27" spans="2:15" ht="7.5" customHeight="1" thickBot="1" x14ac:dyDescent="0.25">
      <c r="B27" s="512"/>
      <c r="C27" s="382"/>
      <c r="D27" s="382"/>
      <c r="E27" s="382"/>
      <c r="F27" s="382"/>
      <c r="G27" s="382"/>
      <c r="H27" s="382"/>
      <c r="I27" s="382"/>
      <c r="J27" s="382"/>
      <c r="K27" s="501"/>
      <c r="L27" s="381"/>
    </row>
    <row r="28" spans="2:15" x14ac:dyDescent="0.2">
      <c r="B28" s="512">
        <v>1</v>
      </c>
      <c r="C28" s="709" t="str">
        <f>IF(ISBLANK('10. Load Forecast'!D29),"",'10. Load Forecast'!D29)</f>
        <v>Residential</v>
      </c>
      <c r="D28" s="510"/>
      <c r="E28" s="617">
        <v>2844234.7020812868</v>
      </c>
      <c r="F28" s="510"/>
      <c r="G28" s="571">
        <f>IF(E$49=0,"",E28/E$49)</f>
        <v>0.59943277374743653</v>
      </c>
      <c r="H28" s="510"/>
      <c r="I28" s="617">
        <v>3627579.0297132446</v>
      </c>
      <c r="J28" s="510"/>
      <c r="K28" s="576">
        <f>IF(I$49=0,"",I28/I$49)</f>
        <v>0.60147922763925465</v>
      </c>
      <c r="L28" s="383"/>
    </row>
    <row r="29" spans="2:15" x14ac:dyDescent="0.2">
      <c r="B29" s="512">
        <v>2</v>
      </c>
      <c r="C29" s="710" t="str">
        <f>IF(ISBLANK('10. Load Forecast'!D30),"",'10. Load Forecast'!D30)</f>
        <v>GS&lt;50</v>
      </c>
      <c r="D29" s="382"/>
      <c r="E29" s="618">
        <v>869163.51834944915</v>
      </c>
      <c r="F29" s="382"/>
      <c r="G29" s="572">
        <f t="shared" ref="G29:G47" si="0">IF(E$49=0,"",E29/E$49)</f>
        <v>0.18317936218942921</v>
      </c>
      <c r="H29" s="382"/>
      <c r="I29" s="618">
        <v>1153495.9655603603</v>
      </c>
      <c r="J29" s="382"/>
      <c r="K29" s="577">
        <f t="shared" ref="K29:K47" si="1">IF(I$49=0,"",I29/I$49)</f>
        <v>0.19125809714063929</v>
      </c>
      <c r="L29" s="383"/>
    </row>
    <row r="30" spans="2:15" x14ac:dyDescent="0.2">
      <c r="B30" s="512">
        <v>3</v>
      </c>
      <c r="C30" s="710" t="str">
        <f>IF(ISBLANK('10. Load Forecast'!D31),"",'10. Load Forecast'!D31)</f>
        <v>GS&gt;50</v>
      </c>
      <c r="D30" s="382"/>
      <c r="E30" s="618">
        <v>691959.42857779493</v>
      </c>
      <c r="F30" s="382"/>
      <c r="G30" s="572">
        <f t="shared" si="0"/>
        <v>0.14583295790940129</v>
      </c>
      <c r="H30" s="382"/>
      <c r="I30" s="618">
        <v>888662.01258509303</v>
      </c>
      <c r="J30" s="382"/>
      <c r="K30" s="577">
        <f t="shared" si="1"/>
        <v>0.14734668399609746</v>
      </c>
      <c r="L30" s="383"/>
    </row>
    <row r="31" spans="2:15" x14ac:dyDescent="0.2">
      <c r="B31" s="512">
        <v>4</v>
      </c>
      <c r="C31" s="710" t="str">
        <f>IF(ISBLANK('10. Load Forecast'!D32),"",'10. Load Forecast'!D32)</f>
        <v>Unmetered</v>
      </c>
      <c r="D31" s="382"/>
      <c r="E31" s="618">
        <v>5907.0747732523205</v>
      </c>
      <c r="F31" s="382"/>
      <c r="G31" s="572">
        <f t="shared" si="0"/>
        <v>1.2449374214698514E-3</v>
      </c>
      <c r="H31" s="382"/>
      <c r="I31" s="618">
        <v>8059.9674240705199</v>
      </c>
      <c r="J31" s="382"/>
      <c r="K31" s="577">
        <f t="shared" si="1"/>
        <v>1.3364017548118611E-3</v>
      </c>
      <c r="L31" s="383"/>
    </row>
    <row r="32" spans="2:15" x14ac:dyDescent="0.2">
      <c r="B32" s="512">
        <v>5</v>
      </c>
      <c r="C32" s="710" t="str">
        <f>IF(ISBLANK('10. Load Forecast'!D33),"",'10. Load Forecast'!D33)</f>
        <v>Streetlights</v>
      </c>
      <c r="D32" s="382"/>
      <c r="E32" s="618">
        <v>333612.1442282215</v>
      </c>
      <c r="F32" s="382"/>
      <c r="G32" s="572">
        <f t="shared" si="0"/>
        <v>7.0309968732263015E-2</v>
      </c>
      <c r="H32" s="382"/>
      <c r="I32" s="618">
        <v>185551.37888204149</v>
      </c>
      <c r="J32" s="382"/>
      <c r="K32" s="577">
        <f t="shared" si="1"/>
        <v>3.0765780467694254E-2</v>
      </c>
      <c r="L32" s="383"/>
    </row>
    <row r="33" spans="2:12" x14ac:dyDescent="0.2">
      <c r="B33" s="512">
        <v>6</v>
      </c>
      <c r="C33" s="710" t="str">
        <f>IF(ISBLANK('10. Load Forecast'!D34),"",'10. Load Forecast'!D34)</f>
        <v>Large User</v>
      </c>
      <c r="D33" s="382"/>
      <c r="E33" s="618">
        <v>0</v>
      </c>
      <c r="F33" s="382"/>
      <c r="G33" s="572">
        <f t="shared" si="0"/>
        <v>0</v>
      </c>
      <c r="H33" s="382"/>
      <c r="I33" s="618">
        <v>167747.75525716756</v>
      </c>
      <c r="J33" s="382"/>
      <c r="K33" s="577">
        <f t="shared" si="1"/>
        <v>2.7813809001502474E-2</v>
      </c>
      <c r="L33" s="383"/>
    </row>
    <row r="34" spans="2:12" x14ac:dyDescent="0.2">
      <c r="B34" s="512">
        <v>7</v>
      </c>
      <c r="C34" s="710" t="str">
        <f>IF(ISBLANK('10. Load Forecast'!D35),"",'10. Load Forecast'!D35)</f>
        <v/>
      </c>
      <c r="D34" s="382"/>
      <c r="E34" s="618"/>
      <c r="F34" s="382"/>
      <c r="G34" s="572">
        <f t="shared" si="0"/>
        <v>0</v>
      </c>
      <c r="H34" s="382"/>
      <c r="I34" s="618"/>
      <c r="J34" s="382"/>
      <c r="K34" s="577">
        <f t="shared" si="1"/>
        <v>0</v>
      </c>
      <c r="L34" s="383"/>
    </row>
    <row r="35" spans="2:12" x14ac:dyDescent="0.2">
      <c r="B35" s="512">
        <v>8</v>
      </c>
      <c r="C35" s="710" t="str">
        <f>IF(ISBLANK('10. Load Forecast'!D36),"",'10. Load Forecast'!D36)</f>
        <v/>
      </c>
      <c r="D35" s="382"/>
      <c r="E35" s="618"/>
      <c r="F35" s="382"/>
      <c r="G35" s="572">
        <f t="shared" si="0"/>
        <v>0</v>
      </c>
      <c r="H35" s="382"/>
      <c r="I35" s="618"/>
      <c r="J35" s="382"/>
      <c r="K35" s="577">
        <f t="shared" si="1"/>
        <v>0</v>
      </c>
      <c r="L35" s="383"/>
    </row>
    <row r="36" spans="2:12" x14ac:dyDescent="0.2">
      <c r="B36" s="512">
        <v>9</v>
      </c>
      <c r="C36" s="710" t="str">
        <f>IF(ISBLANK('10. Load Forecast'!D37),"",'10. Load Forecast'!D37)</f>
        <v/>
      </c>
      <c r="D36" s="382"/>
      <c r="E36" s="618"/>
      <c r="F36" s="382"/>
      <c r="G36" s="572">
        <f t="shared" si="0"/>
        <v>0</v>
      </c>
      <c r="H36" s="382"/>
      <c r="I36" s="618"/>
      <c r="J36" s="382"/>
      <c r="K36" s="577">
        <f t="shared" si="1"/>
        <v>0</v>
      </c>
      <c r="L36" s="383"/>
    </row>
    <row r="37" spans="2:12" x14ac:dyDescent="0.2">
      <c r="B37" s="512">
        <v>10</v>
      </c>
      <c r="C37" s="710" t="str">
        <f>IF(ISBLANK('10. Load Forecast'!D38),"",'10. Load Forecast'!D38)</f>
        <v/>
      </c>
      <c r="D37" s="382"/>
      <c r="E37" s="618"/>
      <c r="F37" s="382"/>
      <c r="G37" s="572">
        <f t="shared" si="0"/>
        <v>0</v>
      </c>
      <c r="H37" s="382"/>
      <c r="I37" s="618"/>
      <c r="J37" s="382"/>
      <c r="K37" s="577">
        <f t="shared" si="1"/>
        <v>0</v>
      </c>
      <c r="L37" s="383"/>
    </row>
    <row r="38" spans="2:12" x14ac:dyDescent="0.2">
      <c r="B38" s="512">
        <v>11</v>
      </c>
      <c r="C38" s="710" t="str">
        <f>IF(ISBLANK('10. Load Forecast'!D39),"",'10. Load Forecast'!D39)</f>
        <v/>
      </c>
      <c r="D38" s="382"/>
      <c r="E38" s="618"/>
      <c r="F38" s="382"/>
      <c r="G38" s="572">
        <f t="shared" si="0"/>
        <v>0</v>
      </c>
      <c r="H38" s="382"/>
      <c r="I38" s="618"/>
      <c r="J38" s="382"/>
      <c r="K38" s="577">
        <f t="shared" si="1"/>
        <v>0</v>
      </c>
      <c r="L38" s="383"/>
    </row>
    <row r="39" spans="2:12" x14ac:dyDescent="0.2">
      <c r="B39" s="512">
        <v>12</v>
      </c>
      <c r="C39" s="710" t="str">
        <f>IF(ISBLANK('10. Load Forecast'!D40),"",'10. Load Forecast'!D40)</f>
        <v/>
      </c>
      <c r="D39" s="382"/>
      <c r="E39" s="618"/>
      <c r="F39" s="382"/>
      <c r="G39" s="572">
        <f t="shared" si="0"/>
        <v>0</v>
      </c>
      <c r="H39" s="382"/>
      <c r="I39" s="618"/>
      <c r="J39" s="382"/>
      <c r="K39" s="577">
        <f t="shared" si="1"/>
        <v>0</v>
      </c>
      <c r="L39" s="383"/>
    </row>
    <row r="40" spans="2:12" x14ac:dyDescent="0.2">
      <c r="B40" s="512">
        <v>13</v>
      </c>
      <c r="C40" s="710" t="str">
        <f>IF(ISBLANK('10. Load Forecast'!D41),"",'10. Load Forecast'!D41)</f>
        <v/>
      </c>
      <c r="D40" s="382"/>
      <c r="E40" s="618"/>
      <c r="F40" s="382"/>
      <c r="G40" s="572">
        <f t="shared" si="0"/>
        <v>0</v>
      </c>
      <c r="H40" s="382"/>
      <c r="I40" s="618"/>
      <c r="J40" s="382"/>
      <c r="K40" s="577">
        <f t="shared" si="1"/>
        <v>0</v>
      </c>
      <c r="L40" s="383"/>
    </row>
    <row r="41" spans="2:12" x14ac:dyDescent="0.2">
      <c r="B41" s="512">
        <v>14</v>
      </c>
      <c r="C41" s="710" t="str">
        <f>IF(ISBLANK('10. Load Forecast'!D42),"",'10. Load Forecast'!D42)</f>
        <v/>
      </c>
      <c r="D41" s="382"/>
      <c r="E41" s="618"/>
      <c r="F41" s="382"/>
      <c r="G41" s="572">
        <f t="shared" si="0"/>
        <v>0</v>
      </c>
      <c r="H41" s="382"/>
      <c r="I41" s="618"/>
      <c r="J41" s="382"/>
      <c r="K41" s="577">
        <f t="shared" si="1"/>
        <v>0</v>
      </c>
      <c r="L41" s="383"/>
    </row>
    <row r="42" spans="2:12" x14ac:dyDescent="0.2">
      <c r="B42" s="512">
        <v>15</v>
      </c>
      <c r="C42" s="710" t="str">
        <f>IF(ISBLANK('10. Load Forecast'!D43),"",'10. Load Forecast'!D43)</f>
        <v/>
      </c>
      <c r="D42" s="382"/>
      <c r="E42" s="618"/>
      <c r="F42" s="382"/>
      <c r="G42" s="572">
        <f t="shared" si="0"/>
        <v>0</v>
      </c>
      <c r="H42" s="382"/>
      <c r="I42" s="618"/>
      <c r="J42" s="382"/>
      <c r="K42" s="577">
        <f t="shared" si="1"/>
        <v>0</v>
      </c>
      <c r="L42" s="383"/>
    </row>
    <row r="43" spans="2:12" x14ac:dyDescent="0.2">
      <c r="B43" s="512">
        <v>16</v>
      </c>
      <c r="C43" s="710" t="str">
        <f>IF(ISBLANK('10. Load Forecast'!D44),"",'10. Load Forecast'!D44)</f>
        <v/>
      </c>
      <c r="D43" s="382"/>
      <c r="E43" s="618"/>
      <c r="F43" s="382"/>
      <c r="G43" s="572">
        <f t="shared" si="0"/>
        <v>0</v>
      </c>
      <c r="H43" s="382"/>
      <c r="I43" s="618"/>
      <c r="J43" s="382"/>
      <c r="K43" s="577">
        <f t="shared" si="1"/>
        <v>0</v>
      </c>
      <c r="L43" s="383"/>
    </row>
    <row r="44" spans="2:12" x14ac:dyDescent="0.2">
      <c r="B44" s="512">
        <v>17</v>
      </c>
      <c r="C44" s="710" t="str">
        <f>IF(ISBLANK('10. Load Forecast'!D45),"",'10. Load Forecast'!D45)</f>
        <v/>
      </c>
      <c r="D44" s="382"/>
      <c r="E44" s="618"/>
      <c r="F44" s="382"/>
      <c r="G44" s="572">
        <f t="shared" si="0"/>
        <v>0</v>
      </c>
      <c r="H44" s="382"/>
      <c r="I44" s="618"/>
      <c r="J44" s="382"/>
      <c r="K44" s="577">
        <f t="shared" si="1"/>
        <v>0</v>
      </c>
      <c r="L44" s="383"/>
    </row>
    <row r="45" spans="2:12" x14ac:dyDescent="0.2">
      <c r="B45" s="512">
        <v>18</v>
      </c>
      <c r="C45" s="710" t="str">
        <f>IF(ISBLANK('10. Load Forecast'!D46),"",'10. Load Forecast'!D46)</f>
        <v/>
      </c>
      <c r="D45" s="382"/>
      <c r="E45" s="618"/>
      <c r="F45" s="382"/>
      <c r="G45" s="572">
        <f t="shared" si="0"/>
        <v>0</v>
      </c>
      <c r="H45" s="382"/>
      <c r="I45" s="618"/>
      <c r="J45" s="382"/>
      <c r="K45" s="577">
        <f t="shared" si="1"/>
        <v>0</v>
      </c>
      <c r="L45" s="383"/>
    </row>
    <row r="46" spans="2:12" x14ac:dyDescent="0.2">
      <c r="B46" s="512">
        <v>19</v>
      </c>
      <c r="C46" s="710" t="str">
        <f>IF(ISBLANK('10. Load Forecast'!D47),"",'10. Load Forecast'!D47)</f>
        <v/>
      </c>
      <c r="D46" s="382"/>
      <c r="E46" s="618"/>
      <c r="F46" s="382"/>
      <c r="G46" s="572">
        <f t="shared" si="0"/>
        <v>0</v>
      </c>
      <c r="H46" s="382"/>
      <c r="I46" s="618"/>
      <c r="J46" s="382"/>
      <c r="K46" s="577">
        <f t="shared" si="1"/>
        <v>0</v>
      </c>
      <c r="L46" s="383"/>
    </row>
    <row r="47" spans="2:12" ht="13.5" thickBot="1" x14ac:dyDescent="0.25">
      <c r="B47" s="512">
        <v>20</v>
      </c>
      <c r="C47" s="710" t="str">
        <f>IF(ISBLANK('10. Load Forecast'!D48),"",'10. Load Forecast'!D48)</f>
        <v/>
      </c>
      <c r="D47" s="382"/>
      <c r="E47" s="619"/>
      <c r="F47" s="382"/>
      <c r="G47" s="573">
        <f t="shared" si="0"/>
        <v>0</v>
      </c>
      <c r="H47" s="382"/>
      <c r="I47" s="619"/>
      <c r="J47" s="382"/>
      <c r="K47" s="578">
        <f t="shared" si="1"/>
        <v>0</v>
      </c>
      <c r="L47" s="383"/>
    </row>
    <row r="48" spans="2:12" ht="7.5" customHeight="1" thickTop="1" x14ac:dyDescent="0.2">
      <c r="B48" s="512"/>
      <c r="C48" s="544"/>
      <c r="D48" s="382"/>
      <c r="E48" s="382"/>
      <c r="F48" s="382"/>
      <c r="G48" s="574"/>
      <c r="H48" s="382"/>
      <c r="I48" s="382"/>
      <c r="J48" s="382"/>
      <c r="K48" s="579"/>
      <c r="L48" s="383"/>
    </row>
    <row r="49" spans="2:15" ht="13.5" thickBot="1" x14ac:dyDescent="0.25">
      <c r="B49" s="512"/>
      <c r="C49" s="540" t="s">
        <v>19</v>
      </c>
      <c r="D49" s="501"/>
      <c r="E49" s="541">
        <f>SUM(E28:E47)</f>
        <v>4744876.868010005</v>
      </c>
      <c r="F49" s="501"/>
      <c r="G49" s="575">
        <f>SUM(G28:G47)</f>
        <v>0.99999999999999989</v>
      </c>
      <c r="H49" s="501"/>
      <c r="I49" s="542">
        <f>SUM(I28:I47)</f>
        <v>6031096.1094219778</v>
      </c>
      <c r="J49" s="501"/>
      <c r="K49" s="580">
        <f>SUM(K28:K47)</f>
        <v>1</v>
      </c>
      <c r="L49" s="383"/>
    </row>
    <row r="50" spans="2:15" x14ac:dyDescent="0.2">
      <c r="B50" s="512"/>
      <c r="C50" s="536"/>
      <c r="D50" s="382"/>
      <c r="E50" s="382"/>
      <c r="F50" s="382"/>
      <c r="G50" s="382"/>
      <c r="H50" s="382"/>
      <c r="I50" s="537"/>
      <c r="J50" s="382"/>
      <c r="K50" s="510"/>
      <c r="L50" s="381"/>
    </row>
    <row r="51" spans="2:15" ht="51.75" customHeight="1" thickBot="1" x14ac:dyDescent="0.25">
      <c r="B51" s="505"/>
      <c r="C51" s="538" t="str">
        <f>IF(I51=0,"",IF(ABS(I51-I49)&lt;(0.001*I51)," ","Allocated Revenue Requirement does not match Base Revenue Requirement from Sheet 9. Check data."))</f>
        <v xml:space="preserve"> </v>
      </c>
      <c r="D51" s="501"/>
      <c r="E51" s="501"/>
      <c r="F51" s="501"/>
      <c r="G51" s="723" t="s">
        <v>445</v>
      </c>
      <c r="H51" s="501"/>
      <c r="I51" s="539">
        <f>IF(ISBLANK(E20),"",IF(E20='13. Rate Design'!AC4,'9. Rev_Reqt'!F25,IF(E20='13. Rate Design'!AC6,'9. Rev_Reqt'!N25,'9. Rev_Reqt'!J25)))</f>
        <v>6031096.1094219759</v>
      </c>
      <c r="J51" s="501"/>
      <c r="K51" s="501"/>
      <c r="L51" s="502"/>
    </row>
    <row r="53" spans="2:15" ht="25.5" customHeight="1" x14ac:dyDescent="0.2">
      <c r="B53" s="528" t="s">
        <v>2</v>
      </c>
      <c r="C53" s="861" t="s">
        <v>340</v>
      </c>
      <c r="D53" s="861"/>
      <c r="E53" s="861"/>
      <c r="F53" s="861"/>
      <c r="G53" s="861"/>
      <c r="H53" s="861"/>
      <c r="I53" s="861"/>
      <c r="J53" s="861"/>
      <c r="K53" s="861"/>
      <c r="L53" s="861"/>
      <c r="M53" s="861"/>
      <c r="N53" s="861"/>
      <c r="O53" s="861"/>
    </row>
    <row r="54" spans="2:15" ht="25.5" customHeight="1" x14ac:dyDescent="0.2">
      <c r="B54" s="528" t="s">
        <v>3</v>
      </c>
      <c r="C54" s="862" t="s">
        <v>344</v>
      </c>
      <c r="D54" s="862"/>
      <c r="E54" s="862"/>
      <c r="F54" s="862"/>
      <c r="G54" s="862"/>
      <c r="H54" s="862"/>
      <c r="I54" s="862"/>
      <c r="J54" s="862"/>
      <c r="K54" s="862"/>
      <c r="L54" s="862"/>
      <c r="M54" s="862"/>
      <c r="N54" s="862"/>
      <c r="O54" s="862"/>
    </row>
    <row r="55" spans="2:15" ht="26.25" customHeight="1" x14ac:dyDescent="0.2">
      <c r="B55" s="528" t="s">
        <v>98</v>
      </c>
      <c r="C55" s="861" t="s">
        <v>347</v>
      </c>
      <c r="D55" s="861"/>
      <c r="E55" s="861"/>
      <c r="F55" s="861"/>
      <c r="G55" s="861"/>
      <c r="H55" s="861"/>
      <c r="I55" s="861"/>
      <c r="J55" s="861"/>
      <c r="K55" s="861"/>
      <c r="L55" s="861"/>
      <c r="M55" s="861"/>
      <c r="N55" s="861"/>
      <c r="O55" s="861"/>
    </row>
    <row r="56" spans="2:15" s="382" customFormat="1" ht="12" customHeight="1" x14ac:dyDescent="0.2"/>
    <row r="57" spans="2:15" x14ac:dyDescent="0.2">
      <c r="B57" s="529" t="s">
        <v>342</v>
      </c>
      <c r="C57" s="529" t="s">
        <v>343</v>
      </c>
    </row>
    <row r="58" spans="2:15" ht="9" customHeight="1" thickBot="1" x14ac:dyDescent="0.25"/>
    <row r="59" spans="2:15" ht="38.25" x14ac:dyDescent="0.2">
      <c r="B59" s="530"/>
      <c r="C59" s="531" t="s">
        <v>329</v>
      </c>
      <c r="D59" s="510"/>
      <c r="E59" s="699" t="s">
        <v>349</v>
      </c>
      <c r="F59" s="510"/>
      <c r="G59" s="699" t="s">
        <v>358</v>
      </c>
      <c r="H59" s="510"/>
      <c r="I59" s="532" t="s">
        <v>352</v>
      </c>
      <c r="J59" s="510"/>
      <c r="K59" s="699" t="s">
        <v>354</v>
      </c>
      <c r="L59" s="508"/>
    </row>
    <row r="60" spans="2:15" x14ac:dyDescent="0.2">
      <c r="B60" s="512"/>
      <c r="C60" s="382"/>
      <c r="D60" s="382"/>
      <c r="E60" s="545" t="s">
        <v>350</v>
      </c>
      <c r="F60" s="382"/>
      <c r="G60" s="546" t="s">
        <v>351</v>
      </c>
      <c r="H60" s="382"/>
      <c r="I60" s="546" t="s">
        <v>353</v>
      </c>
      <c r="J60" s="382"/>
      <c r="K60" s="546" t="s">
        <v>355</v>
      </c>
      <c r="L60" s="381"/>
    </row>
    <row r="61" spans="2:15" ht="13.5" thickBot="1" x14ac:dyDescent="0.25">
      <c r="B61" s="512"/>
      <c r="C61" s="382"/>
      <c r="D61" s="382"/>
      <c r="E61" s="382"/>
      <c r="F61" s="382"/>
      <c r="G61" s="382"/>
      <c r="H61" s="382"/>
      <c r="I61" s="382"/>
      <c r="J61" s="382"/>
      <c r="K61" s="382"/>
      <c r="L61" s="381"/>
    </row>
    <row r="62" spans="2:15" x14ac:dyDescent="0.2">
      <c r="B62" s="512">
        <v>1</v>
      </c>
      <c r="C62" s="709" t="str">
        <f>IF(ISBLANK(C28),"",C28)</f>
        <v>Residential</v>
      </c>
      <c r="D62" s="510"/>
      <c r="E62" s="617">
        <v>2923268.3024048302</v>
      </c>
      <c r="F62" s="510"/>
      <c r="G62" s="617">
        <v>2952907.1200198159</v>
      </c>
      <c r="H62" s="510"/>
      <c r="I62" s="617">
        <v>2981257.2867741203</v>
      </c>
      <c r="J62" s="510"/>
      <c r="K62" s="617">
        <v>304701.59401376994</v>
      </c>
      <c r="L62" s="381"/>
    </row>
    <row r="63" spans="2:15" x14ac:dyDescent="0.2">
      <c r="B63" s="512">
        <v>2</v>
      </c>
      <c r="C63" s="710" t="str">
        <f t="shared" ref="C63:C81" si="2">IF(ISBLANK(C29),"",C29)</f>
        <v>GS&lt;50</v>
      </c>
      <c r="D63" s="382"/>
      <c r="E63" s="618">
        <v>1177924.622173286</v>
      </c>
      <c r="F63" s="382"/>
      <c r="G63" s="618">
        <v>1189867.5194475714</v>
      </c>
      <c r="H63" s="382"/>
      <c r="I63" s="618">
        <v>1189863.7600354028</v>
      </c>
      <c r="J63" s="382"/>
      <c r="K63" s="618">
        <v>86364.176260579959</v>
      </c>
      <c r="L63" s="381"/>
    </row>
    <row r="64" spans="2:15" x14ac:dyDescent="0.2">
      <c r="B64" s="512">
        <v>3</v>
      </c>
      <c r="C64" s="710" t="str">
        <f t="shared" si="2"/>
        <v>GS&gt;50</v>
      </c>
      <c r="D64" s="382"/>
      <c r="E64" s="618">
        <v>977427.76362528477</v>
      </c>
      <c r="F64" s="382"/>
      <c r="G64" s="618">
        <v>987337.83694769628</v>
      </c>
      <c r="H64" s="382"/>
      <c r="I64" s="618">
        <v>987378.64554337121</v>
      </c>
      <c r="J64" s="382"/>
      <c r="K64" s="618">
        <v>63375.318137242313</v>
      </c>
      <c r="L64" s="381"/>
    </row>
    <row r="65" spans="2:12" x14ac:dyDescent="0.2">
      <c r="B65" s="512">
        <v>4</v>
      </c>
      <c r="C65" s="710" t="str">
        <f t="shared" si="2"/>
        <v>Unmetered</v>
      </c>
      <c r="D65" s="382"/>
      <c r="E65" s="618">
        <v>8349.8052000000007</v>
      </c>
      <c r="F65" s="382"/>
      <c r="G65" s="618">
        <v>8434.4633045057944</v>
      </c>
      <c r="H65" s="382"/>
      <c r="I65" s="618">
        <v>8434.7990902264446</v>
      </c>
      <c r="J65" s="382"/>
      <c r="K65" s="618">
        <v>755.98176344116246</v>
      </c>
      <c r="L65" s="381"/>
    </row>
    <row r="66" spans="2:12" x14ac:dyDescent="0.2">
      <c r="B66" s="512">
        <v>5</v>
      </c>
      <c r="C66" s="710" t="str">
        <f t="shared" si="2"/>
        <v>Streetlights</v>
      </c>
      <c r="D66" s="382"/>
      <c r="E66" s="618">
        <v>281951.61995196465</v>
      </c>
      <c r="F66" s="382"/>
      <c r="G66" s="618">
        <v>284810.3081651305</v>
      </c>
      <c r="H66" s="382"/>
      <c r="I66" s="618">
        <v>224279.73671437358</v>
      </c>
      <c r="J66" s="382"/>
      <c r="K66" s="618">
        <v>16937.055832280497</v>
      </c>
      <c r="L66" s="381"/>
    </row>
    <row r="67" spans="2:12" x14ac:dyDescent="0.2">
      <c r="B67" s="512">
        <v>6</v>
      </c>
      <c r="C67" s="710" t="str">
        <f t="shared" si="2"/>
        <v>Large User</v>
      </c>
      <c r="D67" s="382"/>
      <c r="E67" s="618">
        <v>124033.79999999999</v>
      </c>
      <c r="F67" s="382"/>
      <c r="G67" s="618">
        <v>125291.37022482998</v>
      </c>
      <c r="H67" s="382"/>
      <c r="I67" s="618">
        <v>157434.38995205329</v>
      </c>
      <c r="J67" s="382"/>
      <c r="K67" s="618">
        <v>10313.365305114266</v>
      </c>
      <c r="L67" s="381"/>
    </row>
    <row r="68" spans="2:12" x14ac:dyDescent="0.2">
      <c r="B68" s="512">
        <v>7</v>
      </c>
      <c r="C68" s="710" t="str">
        <f t="shared" si="2"/>
        <v/>
      </c>
      <c r="D68" s="382"/>
      <c r="E68" s="618"/>
      <c r="F68" s="382"/>
      <c r="G68" s="618"/>
      <c r="H68" s="382"/>
      <c r="I68" s="618"/>
      <c r="J68" s="382"/>
      <c r="K68" s="620"/>
      <c r="L68" s="381"/>
    </row>
    <row r="69" spans="2:12" x14ac:dyDescent="0.2">
      <c r="B69" s="512">
        <v>8</v>
      </c>
      <c r="C69" s="710" t="str">
        <f t="shared" si="2"/>
        <v/>
      </c>
      <c r="D69" s="382"/>
      <c r="E69" s="618"/>
      <c r="F69" s="382"/>
      <c r="G69" s="618"/>
      <c r="H69" s="382"/>
      <c r="I69" s="618"/>
      <c r="J69" s="382"/>
      <c r="K69" s="620"/>
      <c r="L69" s="381"/>
    </row>
    <row r="70" spans="2:12" x14ac:dyDescent="0.2">
      <c r="B70" s="512">
        <v>9</v>
      </c>
      <c r="C70" s="710" t="str">
        <f t="shared" si="2"/>
        <v/>
      </c>
      <c r="D70" s="382"/>
      <c r="E70" s="618"/>
      <c r="F70" s="382"/>
      <c r="G70" s="618"/>
      <c r="H70" s="382"/>
      <c r="I70" s="618"/>
      <c r="J70" s="382"/>
      <c r="K70" s="620"/>
      <c r="L70" s="381"/>
    </row>
    <row r="71" spans="2:12" x14ac:dyDescent="0.2">
      <c r="B71" s="512">
        <v>10</v>
      </c>
      <c r="C71" s="710" t="str">
        <f t="shared" si="2"/>
        <v/>
      </c>
      <c r="D71" s="382"/>
      <c r="E71" s="618"/>
      <c r="F71" s="382"/>
      <c r="G71" s="618"/>
      <c r="H71" s="382"/>
      <c r="I71" s="618"/>
      <c r="J71" s="382"/>
      <c r="K71" s="620"/>
      <c r="L71" s="381"/>
    </row>
    <row r="72" spans="2:12" x14ac:dyDescent="0.2">
      <c r="B72" s="512">
        <v>11</v>
      </c>
      <c r="C72" s="710" t="str">
        <f t="shared" si="2"/>
        <v/>
      </c>
      <c r="D72" s="382"/>
      <c r="E72" s="618"/>
      <c r="F72" s="382"/>
      <c r="G72" s="618"/>
      <c r="H72" s="382"/>
      <c r="I72" s="618"/>
      <c r="J72" s="382"/>
      <c r="K72" s="620"/>
      <c r="L72" s="381"/>
    </row>
    <row r="73" spans="2:12" x14ac:dyDescent="0.2">
      <c r="B73" s="512">
        <v>12</v>
      </c>
      <c r="C73" s="710" t="str">
        <f t="shared" si="2"/>
        <v/>
      </c>
      <c r="D73" s="382"/>
      <c r="E73" s="618"/>
      <c r="F73" s="382"/>
      <c r="G73" s="618"/>
      <c r="H73" s="382"/>
      <c r="I73" s="618"/>
      <c r="J73" s="382"/>
      <c r="K73" s="620"/>
      <c r="L73" s="381"/>
    </row>
    <row r="74" spans="2:12" x14ac:dyDescent="0.2">
      <c r="B74" s="512">
        <v>13</v>
      </c>
      <c r="C74" s="710" t="str">
        <f t="shared" si="2"/>
        <v/>
      </c>
      <c r="D74" s="382"/>
      <c r="E74" s="618"/>
      <c r="F74" s="382"/>
      <c r="G74" s="618"/>
      <c r="H74" s="382"/>
      <c r="I74" s="618"/>
      <c r="J74" s="382"/>
      <c r="K74" s="620"/>
      <c r="L74" s="381"/>
    </row>
    <row r="75" spans="2:12" x14ac:dyDescent="0.2">
      <c r="B75" s="512">
        <v>14</v>
      </c>
      <c r="C75" s="710" t="str">
        <f t="shared" si="2"/>
        <v/>
      </c>
      <c r="D75" s="382"/>
      <c r="E75" s="618"/>
      <c r="F75" s="382"/>
      <c r="G75" s="618"/>
      <c r="H75" s="382"/>
      <c r="I75" s="618"/>
      <c r="J75" s="382"/>
      <c r="K75" s="620"/>
      <c r="L75" s="381"/>
    </row>
    <row r="76" spans="2:12" x14ac:dyDescent="0.2">
      <c r="B76" s="512">
        <v>15</v>
      </c>
      <c r="C76" s="710" t="str">
        <f t="shared" si="2"/>
        <v/>
      </c>
      <c r="D76" s="382"/>
      <c r="E76" s="618"/>
      <c r="F76" s="382"/>
      <c r="G76" s="618"/>
      <c r="H76" s="382"/>
      <c r="I76" s="618"/>
      <c r="J76" s="382"/>
      <c r="K76" s="620"/>
      <c r="L76" s="381"/>
    </row>
    <row r="77" spans="2:12" x14ac:dyDescent="0.2">
      <c r="B77" s="512">
        <v>16</v>
      </c>
      <c r="C77" s="710" t="str">
        <f t="shared" si="2"/>
        <v/>
      </c>
      <c r="D77" s="382"/>
      <c r="E77" s="618"/>
      <c r="F77" s="382"/>
      <c r="G77" s="618"/>
      <c r="H77" s="382"/>
      <c r="I77" s="618"/>
      <c r="J77" s="382"/>
      <c r="K77" s="620"/>
      <c r="L77" s="381"/>
    </row>
    <row r="78" spans="2:12" x14ac:dyDescent="0.2">
      <c r="B78" s="512">
        <v>17</v>
      </c>
      <c r="C78" s="710" t="str">
        <f t="shared" si="2"/>
        <v/>
      </c>
      <c r="D78" s="382"/>
      <c r="E78" s="618"/>
      <c r="F78" s="382"/>
      <c r="G78" s="618"/>
      <c r="H78" s="382"/>
      <c r="I78" s="618"/>
      <c r="J78" s="382"/>
      <c r="K78" s="620"/>
      <c r="L78" s="381"/>
    </row>
    <row r="79" spans="2:12" x14ac:dyDescent="0.2">
      <c r="B79" s="512">
        <v>18</v>
      </c>
      <c r="C79" s="710" t="str">
        <f t="shared" si="2"/>
        <v/>
      </c>
      <c r="D79" s="382"/>
      <c r="E79" s="618"/>
      <c r="F79" s="382"/>
      <c r="G79" s="618"/>
      <c r="H79" s="382"/>
      <c r="I79" s="618"/>
      <c r="J79" s="382"/>
      <c r="K79" s="620"/>
      <c r="L79" s="381"/>
    </row>
    <row r="80" spans="2:12" x14ac:dyDescent="0.2">
      <c r="B80" s="512">
        <v>19</v>
      </c>
      <c r="C80" s="710" t="str">
        <f t="shared" si="2"/>
        <v/>
      </c>
      <c r="D80" s="382"/>
      <c r="E80" s="618"/>
      <c r="F80" s="382"/>
      <c r="G80" s="618"/>
      <c r="H80" s="382"/>
      <c r="I80" s="618"/>
      <c r="J80" s="382"/>
      <c r="K80" s="620"/>
      <c r="L80" s="381"/>
    </row>
    <row r="81" spans="2:15" ht="13.5" thickBot="1" x14ac:dyDescent="0.25">
      <c r="B81" s="512">
        <v>20</v>
      </c>
      <c r="C81" s="710" t="str">
        <f t="shared" si="2"/>
        <v/>
      </c>
      <c r="D81" s="382"/>
      <c r="E81" s="619"/>
      <c r="F81" s="382"/>
      <c r="G81" s="619"/>
      <c r="H81" s="382"/>
      <c r="I81" s="619"/>
      <c r="J81" s="382"/>
      <c r="K81" s="621"/>
      <c r="L81" s="381"/>
    </row>
    <row r="82" spans="2:15" ht="13.5" thickTop="1" x14ac:dyDescent="0.2">
      <c r="B82" s="512"/>
      <c r="C82" s="547"/>
      <c r="D82" s="382"/>
      <c r="E82" s="382"/>
      <c r="F82" s="382"/>
      <c r="G82" s="382"/>
      <c r="H82" s="382"/>
      <c r="I82" s="382"/>
      <c r="J82" s="382"/>
      <c r="K82" s="381"/>
      <c r="L82" s="381"/>
    </row>
    <row r="83" spans="2:15" ht="13.5" thickBot="1" x14ac:dyDescent="0.25">
      <c r="B83" s="512"/>
      <c r="C83" s="548" t="s">
        <v>19</v>
      </c>
      <c r="D83" s="501"/>
      <c r="E83" s="541">
        <f>SUM(E62:E81)</f>
        <v>5492955.9133553654</v>
      </c>
      <c r="F83" s="501"/>
      <c r="G83" s="541">
        <f>SUM(G62:G81)</f>
        <v>5548648.6181095494</v>
      </c>
      <c r="H83" s="501"/>
      <c r="I83" s="541">
        <f>SUM(I62:I81)</f>
        <v>5548648.6181095475</v>
      </c>
      <c r="J83" s="501"/>
      <c r="K83" s="549">
        <f>SUM(K62:K81)</f>
        <v>482447.49131242809</v>
      </c>
      <c r="L83" s="381"/>
    </row>
    <row r="84" spans="2:15" ht="13.5" thickBot="1" x14ac:dyDescent="0.25">
      <c r="B84" s="505"/>
      <c r="C84" s="501"/>
      <c r="D84" s="501"/>
      <c r="E84" s="501"/>
      <c r="F84" s="501"/>
      <c r="G84" s="501"/>
      <c r="H84" s="501"/>
      <c r="I84" s="501"/>
      <c r="J84" s="501"/>
      <c r="K84" s="501"/>
      <c r="L84" s="502"/>
    </row>
    <row r="86" spans="2:15" ht="28.5" customHeight="1" x14ac:dyDescent="0.2">
      <c r="B86" s="528" t="s">
        <v>122</v>
      </c>
      <c r="C86" s="861" t="s">
        <v>356</v>
      </c>
      <c r="D86" s="861"/>
      <c r="E86" s="861"/>
      <c r="F86" s="861"/>
      <c r="G86" s="861"/>
      <c r="H86" s="861"/>
      <c r="I86" s="861"/>
      <c r="J86" s="861"/>
      <c r="K86" s="861"/>
      <c r="L86" s="861"/>
      <c r="M86" s="861"/>
      <c r="N86" s="861"/>
      <c r="O86" s="861"/>
    </row>
    <row r="87" spans="2:15" x14ac:dyDescent="0.2">
      <c r="B87" s="526" t="s">
        <v>123</v>
      </c>
      <c r="C87" s="867" t="s">
        <v>357</v>
      </c>
      <c r="D87" s="867"/>
      <c r="E87" s="867"/>
      <c r="F87" s="867"/>
      <c r="G87" s="867"/>
      <c r="H87" s="867"/>
      <c r="I87" s="867"/>
      <c r="J87" s="867"/>
      <c r="K87" s="867"/>
      <c r="L87" s="867"/>
      <c r="M87" s="867"/>
      <c r="N87" s="867"/>
      <c r="O87" s="867"/>
    </row>
    <row r="88" spans="2:15" ht="13.5" customHeight="1" x14ac:dyDescent="0.2">
      <c r="B88" s="526" t="s">
        <v>147</v>
      </c>
      <c r="C88" s="861" t="s">
        <v>359</v>
      </c>
      <c r="D88" s="861"/>
      <c r="E88" s="861"/>
      <c r="F88" s="861"/>
      <c r="G88" s="861"/>
      <c r="H88" s="861"/>
      <c r="I88" s="861"/>
      <c r="J88" s="861"/>
      <c r="K88" s="861"/>
      <c r="L88" s="861"/>
      <c r="M88" s="861"/>
      <c r="N88" s="861"/>
      <c r="O88" s="861"/>
    </row>
    <row r="89" spans="2:15" x14ac:dyDescent="0.2">
      <c r="B89" s="526" t="s">
        <v>229</v>
      </c>
      <c r="C89" s="861" t="s">
        <v>360</v>
      </c>
      <c r="D89" s="861"/>
      <c r="E89" s="861"/>
      <c r="F89" s="861"/>
      <c r="G89" s="861"/>
      <c r="H89" s="861"/>
      <c r="I89" s="861"/>
      <c r="J89" s="861"/>
      <c r="K89" s="861"/>
      <c r="L89" s="861"/>
      <c r="M89" s="861"/>
      <c r="N89" s="861"/>
      <c r="O89" s="861"/>
    </row>
    <row r="90" spans="2:15" ht="9" customHeight="1" x14ac:dyDescent="0.2"/>
    <row r="91" spans="2:15" x14ac:dyDescent="0.2">
      <c r="B91" s="529" t="s">
        <v>361</v>
      </c>
      <c r="C91" s="529" t="s">
        <v>362</v>
      </c>
    </row>
    <row r="92" spans="2:15" ht="9" customHeight="1" thickBot="1" x14ac:dyDescent="0.25"/>
    <row r="93" spans="2:15" ht="25.5" x14ac:dyDescent="0.2">
      <c r="B93" s="530"/>
      <c r="C93" s="531" t="s">
        <v>329</v>
      </c>
      <c r="D93" s="510"/>
      <c r="E93" s="699" t="s">
        <v>363</v>
      </c>
      <c r="F93" s="510"/>
      <c r="G93" s="532" t="s">
        <v>365</v>
      </c>
      <c r="H93" s="510"/>
      <c r="I93" s="532" t="s">
        <v>367</v>
      </c>
      <c r="J93" s="510"/>
      <c r="K93" s="532" t="s">
        <v>369</v>
      </c>
      <c r="L93" s="508"/>
    </row>
    <row r="94" spans="2:15" x14ac:dyDescent="0.2">
      <c r="B94" s="512"/>
      <c r="C94" s="382"/>
      <c r="D94" s="382"/>
      <c r="E94" s="696" t="s">
        <v>364</v>
      </c>
      <c r="F94" s="382"/>
      <c r="G94" s="868" t="s">
        <v>366</v>
      </c>
      <c r="H94" s="382"/>
      <c r="I94" s="543" t="s">
        <v>368</v>
      </c>
      <c r="J94" s="382"/>
      <c r="K94" s="382"/>
      <c r="L94" s="381"/>
    </row>
    <row r="95" spans="2:15" x14ac:dyDescent="0.2">
      <c r="B95" s="512"/>
      <c r="C95" s="382"/>
      <c r="D95" s="382"/>
      <c r="E95" s="622">
        <v>2014</v>
      </c>
      <c r="F95" s="382"/>
      <c r="G95" s="865"/>
      <c r="H95" s="382"/>
      <c r="I95" s="382"/>
      <c r="J95" s="382"/>
      <c r="K95" s="382"/>
      <c r="L95" s="381"/>
    </row>
    <row r="96" spans="2:15" x14ac:dyDescent="0.2">
      <c r="B96" s="512"/>
      <c r="C96" s="382"/>
      <c r="D96" s="382"/>
      <c r="E96" s="552" t="s">
        <v>336</v>
      </c>
      <c r="F96" s="382"/>
      <c r="G96" s="553" t="s">
        <v>336</v>
      </c>
      <c r="H96" s="382"/>
      <c r="I96" s="543" t="s">
        <v>336</v>
      </c>
      <c r="J96" s="382"/>
      <c r="K96" s="599" t="s">
        <v>336</v>
      </c>
      <c r="L96" s="381"/>
    </row>
    <row r="97" spans="2:15" ht="13.5" thickBot="1" x14ac:dyDescent="0.25">
      <c r="B97" s="512"/>
      <c r="C97" s="382"/>
      <c r="D97" s="382"/>
      <c r="E97" s="382"/>
      <c r="F97" s="382"/>
      <c r="G97" s="382"/>
      <c r="H97" s="382"/>
      <c r="I97" s="382"/>
      <c r="J97" s="382"/>
      <c r="K97" s="382"/>
      <c r="L97" s="381"/>
    </row>
    <row r="98" spans="2:15" x14ac:dyDescent="0.2">
      <c r="B98" s="512">
        <v>1</v>
      </c>
      <c r="C98" s="709" t="str">
        <f t="shared" ref="C98:C117" si="3">IF(ISBLANK(C62),"",C62)</f>
        <v>Residential</v>
      </c>
      <c r="D98" s="510"/>
      <c r="E98" s="623">
        <v>0.90137787643729184</v>
      </c>
      <c r="F98" s="510"/>
      <c r="G98" s="597">
        <f t="shared" ref="G98:G117" si="4">IF(ISBLANK(I28),"",(G62+K62)/I28)</f>
        <v>0.89801178343758803</v>
      </c>
      <c r="H98" s="598"/>
      <c r="I98" s="597">
        <f t="shared" ref="I98:I117" si="5">IF(ISBLANK(I28),"",(I62+K62)/I28)</f>
        <v>0.90582695893675436</v>
      </c>
      <c r="J98" s="510"/>
      <c r="K98" s="712" t="s">
        <v>370</v>
      </c>
      <c r="L98" s="381"/>
      <c r="M98" s="606">
        <f>IF(ISBLANK(K98),"",LEFT(K98,2)/100)</f>
        <v>0.85</v>
      </c>
      <c r="N98" s="606">
        <f>IF(ISBLANK(K98),"",RIGHT(K98,3)/100)</f>
        <v>1.1499999999999999</v>
      </c>
      <c r="O98" s="606" t="inlineStr">
        <is>
          <t/>
        </is>
      </c>
    </row>
    <row r="99" spans="2:15" x14ac:dyDescent="0.2">
      <c r="B99" s="512">
        <v>2</v>
      </c>
      <c r="C99" s="710" t="str">
        <f t="shared" si="3"/>
        <v>GS&lt;50</v>
      </c>
      <c r="D99" s="382"/>
      <c r="E99" s="624">
        <v>1.2</v>
      </c>
      <c r="F99" s="382"/>
      <c r="G99" s="594">
        <f t="shared" si="4"/>
        <v>1.1064032591463524</v>
      </c>
      <c r="H99" s="533"/>
      <c r="I99" s="594">
        <f t="shared" si="5"/>
        <v>1.1064000000000003</v>
      </c>
      <c r="J99" s="382"/>
      <c r="K99" s="713" t="s">
        <v>373</v>
      </c>
      <c r="L99" s="381"/>
      <c r="M99" s="606">
        <f t="shared" ref="M99:M118" si="6">IF(ISBLANK(K99),"",LEFT(K99,2)/100)</f>
        <v>0.8</v>
      </c>
      <c r="N99" s="606">
        <f t="shared" ref="N99:N118" si="7">IF(ISBLANK(K99),"",RIGHT(K99,3)/100)</f>
        <v>1.2</v>
      </c>
      <c r="O99" s="606" t="inlineStr">
        <is>
          <t/>
        </is>
      </c>
    </row>
    <row r="100" spans="2:15" x14ac:dyDescent="0.2">
      <c r="B100" s="512">
        <v>3</v>
      </c>
      <c r="C100" s="710" t="str">
        <f t="shared" si="3"/>
        <v>GS&gt;50</v>
      </c>
      <c r="D100" s="382"/>
      <c r="E100" s="624">
        <v>1.2</v>
      </c>
      <c r="F100" s="382"/>
      <c r="G100" s="594">
        <f t="shared" si="4"/>
        <v>1.1823540786090803</v>
      </c>
      <c r="H100" s="533"/>
      <c r="I100" s="594">
        <f t="shared" si="5"/>
        <v>1.1823999999999995</v>
      </c>
      <c r="J100" s="382"/>
      <c r="K100" s="713" t="s">
        <v>373</v>
      </c>
      <c r="L100" s="381"/>
      <c r="M100" s="606">
        <f t="shared" si="6"/>
        <v>0.8</v>
      </c>
      <c r="N100" s="606">
        <f t="shared" si="7"/>
        <v>1.2</v>
      </c>
      <c r="O100" s="606"/>
    </row>
    <row r="101" spans="2:15" x14ac:dyDescent="0.2">
      <c r="B101" s="512">
        <v>4</v>
      </c>
      <c r="C101" s="710" t="str">
        <f t="shared" si="3"/>
        <v>Unmetered</v>
      </c>
      <c r="D101" s="382"/>
      <c r="E101" s="624">
        <v>0.90137787643729195</v>
      </c>
      <c r="F101" s="382"/>
      <c r="G101" s="600">
        <f t="shared" si="4"/>
        <v>1.1402583390722332</v>
      </c>
      <c r="H101" s="533"/>
      <c r="I101" s="594">
        <f t="shared" si="5"/>
        <v>1.1402999999999992</v>
      </c>
      <c r="J101" s="382"/>
      <c r="K101" s="713" t="s">
        <v>373</v>
      </c>
      <c r="L101" s="381"/>
      <c r="M101" s="606">
        <f t="shared" si="6"/>
        <v>0.8</v>
      </c>
      <c r="N101" s="606">
        <f t="shared" si="7"/>
        <v>1.2</v>
      </c>
      <c r="O101" s="606"/>
    </row>
    <row r="102" spans="2:15" x14ac:dyDescent="0.2">
      <c r="B102" s="512">
        <v>5</v>
      </c>
      <c r="C102" s="710" t="str">
        <f t="shared" si="3"/>
        <v>Streetlights</v>
      </c>
      <c r="D102" s="382"/>
      <c r="E102" s="624">
        <v>1.2</v>
      </c>
      <c r="F102" s="382"/>
      <c r="G102" s="594">
        <f t="shared" si="4"/>
        <v>1.6262200034052965</v>
      </c>
      <c r="H102" s="533"/>
      <c r="I102" s="594">
        <f t="shared" si="5"/>
        <v>1.3000000000000007</v>
      </c>
      <c r="J102" s="382"/>
      <c r="K102" s="713" t="s">
        <v>373</v>
      </c>
      <c r="L102" s="381"/>
      <c r="M102" s="606">
        <f t="shared" si="6"/>
        <v>0.8</v>
      </c>
      <c r="N102" s="606">
        <f t="shared" si="7"/>
        <v>1.2</v>
      </c>
      <c r="O102" s="606"/>
    </row>
    <row r="103" spans="2:15" x14ac:dyDescent="0.2">
      <c r="B103" s="512">
        <v>6</v>
      </c>
      <c r="C103" s="710" t="str">
        <f t="shared" si="3"/>
        <v>Large User</v>
      </c>
      <c r="D103" s="382"/>
      <c r="E103" s="624">
        <v>0</v>
      </c>
      <c r="F103" s="382"/>
      <c r="G103" s="594">
        <f t="shared" si="4"/>
        <v>0.80838479967767018</v>
      </c>
      <c r="H103" s="533"/>
      <c r="I103" s="594">
        <f t="shared" si="5"/>
        <v>1</v>
      </c>
      <c r="J103" s="382"/>
      <c r="K103" s="713" t="s">
        <v>370</v>
      </c>
      <c r="L103" s="381"/>
      <c r="M103" s="606">
        <f t="shared" si="6"/>
        <v>0.85</v>
      </c>
      <c r="N103" s="606">
        <f t="shared" si="7"/>
        <v>1.1499999999999999</v>
      </c>
      <c r="O103" s="606"/>
    </row>
    <row r="104" spans="2:15" x14ac:dyDescent="0.2">
      <c r="B104" s="512">
        <v>7</v>
      </c>
      <c r="C104" s="710" t="str">
        <f t="shared" si="3"/>
        <v/>
      </c>
      <c r="D104" s="382"/>
      <c r="E104" s="624"/>
      <c r="F104" s="382"/>
      <c r="G104" s="594" t="str">
        <f t="shared" si="4"/>
        <v/>
      </c>
      <c r="H104" s="533"/>
      <c r="I104" s="594" t="str">
        <f t="shared" si="5"/>
        <v/>
      </c>
      <c r="J104" s="382"/>
      <c r="K104" s="713"/>
      <c r="L104" s="381"/>
      <c r="M104" s="606" t="inlineStr">
        <is>
          <t/>
        </is>
      </c>
      <c r="N104" s="606" t="inlineStr">
        <is>
          <t/>
        </is>
      </c>
      <c r="O104" s="606"/>
    </row>
    <row r="105" spans="2:15" x14ac:dyDescent="0.2">
      <c r="B105" s="512">
        <v>8</v>
      </c>
      <c r="C105" s="710" t="str">
        <f t="shared" si="3"/>
        <v/>
      </c>
      <c r="D105" s="382"/>
      <c r="E105" s="624"/>
      <c r="F105" s="382"/>
      <c r="G105" s="594" t="str">
        <f t="shared" si="4"/>
        <v/>
      </c>
      <c r="H105" s="533"/>
      <c r="I105" s="594" t="str">
        <f t="shared" si="5"/>
        <v/>
      </c>
      <c r="J105" s="382"/>
      <c r="K105" s="713"/>
      <c r="L105" s="381"/>
      <c r="M105" s="606" t="inlineStr">
        <is>
          <t/>
        </is>
      </c>
      <c r="N105" s="606" t="inlineStr">
        <is>
          <t/>
        </is>
      </c>
      <c r="O105" s="606"/>
    </row>
    <row r="106" spans="2:15" x14ac:dyDescent="0.2">
      <c r="B106" s="512">
        <v>9</v>
      </c>
      <c r="C106" s="710" t="str">
        <f t="shared" si="3"/>
        <v/>
      </c>
      <c r="D106" s="382"/>
      <c r="E106" s="624"/>
      <c r="F106" s="382"/>
      <c r="G106" s="594" t="str">
        <f t="shared" si="4"/>
        <v/>
      </c>
      <c r="H106" s="533"/>
      <c r="I106" s="594" t="str">
        <f t="shared" si="5"/>
        <v/>
      </c>
      <c r="J106" s="382"/>
      <c r="K106" s="713"/>
      <c r="L106" s="381"/>
      <c r="M106" s="606" t="inlineStr">
        <is>
          <t/>
        </is>
      </c>
      <c r="N106" s="606" t="inlineStr">
        <is>
          <t/>
        </is>
      </c>
      <c r="O106" s="606"/>
    </row>
    <row r="107" spans="2:15" x14ac:dyDescent="0.2">
      <c r="B107" s="512">
        <v>10</v>
      </c>
      <c r="C107" s="710" t="str">
        <f t="shared" si="3"/>
        <v/>
      </c>
      <c r="D107" s="382"/>
      <c r="E107" s="624"/>
      <c r="F107" s="382"/>
      <c r="G107" s="594" t="str">
        <f t="shared" si="4"/>
        <v/>
      </c>
      <c r="H107" s="533"/>
      <c r="I107" s="594" t="str">
        <f t="shared" si="5"/>
        <v/>
      </c>
      <c r="J107" s="382"/>
      <c r="K107" s="713"/>
      <c r="L107" s="381"/>
      <c r="M107" s="606" t="inlineStr">
        <is>
          <t/>
        </is>
      </c>
      <c r="N107" s="606" t="inlineStr">
        <is>
          <t/>
        </is>
      </c>
      <c r="O107" s="606"/>
    </row>
    <row r="108" spans="2:15" x14ac:dyDescent="0.2">
      <c r="B108" s="512">
        <v>11</v>
      </c>
      <c r="C108" s="710" t="str">
        <f t="shared" si="3"/>
        <v/>
      </c>
      <c r="D108" s="382"/>
      <c r="E108" s="624"/>
      <c r="F108" s="382"/>
      <c r="G108" s="594" t="str">
        <f t="shared" si="4"/>
        <v/>
      </c>
      <c r="H108" s="533"/>
      <c r="I108" s="594" t="str">
        <f t="shared" si="5"/>
        <v/>
      </c>
      <c r="J108" s="382"/>
      <c r="K108" s="713"/>
      <c r="L108" s="381"/>
      <c r="M108" s="606" t="inlineStr">
        <is>
          <t/>
        </is>
      </c>
      <c r="N108" s="606" t="inlineStr">
        <is>
          <t/>
        </is>
      </c>
      <c r="O108" s="606"/>
    </row>
    <row r="109" spans="2:15" x14ac:dyDescent="0.2">
      <c r="B109" s="512">
        <v>12</v>
      </c>
      <c r="C109" s="710" t="str">
        <f t="shared" si="3"/>
        <v/>
      </c>
      <c r="D109" s="382"/>
      <c r="E109" s="624"/>
      <c r="F109" s="382"/>
      <c r="G109" s="594" t="str">
        <f t="shared" si="4"/>
        <v/>
      </c>
      <c r="H109" s="533"/>
      <c r="I109" s="594" t="str">
        <f t="shared" si="5"/>
        <v/>
      </c>
      <c r="J109" s="382"/>
      <c r="K109" s="713"/>
      <c r="L109" s="381"/>
      <c r="M109" s="606" t="inlineStr">
        <is>
          <t/>
        </is>
      </c>
      <c r="N109" s="606" t="inlineStr">
        <is>
          <t/>
        </is>
      </c>
      <c r="O109" s="606"/>
    </row>
    <row r="110" spans="2:15" x14ac:dyDescent="0.2">
      <c r="B110" s="512">
        <v>13</v>
      </c>
      <c r="C110" s="710" t="str">
        <f t="shared" si="3"/>
        <v/>
      </c>
      <c r="D110" s="382"/>
      <c r="E110" s="624"/>
      <c r="F110" s="382"/>
      <c r="G110" s="594" t="str">
        <f t="shared" si="4"/>
        <v/>
      </c>
      <c r="H110" s="533"/>
      <c r="I110" s="594" t="str">
        <f t="shared" si="5"/>
        <v/>
      </c>
      <c r="J110" s="382"/>
      <c r="K110" s="713"/>
      <c r="L110" s="381"/>
      <c r="M110" s="606" t="inlineStr">
        <is>
          <t/>
        </is>
      </c>
      <c r="N110" s="606" t="inlineStr">
        <is>
          <t/>
        </is>
      </c>
      <c r="O110" s="606"/>
    </row>
    <row r="111" spans="2:15" x14ac:dyDescent="0.2">
      <c r="B111" s="512">
        <v>14</v>
      </c>
      <c r="C111" s="710" t="str">
        <f t="shared" si="3"/>
        <v/>
      </c>
      <c r="D111" s="382"/>
      <c r="E111" s="624"/>
      <c r="F111" s="382"/>
      <c r="G111" s="594" t="str">
        <f t="shared" si="4"/>
        <v/>
      </c>
      <c r="H111" s="533"/>
      <c r="I111" s="594" t="str">
        <f t="shared" si="5"/>
        <v/>
      </c>
      <c r="J111" s="382"/>
      <c r="K111" s="713"/>
      <c r="L111" s="381"/>
      <c r="M111" s="606" t="inlineStr">
        <is>
          <t/>
        </is>
      </c>
      <c r="N111" s="606" t="inlineStr">
        <is>
          <t/>
        </is>
      </c>
      <c r="O111" s="606"/>
    </row>
    <row r="112" spans="2:15" x14ac:dyDescent="0.2">
      <c r="B112" s="512">
        <v>15</v>
      </c>
      <c r="C112" s="710" t="str">
        <f t="shared" si="3"/>
        <v/>
      </c>
      <c r="D112" s="382"/>
      <c r="E112" s="624"/>
      <c r="F112" s="382"/>
      <c r="G112" s="594" t="str">
        <f t="shared" si="4"/>
        <v/>
      </c>
      <c r="H112" s="533"/>
      <c r="I112" s="594" t="str">
        <f t="shared" si="5"/>
        <v/>
      </c>
      <c r="J112" s="382"/>
      <c r="K112" s="713"/>
      <c r="L112" s="381"/>
      <c r="M112" s="606" t="inlineStr">
        <is>
          <t/>
        </is>
      </c>
      <c r="N112" s="606" t="inlineStr">
        <is>
          <t/>
        </is>
      </c>
      <c r="O112" s="606"/>
    </row>
    <row r="113" spans="2:15" x14ac:dyDescent="0.2">
      <c r="B113" s="512">
        <v>16</v>
      </c>
      <c r="C113" s="710" t="str">
        <f t="shared" si="3"/>
        <v/>
      </c>
      <c r="D113" s="382"/>
      <c r="E113" s="624"/>
      <c r="F113" s="382"/>
      <c r="G113" s="594" t="str">
        <f t="shared" si="4"/>
        <v/>
      </c>
      <c r="H113" s="533"/>
      <c r="I113" s="594" t="str">
        <f t="shared" si="5"/>
        <v/>
      </c>
      <c r="J113" s="382"/>
      <c r="K113" s="713"/>
      <c r="L113" s="381"/>
      <c r="M113" s="606" t="inlineStr">
        <is>
          <t/>
        </is>
      </c>
      <c r="N113" s="606" t="inlineStr">
        <is>
          <t/>
        </is>
      </c>
      <c r="O113" s="606"/>
    </row>
    <row r="114" spans="2:15" x14ac:dyDescent="0.2">
      <c r="B114" s="512">
        <v>17</v>
      </c>
      <c r="C114" s="710" t="str">
        <f t="shared" si="3"/>
        <v/>
      </c>
      <c r="D114" s="382"/>
      <c r="E114" s="624"/>
      <c r="F114" s="382"/>
      <c r="G114" s="594" t="str">
        <f t="shared" si="4"/>
        <v/>
      </c>
      <c r="H114" s="533"/>
      <c r="I114" s="594" t="str">
        <f t="shared" si="5"/>
        <v/>
      </c>
      <c r="J114" s="382"/>
      <c r="K114" s="713"/>
      <c r="L114" s="381"/>
      <c r="M114" s="606" t="inlineStr">
        <is>
          <t/>
        </is>
      </c>
      <c r="N114" s="606" t="inlineStr">
        <is>
          <t/>
        </is>
      </c>
      <c r="O114" s="606"/>
    </row>
    <row r="115" spans="2:15" x14ac:dyDescent="0.2">
      <c r="B115" s="512">
        <v>18</v>
      </c>
      <c r="C115" s="710" t="str">
        <f t="shared" si="3"/>
        <v/>
      </c>
      <c r="D115" s="382"/>
      <c r="E115" s="624"/>
      <c r="F115" s="382"/>
      <c r="G115" s="594" t="str">
        <f t="shared" si="4"/>
        <v/>
      </c>
      <c r="H115" s="533"/>
      <c r="I115" s="594" t="str">
        <f t="shared" si="5"/>
        <v/>
      </c>
      <c r="J115" s="382"/>
      <c r="K115" s="713"/>
      <c r="L115" s="381"/>
      <c r="M115" s="606" t="inlineStr">
        <is>
          <t/>
        </is>
      </c>
      <c r="N115" s="606" t="inlineStr">
        <is>
          <t/>
        </is>
      </c>
      <c r="O115" s="606"/>
    </row>
    <row r="116" spans="2:15" x14ac:dyDescent="0.2">
      <c r="B116" s="512">
        <v>19</v>
      </c>
      <c r="C116" s="710" t="str">
        <f t="shared" si="3"/>
        <v/>
      </c>
      <c r="D116" s="382"/>
      <c r="E116" s="624"/>
      <c r="F116" s="382"/>
      <c r="G116" s="594" t="str">
        <f t="shared" si="4"/>
        <v/>
      </c>
      <c r="H116" s="533"/>
      <c r="I116" s="594" t="str">
        <f t="shared" si="5"/>
        <v/>
      </c>
      <c r="J116" s="382"/>
      <c r="K116" s="713"/>
      <c r="L116" s="381"/>
      <c r="M116" s="606" t="inlineStr">
        <is>
          <t/>
        </is>
      </c>
      <c r="N116" s="606" t="inlineStr">
        <is>
          <t/>
        </is>
      </c>
      <c r="O116" s="606"/>
    </row>
    <row r="117" spans="2:15" ht="13.5" thickBot="1" x14ac:dyDescent="0.25">
      <c r="B117" s="512">
        <v>20</v>
      </c>
      <c r="C117" s="711" t="str">
        <f t="shared" si="3"/>
        <v/>
      </c>
      <c r="D117" s="501"/>
      <c r="E117" s="625"/>
      <c r="F117" s="501"/>
      <c r="G117" s="595" t="str">
        <f t="shared" si="4"/>
        <v/>
      </c>
      <c r="H117" s="596"/>
      <c r="I117" s="595" t="str">
        <f t="shared" si="5"/>
        <v/>
      </c>
      <c r="J117" s="501"/>
      <c r="K117" s="714"/>
      <c r="L117" s="381"/>
      <c r="M117" s="606" t="inlineStr">
        <is>
          <t/>
        </is>
      </c>
      <c r="N117" s="606" t="inlineStr">
        <is>
          <t/>
        </is>
      </c>
      <c r="O117" s="606"/>
    </row>
    <row r="118" spans="2:15" ht="13.5" thickBot="1" x14ac:dyDescent="0.25">
      <c r="B118" s="505"/>
      <c r="C118" s="501"/>
      <c r="D118" s="501"/>
      <c r="E118" s="501"/>
      <c r="F118" s="501"/>
      <c r="G118" s="501"/>
      <c r="H118" s="501"/>
      <c r="I118" s="501"/>
      <c r="J118" s="501"/>
      <c r="K118" s="501"/>
      <c r="L118" s="502"/>
      <c r="M118" s="606" t="inlineStr">
        <is>
          <t/>
        </is>
      </c>
      <c r="N118" s="606" t="inlineStr">
        <is>
          <t/>
        </is>
      </c>
      <c r="O118" s="606"/>
    </row>
    <row r="119" spans="2:15" ht="9" customHeight="1" x14ac:dyDescent="0.2"/>
    <row r="120" spans="2:15" ht="41.25" customHeight="1" x14ac:dyDescent="0.2">
      <c r="B120" s="528" t="s">
        <v>235</v>
      </c>
      <c r="C120" s="861" t="s">
        <v>371</v>
      </c>
      <c r="D120" s="861"/>
      <c r="E120" s="861"/>
      <c r="F120" s="861"/>
      <c r="G120" s="861"/>
      <c r="H120" s="861"/>
      <c r="I120" s="861"/>
      <c r="J120" s="861"/>
      <c r="K120" s="861"/>
      <c r="L120" s="861"/>
      <c r="M120" s="861"/>
      <c r="N120" s="861"/>
      <c r="O120" s="861"/>
    </row>
    <row r="121" spans="2:15" ht="12.75" customHeight="1" x14ac:dyDescent="0.2">
      <c r="B121" s="550" t="s">
        <v>236</v>
      </c>
      <c r="C121" s="861" t="s">
        <v>423</v>
      </c>
      <c r="D121" s="861"/>
      <c r="E121" s="861"/>
      <c r="F121" s="861"/>
      <c r="G121" s="861"/>
      <c r="H121" s="861"/>
      <c r="I121" s="861"/>
      <c r="J121" s="861"/>
      <c r="K121" s="861"/>
      <c r="L121" s="861"/>
      <c r="M121" s="861"/>
      <c r="N121" s="861"/>
      <c r="O121" s="861"/>
    </row>
    <row r="122" spans="2:15" x14ac:dyDescent="0.2">
      <c r="B122" s="526" t="s">
        <v>372</v>
      </c>
      <c r="C122" s="867" t="s">
        <v>431</v>
      </c>
      <c r="D122" s="867"/>
      <c r="E122" s="867"/>
      <c r="F122" s="867"/>
      <c r="G122" s="867"/>
      <c r="H122" s="867"/>
      <c r="I122" s="867"/>
      <c r="J122" s="867"/>
      <c r="K122" s="867"/>
      <c r="L122" s="867"/>
      <c r="M122" s="867"/>
      <c r="N122" s="867"/>
      <c r="O122" s="867"/>
    </row>
    <row r="123" spans="2:15" ht="9" customHeight="1" x14ac:dyDescent="0.2"/>
    <row r="124" spans="2:15" x14ac:dyDescent="0.2">
      <c r="B124" s="551" t="s">
        <v>374</v>
      </c>
      <c r="C124" s="869" t="s">
        <v>378</v>
      </c>
      <c r="D124" s="869"/>
      <c r="E124" s="869"/>
      <c r="F124" s="869"/>
      <c r="G124" s="869"/>
      <c r="H124" s="869"/>
      <c r="I124" s="869"/>
      <c r="J124" s="869"/>
      <c r="K124" s="869"/>
      <c r="L124" s="869"/>
      <c r="M124" s="869"/>
      <c r="N124" s="869"/>
      <c r="O124" s="869"/>
    </row>
    <row r="125" spans="2:15" ht="13.5" thickBot="1" x14ac:dyDescent="0.25"/>
    <row r="126" spans="2:15" x14ac:dyDescent="0.2">
      <c r="B126" s="530"/>
      <c r="C126" s="556" t="s">
        <v>329</v>
      </c>
      <c r="D126" s="510"/>
      <c r="E126" s="871" t="s">
        <v>375</v>
      </c>
      <c r="F126" s="871"/>
      <c r="G126" s="871"/>
      <c r="H126" s="871"/>
      <c r="I126" s="871"/>
      <c r="J126" s="510"/>
      <c r="K126" s="532" t="s">
        <v>369</v>
      </c>
      <c r="L126" s="508"/>
    </row>
    <row r="127" spans="2:15" x14ac:dyDescent="0.2">
      <c r="B127" s="512"/>
      <c r="C127" s="382"/>
      <c r="D127" s="382"/>
      <c r="E127" s="696" t="s">
        <v>376</v>
      </c>
      <c r="F127" s="382"/>
      <c r="G127" s="870" t="s">
        <v>377</v>
      </c>
      <c r="H127" s="870"/>
      <c r="I127" s="870"/>
      <c r="J127" s="382"/>
      <c r="K127" s="382"/>
      <c r="L127" s="381"/>
    </row>
    <row r="128" spans="2:15" x14ac:dyDescent="0.2">
      <c r="B128" s="512"/>
      <c r="C128" s="382"/>
      <c r="D128" s="382"/>
      <c r="E128" s="622">
        <v>2019</v>
      </c>
      <c r="F128" s="382"/>
      <c r="G128" s="696">
        <f>E128+1</f>
        <v>2020</v>
      </c>
      <c r="H128" s="382"/>
      <c r="I128" s="696">
        <f>G128+1</f>
        <v>2021</v>
      </c>
      <c r="J128" s="382"/>
      <c r="K128" s="382"/>
      <c r="L128" s="381"/>
    </row>
    <row r="129" spans="2:14" ht="13.5" thickBot="1" x14ac:dyDescent="0.25">
      <c r="B129" s="512"/>
      <c r="C129" s="382"/>
      <c r="D129" s="382"/>
      <c r="E129" s="382"/>
      <c r="F129" s="382"/>
      <c r="G129" s="382"/>
      <c r="H129" s="382"/>
      <c r="I129" s="382"/>
      <c r="J129" s="382"/>
      <c r="K129" s="382"/>
      <c r="L129" s="381"/>
    </row>
    <row r="130" spans="2:14" x14ac:dyDescent="0.2">
      <c r="B130" s="512">
        <v>1</v>
      </c>
      <c r="C130" s="709" t="str">
        <f>IF(ISBLANK(C98),"",C98)</f>
        <v>Residential</v>
      </c>
      <c r="D130" s="510"/>
      <c r="E130" s="611">
        <f>I98</f>
        <v>0.90582695893675436</v>
      </c>
      <c r="F130" s="510"/>
      <c r="G130" s="628">
        <v>0.91094197855072312</v>
      </c>
      <c r="H130" s="510"/>
      <c r="I130" s="628">
        <v>0.91094197855072312</v>
      </c>
      <c r="J130" s="510"/>
      <c r="K130" s="557" t="str">
        <f>IF(ISBLANK(K98),"",K98)</f>
        <v>85 - 115</v>
      </c>
      <c r="L130" s="381"/>
      <c r="M130" s="613">
        <f>IF(K130="","",LEFT(K130,2)/100)</f>
        <v>0.85</v>
      </c>
      <c r="N130" s="613">
        <f>IF(K130="","",RIGHT(K130,3)/100)</f>
        <v>1.1499999999999999</v>
      </c>
    </row>
    <row r="131" spans="2:14" x14ac:dyDescent="0.2">
      <c r="B131" s="512">
        <v>2</v>
      </c>
      <c r="C131" s="710" t="str">
        <f t="shared" ref="C131:C149" si="8">IF(ISBLANK(C99),"",C99)</f>
        <v>GS&lt;50</v>
      </c>
      <c r="D131" s="382"/>
      <c r="E131" s="612">
        <f t="shared" ref="E131:E149" si="9">I99</f>
        <v>1.1064000000000003</v>
      </c>
      <c r="F131" s="382"/>
      <c r="G131" s="629">
        <v>1.1064000000000003</v>
      </c>
      <c r="H131" s="382"/>
      <c r="I131" s="629">
        <v>1.1064000000000003</v>
      </c>
      <c r="J131" s="382"/>
      <c r="K131" s="535" t="str">
        <f t="shared" ref="K131:K149" si="10">IF(ISBLANK(K99),"",K99)</f>
        <v>80 - 120</v>
      </c>
      <c r="L131" s="381"/>
      <c r="M131" s="613">
        <f t="shared" ref="M131:M149" si="11">IF(K131="","",LEFT(K131,2)/100)</f>
        <v>0.8</v>
      </c>
      <c r="N131" s="613">
        <f t="shared" ref="N131:N149" si="12">IF(K131="","",RIGHT(K131,3)/100)</f>
        <v>1.2</v>
      </c>
    </row>
    <row r="132" spans="2:14" x14ac:dyDescent="0.2">
      <c r="B132" s="512">
        <v>3</v>
      </c>
      <c r="C132" s="710" t="str">
        <f t="shared" si="8"/>
        <v>GS&gt;50</v>
      </c>
      <c r="D132" s="382"/>
      <c r="E132" s="612">
        <f t="shared" si="9"/>
        <v>1.1823999999999995</v>
      </c>
      <c r="F132" s="382"/>
      <c r="G132" s="629">
        <v>1.1823999999999999</v>
      </c>
      <c r="H132" s="382"/>
      <c r="I132" s="629">
        <v>1.1823999999999999</v>
      </c>
      <c r="J132" s="382"/>
      <c r="K132" s="535" t="str">
        <f t="shared" si="10"/>
        <v>80 - 120</v>
      </c>
      <c r="L132" s="381"/>
      <c r="M132" s="613">
        <f t="shared" si="11"/>
        <v>0.8</v>
      </c>
      <c r="N132" s="613">
        <f t="shared" si="12"/>
        <v>1.2</v>
      </c>
    </row>
    <row r="133" spans="2:14" x14ac:dyDescent="0.2">
      <c r="B133" s="512">
        <v>4</v>
      </c>
      <c r="C133" s="710" t="str">
        <f t="shared" si="8"/>
        <v>Unmetered</v>
      </c>
      <c r="D133" s="382"/>
      <c r="E133" s="612">
        <f t="shared" si="9"/>
        <v>1.1402999999999992</v>
      </c>
      <c r="F133" s="382"/>
      <c r="G133" s="629">
        <v>1.1402999999999996</v>
      </c>
      <c r="H133" s="382"/>
      <c r="I133" s="629">
        <v>1.1402999999999996</v>
      </c>
      <c r="J133" s="382"/>
      <c r="K133" s="535" t="str">
        <f t="shared" si="10"/>
        <v>80 - 120</v>
      </c>
      <c r="L133" s="381"/>
      <c r="M133" s="613">
        <f t="shared" si="11"/>
        <v>0.8</v>
      </c>
      <c r="N133" s="613">
        <f t="shared" si="12"/>
        <v>1.2</v>
      </c>
    </row>
    <row r="134" spans="2:14" x14ac:dyDescent="0.2">
      <c r="B134" s="512">
        <v>5</v>
      </c>
      <c r="C134" s="710" t="str">
        <f t="shared" si="8"/>
        <v>Streetlights</v>
      </c>
      <c r="D134" s="382"/>
      <c r="E134" s="612">
        <f t="shared" si="9"/>
        <v>1.3000000000000007</v>
      </c>
      <c r="F134" s="382"/>
      <c r="G134" s="629">
        <v>1.2000000000000004</v>
      </c>
      <c r="H134" s="382"/>
      <c r="I134" s="629">
        <v>1.2000000000000004</v>
      </c>
      <c r="J134" s="382"/>
      <c r="K134" s="535" t="str">
        <f t="shared" si="10"/>
        <v>80 - 120</v>
      </c>
      <c r="L134" s="381"/>
      <c r="M134" s="613">
        <f t="shared" si="11"/>
        <v>0.8</v>
      </c>
      <c r="N134" s="613">
        <f t="shared" si="12"/>
        <v>1.2</v>
      </c>
    </row>
    <row r="135" spans="2:14" x14ac:dyDescent="0.2">
      <c r="B135" s="512">
        <v>6</v>
      </c>
      <c r="C135" s="710" t="str">
        <f t="shared" si="8"/>
        <v>Large User</v>
      </c>
      <c r="D135" s="382"/>
      <c r="E135" s="612">
        <f t="shared" si="9"/>
        <v>1</v>
      </c>
      <c r="F135" s="382"/>
      <c r="G135" s="629">
        <v>1</v>
      </c>
      <c r="H135" s="382"/>
      <c r="I135" s="629">
        <v>1</v>
      </c>
      <c r="J135" s="382"/>
      <c r="K135" s="535" t="str">
        <f t="shared" si="10"/>
        <v>85 - 115</v>
      </c>
      <c r="L135" s="381"/>
      <c r="M135" s="613">
        <f t="shared" si="11"/>
        <v>0.85</v>
      </c>
      <c r="N135" s="613">
        <f t="shared" si="12"/>
        <v>1.1499999999999999</v>
      </c>
    </row>
    <row r="136" spans="2:14" x14ac:dyDescent="0.2">
      <c r="B136" s="512">
        <v>7</v>
      </c>
      <c r="C136" s="710" t="str">
        <f t="shared" si="8"/>
        <v/>
      </c>
      <c r="D136" s="382"/>
      <c r="E136" s="612" t="str">
        <f t="shared" si="9"/>
        <v/>
      </c>
      <c r="F136" s="382"/>
      <c r="G136" s="626" t="str">
        <f t="shared" ref="G136:G149" si="13">IF(E136=0,"",E136)</f>
        <v/>
      </c>
      <c r="H136" s="382"/>
      <c r="I136" s="629" t="s">
        <v>524</v>
      </c>
      <c r="J136" s="382"/>
      <c r="K136" s="535" t="str">
        <f t="shared" si="10"/>
        <v/>
      </c>
      <c r="L136" s="381"/>
      <c r="M136" s="613" t="inlineStr">
        <is>
          <t/>
        </is>
      </c>
      <c r="N136" s="613" t="inlineStr">
        <is>
          <t/>
        </is>
      </c>
    </row>
    <row r="137" spans="2:14" x14ac:dyDescent="0.2">
      <c r="B137" s="512">
        <v>8</v>
      </c>
      <c r="C137" s="710" t="str">
        <f t="shared" si="8"/>
        <v/>
      </c>
      <c r="D137" s="382"/>
      <c r="E137" s="721" t="str">
        <f t="shared" si="9"/>
        <v/>
      </c>
      <c r="F137" s="382"/>
      <c r="G137" s="626" t="str">
        <f t="shared" si="13"/>
        <v/>
      </c>
      <c r="H137" s="382"/>
      <c r="I137" s="629" t="str">
        <f t="shared" ref="I131:I149" si="14">IF(G137=0,"",G137)</f>
        <v/>
      </c>
      <c r="J137" s="382"/>
      <c r="K137" s="535" t="str">
        <f t="shared" si="10"/>
        <v/>
      </c>
      <c r="L137" s="381"/>
      <c r="M137" s="613" t="inlineStr">
        <is>
          <t/>
        </is>
      </c>
      <c r="N137" s="613" t="inlineStr">
        <is>
          <t/>
        </is>
      </c>
    </row>
    <row r="138" spans="2:14" x14ac:dyDescent="0.2">
      <c r="B138" s="512">
        <v>9</v>
      </c>
      <c r="C138" s="710" t="str">
        <f t="shared" si="8"/>
        <v/>
      </c>
      <c r="D138" s="382"/>
      <c r="E138" s="721" t="str">
        <f t="shared" si="9"/>
        <v/>
      </c>
      <c r="F138" s="382"/>
      <c r="G138" s="626" t="str">
        <f t="shared" si="13"/>
        <v/>
      </c>
      <c r="H138" s="382"/>
      <c r="I138" s="629" t="str">
        <f t="shared" si="14"/>
        <v/>
      </c>
      <c r="J138" s="382"/>
      <c r="K138" s="535" t="str">
        <f t="shared" si="10"/>
        <v/>
      </c>
      <c r="L138" s="381"/>
      <c r="M138" s="613" t="inlineStr">
        <is>
          <t/>
        </is>
      </c>
      <c r="N138" s="613" t="inlineStr">
        <is>
          <t/>
        </is>
      </c>
    </row>
    <row r="139" spans="2:14" x14ac:dyDescent="0.2">
      <c r="B139" s="512">
        <v>10</v>
      </c>
      <c r="C139" s="710" t="str">
        <f t="shared" si="8"/>
        <v/>
      </c>
      <c r="D139" s="382"/>
      <c r="E139" s="721" t="str">
        <f t="shared" si="9"/>
        <v/>
      </c>
      <c r="F139" s="382"/>
      <c r="G139" s="626" t="str">
        <f t="shared" si="13"/>
        <v/>
      </c>
      <c r="H139" s="382"/>
      <c r="I139" s="629" t="str">
        <f t="shared" si="14"/>
        <v/>
      </c>
      <c r="J139" s="382"/>
      <c r="K139" s="535" t="str">
        <f t="shared" si="10"/>
        <v/>
      </c>
      <c r="L139" s="381"/>
      <c r="M139" s="613" t="inlineStr">
        <is>
          <t/>
        </is>
      </c>
      <c r="N139" s="613" t="inlineStr">
        <is>
          <t/>
        </is>
      </c>
    </row>
    <row r="140" spans="2:14" x14ac:dyDescent="0.2">
      <c r="B140" s="512">
        <v>11</v>
      </c>
      <c r="C140" s="710" t="str">
        <f t="shared" si="8"/>
        <v/>
      </c>
      <c r="D140" s="382"/>
      <c r="E140" s="721" t="str">
        <f t="shared" si="9"/>
        <v/>
      </c>
      <c r="F140" s="382"/>
      <c r="G140" s="626" t="str">
        <f t="shared" si="13"/>
        <v/>
      </c>
      <c r="H140" s="382"/>
      <c r="I140" s="629" t="str">
        <f t="shared" si="14"/>
        <v/>
      </c>
      <c r="J140" s="382"/>
      <c r="K140" s="535" t="str">
        <f t="shared" si="10"/>
        <v/>
      </c>
      <c r="L140" s="381"/>
      <c r="M140" s="613" t="inlineStr">
        <is>
          <t/>
        </is>
      </c>
      <c r="N140" s="613" t="inlineStr">
        <is>
          <t/>
        </is>
      </c>
    </row>
    <row r="141" spans="2:14" x14ac:dyDescent="0.2">
      <c r="B141" s="512">
        <v>12</v>
      </c>
      <c r="C141" s="710" t="str">
        <f t="shared" si="8"/>
        <v/>
      </c>
      <c r="D141" s="382"/>
      <c r="E141" s="721" t="str">
        <f t="shared" si="9"/>
        <v/>
      </c>
      <c r="F141" s="382"/>
      <c r="G141" s="626" t="str">
        <f t="shared" si="13"/>
        <v/>
      </c>
      <c r="H141" s="382"/>
      <c r="I141" s="629" t="str">
        <f t="shared" si="14"/>
        <v/>
      </c>
      <c r="J141" s="382"/>
      <c r="K141" s="535" t="str">
        <f t="shared" si="10"/>
        <v/>
      </c>
      <c r="L141" s="381"/>
      <c r="M141" s="613" t="inlineStr">
        <is>
          <t/>
        </is>
      </c>
      <c r="N141" s="613" t="inlineStr">
        <is>
          <t/>
        </is>
      </c>
    </row>
    <row r="142" spans="2:14" x14ac:dyDescent="0.2">
      <c r="B142" s="512">
        <v>13</v>
      </c>
      <c r="C142" s="710" t="str">
        <f t="shared" si="8"/>
        <v/>
      </c>
      <c r="D142" s="382"/>
      <c r="E142" s="721" t="str">
        <f t="shared" si="9"/>
        <v/>
      </c>
      <c r="F142" s="382"/>
      <c r="G142" s="626" t="str">
        <f t="shared" si="13"/>
        <v/>
      </c>
      <c r="H142" s="382"/>
      <c r="I142" s="629" t="str">
        <f t="shared" si="14"/>
        <v/>
      </c>
      <c r="J142" s="382"/>
      <c r="K142" s="535" t="str">
        <f t="shared" si="10"/>
        <v/>
      </c>
      <c r="L142" s="381"/>
      <c r="M142" s="613" t="inlineStr">
        <is>
          <t/>
        </is>
      </c>
      <c r="N142" s="613" t="inlineStr">
        <is>
          <t/>
        </is>
      </c>
    </row>
    <row r="143" spans="2:14" x14ac:dyDescent="0.2">
      <c r="B143" s="512">
        <v>14</v>
      </c>
      <c r="C143" s="710" t="str">
        <f t="shared" si="8"/>
        <v/>
      </c>
      <c r="D143" s="382"/>
      <c r="E143" s="721" t="str">
        <f t="shared" si="9"/>
        <v/>
      </c>
      <c r="F143" s="382"/>
      <c r="G143" s="626" t="str">
        <f t="shared" si="13"/>
        <v/>
      </c>
      <c r="H143" s="382"/>
      <c r="I143" s="629" t="str">
        <f t="shared" si="14"/>
        <v/>
      </c>
      <c r="J143" s="382"/>
      <c r="K143" s="535" t="str">
        <f t="shared" si="10"/>
        <v/>
      </c>
      <c r="L143" s="381"/>
      <c r="M143" s="613" t="inlineStr">
        <is>
          <t/>
        </is>
      </c>
      <c r="N143" s="613" t="inlineStr">
        <is>
          <t/>
        </is>
      </c>
    </row>
    <row r="144" spans="2:14" x14ac:dyDescent="0.2">
      <c r="B144" s="512">
        <v>15</v>
      </c>
      <c r="C144" s="710" t="str">
        <f t="shared" si="8"/>
        <v/>
      </c>
      <c r="D144" s="382"/>
      <c r="E144" s="721" t="str">
        <f t="shared" si="9"/>
        <v/>
      </c>
      <c r="F144" s="382"/>
      <c r="G144" s="626" t="str">
        <f t="shared" si="13"/>
        <v/>
      </c>
      <c r="H144" s="382"/>
      <c r="I144" s="629" t="str">
        <f t="shared" si="14"/>
        <v/>
      </c>
      <c r="J144" s="382"/>
      <c r="K144" s="535" t="str">
        <f t="shared" si="10"/>
        <v/>
      </c>
      <c r="L144" s="381"/>
      <c r="M144" s="613" t="inlineStr">
        <is>
          <t/>
        </is>
      </c>
      <c r="N144" s="613" t="inlineStr">
        <is>
          <t/>
        </is>
      </c>
    </row>
    <row r="145" spans="2:15" x14ac:dyDescent="0.2">
      <c r="B145" s="512">
        <v>16</v>
      </c>
      <c r="C145" s="710" t="str">
        <f t="shared" si="8"/>
        <v/>
      </c>
      <c r="D145" s="382"/>
      <c r="E145" s="721" t="str">
        <f t="shared" si="9"/>
        <v/>
      </c>
      <c r="F145" s="382"/>
      <c r="G145" s="626" t="str">
        <f t="shared" si="13"/>
        <v/>
      </c>
      <c r="H145" s="382"/>
      <c r="I145" s="629" t="str">
        <f t="shared" si="14"/>
        <v/>
      </c>
      <c r="J145" s="382"/>
      <c r="K145" s="535" t="str">
        <f t="shared" si="10"/>
        <v/>
      </c>
      <c r="L145" s="381"/>
      <c r="M145" s="613" t="inlineStr">
        <is>
          <t/>
        </is>
      </c>
      <c r="N145" s="613" t="inlineStr">
        <is>
          <t/>
        </is>
      </c>
    </row>
    <row r="146" spans="2:15" x14ac:dyDescent="0.2">
      <c r="B146" s="512">
        <v>17</v>
      </c>
      <c r="C146" s="710" t="str">
        <f t="shared" si="8"/>
        <v/>
      </c>
      <c r="D146" s="382"/>
      <c r="E146" s="721" t="str">
        <f t="shared" si="9"/>
        <v/>
      </c>
      <c r="F146" s="382"/>
      <c r="G146" s="626" t="str">
        <f t="shared" si="13"/>
        <v/>
      </c>
      <c r="H146" s="382"/>
      <c r="I146" s="629" t="str">
        <f t="shared" si="14"/>
        <v/>
      </c>
      <c r="J146" s="382"/>
      <c r="K146" s="535" t="str">
        <f t="shared" si="10"/>
        <v/>
      </c>
      <c r="L146" s="381"/>
      <c r="M146" s="613" t="inlineStr">
        <is>
          <t/>
        </is>
      </c>
      <c r="N146" s="613" t="inlineStr">
        <is>
          <t/>
        </is>
      </c>
    </row>
    <row r="147" spans="2:15" x14ac:dyDescent="0.2">
      <c r="B147" s="512">
        <v>18</v>
      </c>
      <c r="C147" s="710" t="str">
        <f t="shared" si="8"/>
        <v/>
      </c>
      <c r="D147" s="382"/>
      <c r="E147" s="721" t="str">
        <f t="shared" si="9"/>
        <v/>
      </c>
      <c r="F147" s="382"/>
      <c r="G147" s="626" t="str">
        <f t="shared" si="13"/>
        <v/>
      </c>
      <c r="H147" s="382"/>
      <c r="I147" s="629" t="str">
        <f t="shared" si="14"/>
        <v/>
      </c>
      <c r="J147" s="382"/>
      <c r="K147" s="535" t="str">
        <f t="shared" si="10"/>
        <v/>
      </c>
      <c r="L147" s="381"/>
      <c r="M147" s="613" t="inlineStr">
        <is>
          <t/>
        </is>
      </c>
      <c r="N147" s="613" t="inlineStr">
        <is>
          <t/>
        </is>
      </c>
    </row>
    <row r="148" spans="2:15" x14ac:dyDescent="0.2">
      <c r="B148" s="512">
        <v>19</v>
      </c>
      <c r="C148" s="710" t="str">
        <f t="shared" si="8"/>
        <v/>
      </c>
      <c r="D148" s="382"/>
      <c r="E148" s="721" t="str">
        <f t="shared" si="9"/>
        <v/>
      </c>
      <c r="F148" s="382"/>
      <c r="G148" s="626" t="str">
        <f t="shared" si="13"/>
        <v/>
      </c>
      <c r="H148" s="382"/>
      <c r="I148" s="629" t="str">
        <f t="shared" si="14"/>
        <v/>
      </c>
      <c r="J148" s="382"/>
      <c r="K148" s="535" t="str">
        <f t="shared" si="10"/>
        <v/>
      </c>
      <c r="L148" s="381"/>
      <c r="M148" s="613" t="inlineStr">
        <is>
          <t/>
        </is>
      </c>
      <c r="N148" s="613" t="inlineStr">
        <is>
          <t/>
        </is>
      </c>
    </row>
    <row r="149" spans="2:15" ht="13.5" thickBot="1" x14ac:dyDescent="0.25">
      <c r="B149" s="383">
        <v>20</v>
      </c>
      <c r="C149" s="711" t="str">
        <f t="shared" si="8"/>
        <v/>
      </c>
      <c r="D149" s="501"/>
      <c r="E149" s="722" t="str">
        <f t="shared" si="9"/>
        <v/>
      </c>
      <c r="F149" s="501"/>
      <c r="G149" s="627" t="str">
        <f t="shared" si="13"/>
        <v/>
      </c>
      <c r="H149" s="501"/>
      <c r="I149" s="630" t="str">
        <f t="shared" si="14"/>
        <v/>
      </c>
      <c r="J149" s="501"/>
      <c r="K149" s="558" t="str">
        <f t="shared" si="10"/>
        <v/>
      </c>
      <c r="L149" s="383"/>
      <c r="M149" s="613" t="inlineStr">
        <is>
          <t/>
        </is>
      </c>
      <c r="N149" s="613" t="inlineStr">
        <is>
          <t/>
        </is>
      </c>
    </row>
    <row r="150" spans="2:15" ht="13.5" thickBot="1" x14ac:dyDescent="0.25">
      <c r="B150" s="505"/>
      <c r="C150" s="501"/>
      <c r="D150" s="501"/>
      <c r="E150" s="501"/>
      <c r="F150" s="501"/>
      <c r="G150" s="501"/>
      <c r="H150" s="501"/>
      <c r="I150" s="501"/>
      <c r="J150" s="501"/>
      <c r="K150" s="501"/>
      <c r="L150" s="502"/>
      <c r="M150" s="601"/>
      <c r="N150" s="601"/>
    </row>
    <row r="151" spans="2:15" x14ac:dyDescent="0.2">
      <c r="B151" s="382"/>
      <c r="C151" s="382"/>
      <c r="D151" s="382"/>
      <c r="E151" s="382"/>
      <c r="F151" s="382"/>
      <c r="G151" s="382"/>
      <c r="H151" s="382"/>
      <c r="I151" s="382"/>
      <c r="J151" s="382"/>
      <c r="K151" s="382"/>
      <c r="L151" s="382"/>
    </row>
    <row r="152" spans="2:15" x14ac:dyDescent="0.2">
      <c r="B152" s="526" t="s">
        <v>379</v>
      </c>
      <c r="C152" s="861" t="s">
        <v>454</v>
      </c>
      <c r="D152" s="861"/>
      <c r="E152" s="861"/>
      <c r="F152" s="861"/>
      <c r="G152" s="861"/>
      <c r="H152" s="861"/>
      <c r="I152" s="861"/>
      <c r="J152" s="861"/>
      <c r="K152" s="861"/>
      <c r="L152" s="861"/>
      <c r="M152" s="861"/>
      <c r="N152" s="861"/>
      <c r="O152" s="861"/>
    </row>
    <row r="153" spans="2:15" x14ac:dyDescent="0.2">
      <c r="C153" s="861"/>
      <c r="D153" s="861"/>
      <c r="E153" s="861"/>
      <c r="F153" s="861"/>
      <c r="G153" s="861"/>
      <c r="H153" s="861"/>
      <c r="I153" s="861"/>
      <c r="J153" s="861"/>
      <c r="K153" s="861"/>
      <c r="L153" s="861"/>
      <c r="M153" s="861"/>
      <c r="N153" s="861"/>
      <c r="O153" s="861"/>
    </row>
    <row r="154" spans="2:15" x14ac:dyDescent="0.2">
      <c r="C154" s="861"/>
      <c r="D154" s="861"/>
      <c r="E154" s="861"/>
      <c r="F154" s="861"/>
      <c r="G154" s="861"/>
      <c r="H154" s="861"/>
      <c r="I154" s="861"/>
      <c r="J154" s="861"/>
      <c r="K154" s="861"/>
      <c r="L154" s="861"/>
      <c r="M154" s="861"/>
      <c r="N154" s="861"/>
      <c r="O154" s="861"/>
    </row>
    <row r="155" spans="2:15" x14ac:dyDescent="0.2">
      <c r="C155" s="861"/>
      <c r="D155" s="861"/>
      <c r="E155" s="861"/>
      <c r="F155" s="861"/>
      <c r="G155" s="861"/>
      <c r="H155" s="861"/>
      <c r="I155" s="861"/>
      <c r="J155" s="861"/>
      <c r="K155" s="861"/>
      <c r="L155" s="861"/>
      <c r="M155" s="861"/>
      <c r="N155" s="861"/>
      <c r="O155" s="861"/>
    </row>
  </sheetData>
  <sheetProtection algorithmName="SHA-512" hashValue="aPPdSKMspOwAYfIdykhfJ1zIwyd3B8umObK62Csyhya53Qp9/bYaDDOsyvpFTFRtnzYsnDZyD3gSR3DKWByDrA==" saltValue="7fYkp2qUR6m+/JjTNN55EQ==" spinCount="100000" sheet="1" objects="1" scenarios="1"/>
  <mergeCells count="19">
    <mergeCell ref="C152:O155"/>
    <mergeCell ref="C121:O121"/>
    <mergeCell ref="C122:O122"/>
    <mergeCell ref="C124:O124"/>
    <mergeCell ref="G127:I127"/>
    <mergeCell ref="E126:I126"/>
    <mergeCell ref="C87:O87"/>
    <mergeCell ref="C88:O88"/>
    <mergeCell ref="C89:O89"/>
    <mergeCell ref="G94:G95"/>
    <mergeCell ref="C120:O120"/>
    <mergeCell ref="C54:O54"/>
    <mergeCell ref="C55:O55"/>
    <mergeCell ref="C86:O86"/>
    <mergeCell ref="B16:O16"/>
    <mergeCell ref="B14:O14"/>
    <mergeCell ref="I24:I25"/>
    <mergeCell ref="E20:G20"/>
    <mergeCell ref="C53:O53"/>
  </mergeCells>
  <conditionalFormatting sqref="C51">
    <cfRule type="expression" dxfId="66" priority="75">
      <formula>ABS($I$51-$I$49)&gt;1.01</formula>
    </cfRule>
  </conditionalFormatting>
  <conditionalFormatting sqref="G98">
    <cfRule type="expression" dxfId="65" priority="56">
      <formula>$G$98&gt;$N$98</formula>
    </cfRule>
    <cfRule type="expression" dxfId="64" priority="57">
      <formula>$G$98&lt;$M$98</formula>
    </cfRule>
  </conditionalFormatting>
  <conditionalFormatting sqref="I98">
    <cfRule type="expression" dxfId="63" priority="54">
      <formula>$I$98&gt;$N$98</formula>
    </cfRule>
    <cfRule type="expression" dxfId="62" priority="55">
      <formula>$I$98&lt;$M$98</formula>
    </cfRule>
  </conditionalFormatting>
  <conditionalFormatting sqref="G99 I99">
    <cfRule type="cellIs" dxfId="61" priority="52" operator="between">
      <formula>$M$99</formula>
      <formula>$N$99</formula>
    </cfRule>
  </conditionalFormatting>
  <conditionalFormatting sqref="G100 I100">
    <cfRule type="cellIs" dxfId="60" priority="51" operator="between">
      <formula>$M$100</formula>
      <formula>$N$100</formula>
    </cfRule>
  </conditionalFormatting>
  <conditionalFormatting sqref="G101 I101">
    <cfRule type="cellIs" dxfId="59" priority="50" operator="between">
      <formula>$M$101</formula>
      <formula>$N$101</formula>
    </cfRule>
  </conditionalFormatting>
  <conditionalFormatting sqref="G102 I102">
    <cfRule type="cellIs" dxfId="58" priority="49" operator="between">
      <formula>$M$102</formula>
      <formula>$N$102</formula>
    </cfRule>
  </conditionalFormatting>
  <conditionalFormatting sqref="G103 I103">
    <cfRule type="cellIs" dxfId="57" priority="48" operator="between">
      <formula>$M$103</formula>
      <formula>$N$103</formula>
    </cfRule>
  </conditionalFormatting>
  <conditionalFormatting sqref="G104 I104">
    <cfRule type="cellIs" dxfId="56" priority="47" operator="between">
      <formula>$M$104</formula>
      <formula>$N$104</formula>
    </cfRule>
  </conditionalFormatting>
  <conditionalFormatting sqref="G105 I105">
    <cfRule type="cellIs" dxfId="55" priority="46" operator="between">
      <formula>$M$105</formula>
      <formula>$N$105</formula>
    </cfRule>
  </conditionalFormatting>
  <conditionalFormatting sqref="G106 I106">
    <cfRule type="cellIs" dxfId="54" priority="45" operator="between">
      <formula>$M$106</formula>
      <formula>$N$106</formula>
    </cfRule>
  </conditionalFormatting>
  <conditionalFormatting sqref="G107 I107">
    <cfRule type="cellIs" dxfId="53" priority="44" operator="between">
      <formula>$M$107</formula>
      <formula>$N$107</formula>
    </cfRule>
  </conditionalFormatting>
  <conditionalFormatting sqref="G108 I108">
    <cfRule type="cellIs" dxfId="52" priority="43" operator="between">
      <formula>$M$108</formula>
      <formula>$N$108</formula>
    </cfRule>
  </conditionalFormatting>
  <conditionalFormatting sqref="G109 I109">
    <cfRule type="cellIs" dxfId="51" priority="42" operator="between">
      <formula>$M$109</formula>
      <formula>$N$109</formula>
    </cfRule>
  </conditionalFormatting>
  <conditionalFormatting sqref="G110 I110">
    <cfRule type="cellIs" dxfId="50" priority="41" operator="between">
      <formula>$M$110</formula>
      <formula>$N$110</formula>
    </cfRule>
  </conditionalFormatting>
  <conditionalFormatting sqref="G111 I111">
    <cfRule type="cellIs" dxfId="49" priority="40" operator="between">
      <formula>$M$111</formula>
      <formula>$N$111</formula>
    </cfRule>
  </conditionalFormatting>
  <conditionalFormatting sqref="G112 I112">
    <cfRule type="cellIs" dxfId="48" priority="39" operator="between">
      <formula>$M$112</formula>
      <formula>$N$112</formula>
    </cfRule>
  </conditionalFormatting>
  <conditionalFormatting sqref="G113 I113">
    <cfRule type="cellIs" dxfId="47" priority="38" operator="between">
      <formula>$M$113</formula>
      <formula>$N$113</formula>
    </cfRule>
  </conditionalFormatting>
  <conditionalFormatting sqref="G114 I114">
    <cfRule type="cellIs" dxfId="46" priority="37" operator="between">
      <formula>$M$114</formula>
      <formula>$N$114</formula>
    </cfRule>
  </conditionalFormatting>
  <conditionalFormatting sqref="G115 I115">
    <cfRule type="cellIs" dxfId="45" priority="36" operator="between">
      <formula>$M$115</formula>
      <formula>$N$115</formula>
    </cfRule>
  </conditionalFormatting>
  <conditionalFormatting sqref="G116 I116">
    <cfRule type="cellIs" dxfId="44" priority="35" operator="between">
      <formula>$M$116</formula>
      <formula>$N$116</formula>
    </cfRule>
  </conditionalFormatting>
  <conditionalFormatting sqref="G117 I117">
    <cfRule type="cellIs" dxfId="43" priority="34" operator="between">
      <formula>$M$117</formula>
      <formula>$N$117</formula>
    </cfRule>
  </conditionalFormatting>
  <conditionalFormatting sqref="G28:G47">
    <cfRule type="cellIs" dxfId="42" priority="33" operator="equal">
      <formula>0</formula>
    </cfRule>
  </conditionalFormatting>
  <conditionalFormatting sqref="E130 I130">
    <cfRule type="cellIs" dxfId="41" priority="32" operator="between">
      <formula>$M$130</formula>
      <formula>$N$130</formula>
    </cfRule>
  </conditionalFormatting>
  <conditionalFormatting sqref="E131 I131">
    <cfRule type="cellIs" dxfId="40" priority="31" operator="between">
      <formula>$M$131</formula>
      <formula>$N$131</formula>
    </cfRule>
  </conditionalFormatting>
  <conditionalFormatting sqref="E132 I132">
    <cfRule type="cellIs" dxfId="39" priority="30" operator="between">
      <formula>$M$132</formula>
      <formula>$N$132</formula>
    </cfRule>
  </conditionalFormatting>
  <conditionalFormatting sqref="E133 I133">
    <cfRule type="cellIs" dxfId="38" priority="29" operator="between">
      <formula>$M$133</formula>
      <formula>$N$133</formula>
    </cfRule>
  </conditionalFormatting>
  <conditionalFormatting sqref="E134 I134">
    <cfRule type="cellIs" dxfId="37" priority="28" operator="between">
      <formula>$M$134</formula>
      <formula>$N$134</formula>
    </cfRule>
  </conditionalFormatting>
  <conditionalFormatting sqref="E135 I135">
    <cfRule type="cellIs" dxfId="36" priority="27" operator="between">
      <formula>$M$135</formula>
      <formula>$N$135</formula>
    </cfRule>
  </conditionalFormatting>
  <conditionalFormatting sqref="E136 G136 I136">
    <cfRule type="cellIs" dxfId="35" priority="26" operator="between">
      <formula>$M$136</formula>
      <formula>$N$136</formula>
    </cfRule>
  </conditionalFormatting>
  <conditionalFormatting sqref="E137 G137 I137">
    <cfRule type="cellIs" dxfId="34" priority="25" operator="between">
      <formula>$M$137</formula>
      <formula>$N$137</formula>
    </cfRule>
  </conditionalFormatting>
  <conditionalFormatting sqref="E138 G138 I138">
    <cfRule type="cellIs" dxfId="33" priority="24" operator="between">
      <formula>$M$138</formula>
      <formula>$N$138</formula>
    </cfRule>
  </conditionalFormatting>
  <conditionalFormatting sqref="E139 G139 I139">
    <cfRule type="cellIs" dxfId="32" priority="23" operator="between">
      <formula>$M$139</formula>
      <formula>$N$139</formula>
    </cfRule>
  </conditionalFormatting>
  <conditionalFormatting sqref="E140 G140 I140">
    <cfRule type="cellIs" dxfId="31" priority="22" operator="between">
      <formula>$M$140</formula>
      <formula>$N$140</formula>
    </cfRule>
  </conditionalFormatting>
  <conditionalFormatting sqref="E141 G141 I141">
    <cfRule type="cellIs" dxfId="30" priority="21" operator="between">
      <formula>$M$141</formula>
      <formula>$N$141</formula>
    </cfRule>
  </conditionalFormatting>
  <conditionalFormatting sqref="E142 G142 I142">
    <cfRule type="cellIs" dxfId="29" priority="20" operator="between">
      <formula>$M$142</formula>
      <formula>$N$142</formula>
    </cfRule>
  </conditionalFormatting>
  <conditionalFormatting sqref="E143 G143 I143">
    <cfRule type="cellIs" dxfId="28" priority="19" operator="between">
      <formula>$M$143</formula>
      <formula>$N$143</formula>
    </cfRule>
  </conditionalFormatting>
  <conditionalFormatting sqref="E144 G144 I144">
    <cfRule type="cellIs" dxfId="27" priority="18" operator="between">
      <formula>$M$144</formula>
      <formula>$N$144</formula>
    </cfRule>
  </conditionalFormatting>
  <conditionalFormatting sqref="E145 G145 I145">
    <cfRule type="cellIs" dxfId="26" priority="17" operator="between">
      <formula>$M$145</formula>
      <formula>$N$145</formula>
    </cfRule>
  </conditionalFormatting>
  <conditionalFormatting sqref="E146 G146 I146">
    <cfRule type="cellIs" dxfId="25" priority="16" operator="between">
      <formula>$M$146</formula>
      <formula>$N$146</formula>
    </cfRule>
  </conditionalFormatting>
  <conditionalFormatting sqref="E147 G147 I147">
    <cfRule type="cellIs" dxfId="24" priority="15" operator="between">
      <formula>$M$147</formula>
      <formula>$N$147</formula>
    </cfRule>
  </conditionalFormatting>
  <conditionalFormatting sqref="E148 G148 I148">
    <cfRule type="cellIs" dxfId="23" priority="14" operator="between">
      <formula>$M$148</formula>
      <formula>$N$148</formula>
    </cfRule>
  </conditionalFormatting>
  <conditionalFormatting sqref="E149 G149 I149">
    <cfRule type="cellIs" dxfId="22" priority="13" operator="between">
      <formula>$M$149</formula>
      <formula>$N$149</formula>
    </cfRule>
  </conditionalFormatting>
  <conditionalFormatting sqref="K28:K47">
    <cfRule type="cellIs" dxfId="21" priority="12" operator="equal">
      <formula>0</formula>
    </cfRule>
  </conditionalFormatting>
  <conditionalFormatting sqref="G130">
    <cfRule type="cellIs" dxfId="20" priority="6" operator="between">
      <formula>$M$130</formula>
      <formula>$N$130</formula>
    </cfRule>
  </conditionalFormatting>
  <conditionalFormatting sqref="G131">
    <cfRule type="cellIs" dxfId="19" priority="5" operator="between">
      <formula>$M$131</formula>
      <formula>$N$131</formula>
    </cfRule>
  </conditionalFormatting>
  <conditionalFormatting sqref="G132">
    <cfRule type="cellIs" dxfId="18" priority="4" operator="between">
      <formula>$M$132</formula>
      <formula>$N$132</formula>
    </cfRule>
  </conditionalFormatting>
  <conditionalFormatting sqref="G133">
    <cfRule type="cellIs" dxfId="17" priority="3" operator="between">
      <formula>$M$133</formula>
      <formula>$N$133</formula>
    </cfRule>
  </conditionalFormatting>
  <conditionalFormatting sqref="G134">
    <cfRule type="cellIs" dxfId="16" priority="2" operator="between">
      <formula>$M$134</formula>
      <formula>$N$134</formula>
    </cfRule>
  </conditionalFormatting>
  <conditionalFormatting sqref="G135">
    <cfRule type="cellIs" dxfId="15" priority="1" operator="between">
      <formula>$M$135</formula>
      <formula>$N$135</formula>
    </cfRule>
  </conditionalFormatting>
  <dataValidations disablePrompts="1"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formula1>
    </dataValidation>
    <dataValidation type="list" allowBlank="1" showInputMessage="1" showErrorMessage="1" sqref="E128" xr:uid="{00000000-0002-0000-0C00-000002000000}">
      <formula1>"2016, 2017, 2018, 2019, 2020, 2021"</formula1>
    </dataValidation>
  </dataValidations>
  <pageMargins left="0.70866141732283472" right="0.70866141732283472" top="0.74803149606299213" bottom="0.74803149606299213" header="0.31496062992125984" footer="0.31496062992125984"/>
  <pageSetup scale="65" fitToHeight="0" orientation="landscape" verticalDpi="0"/>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4:P68"/>
  <sheetViews>
    <sheetView showGridLines="0" workbookViewId="0">
      <selection activeCell="D24" sqref="D24"/>
    </sheetView>
  </sheetViews>
  <sheetFormatPr defaultRowHeight="12.75" x14ac:dyDescent="0.2"/>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1:16" ht="18" customHeight="1" x14ac:dyDescent="0.25">
      <c r="A14" s="5"/>
      <c r="B14" s="875" t="s">
        <v>381</v>
      </c>
      <c r="C14" s="875"/>
      <c r="D14" s="875"/>
      <c r="E14" s="875"/>
      <c r="F14" s="875"/>
      <c r="G14" s="875"/>
      <c r="H14" s="875"/>
      <c r="I14" s="875"/>
      <c r="J14" s="563"/>
      <c r="K14" s="563"/>
      <c r="L14" s="563"/>
      <c r="M14" s="563"/>
      <c r="N14" s="563"/>
      <c r="O14" s="563"/>
      <c r="P14" s="563"/>
    </row>
    <row r="15" spans="1:16" x14ac:dyDescent="0.2">
      <c r="A15" s="5"/>
      <c r="B15" s="631"/>
      <c r="C15" s="631"/>
      <c r="D15" s="631"/>
      <c r="E15" s="631"/>
      <c r="F15" s="631"/>
      <c r="G15" s="631"/>
      <c r="H15" s="5"/>
      <c r="I15" s="5"/>
    </row>
    <row r="16" spans="1:16" x14ac:dyDescent="0.2">
      <c r="A16" s="5"/>
      <c r="B16" s="632" t="s">
        <v>382</v>
      </c>
      <c r="C16" s="631"/>
      <c r="D16" s="631"/>
      <c r="E16" s="631"/>
      <c r="F16" s="631"/>
      <c r="G16" s="631"/>
      <c r="H16" s="5"/>
      <c r="I16" s="5"/>
    </row>
    <row r="17" spans="1:9" x14ac:dyDescent="0.2">
      <c r="A17" s="5"/>
      <c r="B17" s="631"/>
      <c r="C17" s="631"/>
      <c r="D17" s="631"/>
      <c r="E17" s="631"/>
      <c r="F17" s="631"/>
      <c r="G17" s="631"/>
      <c r="H17" s="5"/>
      <c r="I17" s="5"/>
    </row>
    <row r="18" spans="1:9" x14ac:dyDescent="0.2">
      <c r="A18" s="5"/>
      <c r="B18" s="633" t="s">
        <v>407</v>
      </c>
      <c r="C18" s="634" t="s">
        <v>408</v>
      </c>
      <c r="D18" s="631"/>
      <c r="E18" s="631"/>
      <c r="F18" s="631"/>
      <c r="G18" s="631"/>
      <c r="H18" s="5"/>
      <c r="I18" s="5"/>
    </row>
    <row r="19" spans="1:9" ht="13.5" thickBot="1" x14ac:dyDescent="0.25">
      <c r="A19" s="5"/>
      <c r="B19" s="631"/>
      <c r="C19" s="631"/>
      <c r="D19" s="631"/>
      <c r="E19" s="631"/>
      <c r="F19" s="631"/>
      <c r="G19" s="631"/>
      <c r="H19" s="5"/>
      <c r="I19" s="5"/>
    </row>
    <row r="20" spans="1:9" x14ac:dyDescent="0.2">
      <c r="A20" s="5"/>
      <c r="B20" s="5"/>
      <c r="C20" s="876" t="s">
        <v>383</v>
      </c>
      <c r="D20" s="877"/>
      <c r="E20" s="632"/>
      <c r="F20" s="631"/>
      <c r="G20" s="631"/>
      <c r="H20" s="631"/>
      <c r="I20" s="5"/>
    </row>
    <row r="21" spans="1:9" x14ac:dyDescent="0.2">
      <c r="A21" s="5"/>
      <c r="B21" s="5"/>
      <c r="C21" s="635" t="s">
        <v>384</v>
      </c>
      <c r="D21" s="636">
        <f>VLOOKUP("Residential",'13. Rate Design'!D28:L47,5,FALSE)</f>
        <v>8152.375</v>
      </c>
      <c r="E21" s="631"/>
      <c r="F21" s="631"/>
      <c r="G21" s="631"/>
      <c r="H21" s="631"/>
      <c r="I21" s="5"/>
    </row>
    <row r="22" spans="1:9" ht="13.5" thickBot="1" x14ac:dyDescent="0.25">
      <c r="A22" s="5"/>
      <c r="B22" s="5"/>
      <c r="C22" s="637" t="s">
        <v>294</v>
      </c>
      <c r="D22" s="638">
        <f>VLOOKUP("Residential",'13. Rate Design'!D28:L47,7,FALSE)</f>
        <v>73898698.101207584</v>
      </c>
      <c r="E22" s="631"/>
      <c r="F22" s="631"/>
      <c r="G22" s="631"/>
      <c r="H22" s="631"/>
      <c r="I22" s="5"/>
    </row>
    <row r="23" spans="1:9" ht="13.5" thickBot="1" x14ac:dyDescent="0.25">
      <c r="A23" s="5"/>
      <c r="B23" s="5"/>
      <c r="C23" s="631"/>
      <c r="D23" s="631"/>
      <c r="E23" s="631"/>
      <c r="F23" s="631"/>
      <c r="G23" s="631"/>
      <c r="H23" s="631"/>
      <c r="I23" s="5"/>
    </row>
    <row r="24" spans="1:9" ht="30.75" customHeight="1" thickBot="1" x14ac:dyDescent="0.25">
      <c r="A24" s="5"/>
      <c r="B24" s="5"/>
      <c r="C24" s="639" t="s">
        <v>385</v>
      </c>
      <c r="D24" s="582">
        <f>VLOOKUP("Residential",'11. Cost_Allocation'!C62:K81,7,FALSE)</f>
        <v>2981257.2867741203</v>
      </c>
      <c r="E24" s="631"/>
      <c r="F24" s="882"/>
      <c r="G24" s="882"/>
      <c r="H24" s="631"/>
    </row>
    <row r="25" spans="1:9" ht="13.5" thickBot="1" x14ac:dyDescent="0.25">
      <c r="A25" s="5"/>
      <c r="B25" s="5"/>
      <c r="C25" s="631"/>
      <c r="D25" s="631"/>
      <c r="E25" s="631"/>
      <c r="F25" s="631"/>
      <c r="G25" s="631"/>
      <c r="H25" s="631"/>
      <c r="I25" s="5"/>
    </row>
    <row r="26" spans="1:9" x14ac:dyDescent="0.2">
      <c r="A26" s="5"/>
      <c r="B26" s="5"/>
      <c r="C26" s="876" t="s">
        <v>386</v>
      </c>
      <c r="D26" s="877"/>
      <c r="E26" s="631"/>
      <c r="F26" s="883"/>
      <c r="G26" s="883"/>
      <c r="H26" s="559"/>
    </row>
    <row r="27" spans="1:9" x14ac:dyDescent="0.2">
      <c r="A27" s="5"/>
      <c r="B27" s="5"/>
      <c r="C27" s="635" t="s">
        <v>387</v>
      </c>
      <c r="D27" s="719">
        <v>26.86</v>
      </c>
      <c r="E27" s="631"/>
      <c r="F27" s="883"/>
      <c r="G27" s="883"/>
      <c r="H27" s="559"/>
    </row>
    <row r="28" spans="1:9" ht="13.5" thickBot="1" x14ac:dyDescent="0.25">
      <c r="A28" s="5"/>
      <c r="B28" s="5"/>
      <c r="C28" s="637" t="s">
        <v>388</v>
      </c>
      <c r="D28" s="720">
        <v>3.3E-3</v>
      </c>
      <c r="E28" s="631"/>
      <c r="F28" s="883"/>
      <c r="G28" s="883"/>
      <c r="H28" s="559"/>
    </row>
    <row r="29" spans="1:9" x14ac:dyDescent="0.2">
      <c r="A29" s="5"/>
      <c r="B29" s="5"/>
      <c r="C29" s="649"/>
      <c r="D29" s="650"/>
      <c r="E29" s="631"/>
      <c r="F29" s="883"/>
      <c r="G29" s="883"/>
      <c r="H29" s="559"/>
    </row>
    <row r="30" spans="1:9" x14ac:dyDescent="0.2">
      <c r="A30" s="5"/>
      <c r="B30" s="5"/>
      <c r="C30" s="631"/>
      <c r="D30" s="631"/>
      <c r="E30" s="631"/>
      <c r="F30" s="631"/>
      <c r="G30" s="631"/>
      <c r="H30" s="559"/>
    </row>
    <row r="31" spans="1:9" x14ac:dyDescent="0.2">
      <c r="A31" s="5"/>
      <c r="B31" s="379" t="s">
        <v>409</v>
      </c>
      <c r="C31" s="634" t="s">
        <v>411</v>
      </c>
      <c r="D31" s="631"/>
      <c r="E31" s="631"/>
      <c r="F31" s="631"/>
      <c r="G31" s="631"/>
      <c r="H31" s="559"/>
    </row>
    <row r="32" spans="1:9" ht="13.5" thickBot="1" x14ac:dyDescent="0.25">
      <c r="A32" s="5"/>
      <c r="B32" s="5"/>
      <c r="C32" s="631"/>
      <c r="D32" s="631"/>
      <c r="E32" s="631"/>
      <c r="F32" s="631"/>
      <c r="G32" s="631"/>
      <c r="H32" s="559"/>
    </row>
    <row r="33" spans="1:8" x14ac:dyDescent="0.2">
      <c r="A33" s="5"/>
      <c r="B33" s="5"/>
      <c r="C33" s="651"/>
      <c r="D33" s="652" t="s">
        <v>389</v>
      </c>
      <c r="E33" s="640" t="s">
        <v>390</v>
      </c>
      <c r="F33" s="641" t="s">
        <v>391</v>
      </c>
      <c r="G33" s="701" t="s">
        <v>392</v>
      </c>
      <c r="H33" s="559"/>
    </row>
    <row r="34" spans="1:8" x14ac:dyDescent="0.2">
      <c r="A34" s="5"/>
      <c r="B34" s="5"/>
      <c r="C34" s="635" t="s">
        <v>393</v>
      </c>
      <c r="D34" s="653">
        <f>IF(D27="","",D27)</f>
        <v>26.86</v>
      </c>
      <c r="E34" s="642">
        <f>IF(D21="","",D21)</f>
        <v>8152.375</v>
      </c>
      <c r="F34" s="643">
        <f>IF(ISERROR(D34*E34*12),"",D34*E34*12)</f>
        <v>2627673.5099999998</v>
      </c>
      <c r="G34" s="644">
        <f>IF(ISERROR(F34/F36),"",F34/F36)</f>
        <v>0.91507491781145633</v>
      </c>
      <c r="H34" s="559"/>
    </row>
    <row r="35" spans="1:8" x14ac:dyDescent="0.2">
      <c r="A35" s="5"/>
      <c r="B35" s="5"/>
      <c r="C35" s="635" t="s">
        <v>394</v>
      </c>
      <c r="D35" s="653">
        <f>IF(D28="","",D28)</f>
        <v>3.3E-3</v>
      </c>
      <c r="E35" s="645">
        <f>IF(D22="","",D22)</f>
        <v>73898698.101207584</v>
      </c>
      <c r="F35" s="643">
        <f>IF(ISERROR(D35*E35),"",D35*E35)</f>
        <v>243865.70373398502</v>
      </c>
      <c r="G35" s="644">
        <f>IF(ISERROR(F35/F36),"",F35/F36)</f>
        <v>8.4925082188543777E-2</v>
      </c>
      <c r="H35" s="559"/>
    </row>
    <row r="36" spans="1:8" ht="13.5" thickBot="1" x14ac:dyDescent="0.25">
      <c r="A36" s="5"/>
      <c r="B36" s="5"/>
      <c r="C36" s="654" t="s">
        <v>395</v>
      </c>
      <c r="D36" s="655" t="s">
        <v>396</v>
      </c>
      <c r="E36" s="646" t="s">
        <v>396</v>
      </c>
      <c r="F36" s="647">
        <f>IF(ISERROR(F34+F35),"",F34+F35)</f>
        <v>2871539.2137339846</v>
      </c>
      <c r="G36" s="648" t="s">
        <v>396</v>
      </c>
      <c r="H36" s="559"/>
    </row>
    <row r="37" spans="1:8" x14ac:dyDescent="0.2">
      <c r="A37" s="5"/>
      <c r="B37" s="632"/>
      <c r="C37" s="631"/>
      <c r="D37" s="631"/>
      <c r="E37" s="631"/>
      <c r="F37" s="631"/>
      <c r="G37" s="631"/>
    </row>
    <row r="38" spans="1:8" x14ac:dyDescent="0.2">
      <c r="A38" s="5"/>
      <c r="B38" s="656" t="s">
        <v>410</v>
      </c>
      <c r="C38" s="657" t="s">
        <v>412</v>
      </c>
      <c r="D38" s="631"/>
      <c r="E38" s="631"/>
      <c r="F38" s="631"/>
      <c r="G38" s="631"/>
    </row>
    <row r="39" spans="1:8" ht="13.5" thickBot="1" x14ac:dyDescent="0.25">
      <c r="A39" s="5"/>
      <c r="B39" s="632"/>
      <c r="C39" s="631"/>
      <c r="D39" s="631"/>
      <c r="E39" s="631"/>
      <c r="F39" s="631"/>
      <c r="G39" s="631"/>
    </row>
    <row r="40" spans="1:8" ht="27.75" thickBot="1" x14ac:dyDescent="0.25">
      <c r="A40" s="5"/>
      <c r="B40" s="5"/>
      <c r="C40" s="658" t="s">
        <v>424</v>
      </c>
      <c r="D40" s="602">
        <v>1</v>
      </c>
      <c r="E40" s="632"/>
      <c r="F40" s="631"/>
      <c r="G40" s="631"/>
      <c r="H40" s="631"/>
    </row>
    <row r="41" spans="1:8" ht="13.5" thickBot="1" x14ac:dyDescent="0.25">
      <c r="A41" s="5"/>
      <c r="B41" s="5"/>
      <c r="C41" s="632"/>
      <c r="D41" s="631"/>
      <c r="E41" s="631"/>
      <c r="F41" s="631"/>
      <c r="G41" s="631"/>
      <c r="H41" s="631"/>
    </row>
    <row r="42" spans="1:8" ht="38.25" x14ac:dyDescent="0.2">
      <c r="A42" s="5"/>
      <c r="B42" s="5"/>
      <c r="C42" s="673"/>
      <c r="D42" s="674" t="s">
        <v>397</v>
      </c>
      <c r="E42" s="659" t="s">
        <v>398</v>
      </c>
      <c r="F42" s="660" t="s">
        <v>399</v>
      </c>
      <c r="G42" s="631"/>
      <c r="H42" s="631"/>
    </row>
    <row r="43" spans="1:8" x14ac:dyDescent="0.2">
      <c r="A43" s="5"/>
      <c r="B43" s="5"/>
      <c r="C43" s="635" t="s">
        <v>393</v>
      </c>
      <c r="D43" s="643">
        <f>IF(ISERROR(D$24*G34),"",D$24*G34)</f>
        <v>2728073.7666696333</v>
      </c>
      <c r="E43" s="661">
        <f>IF(ISERROR(ROUND(D43/D21/12,2)),"",ROUND(D43/D21/12,2))</f>
        <v>27.89</v>
      </c>
      <c r="F43" s="662">
        <f>IF(ISERROR(E43*D21*12),"",E43*D21*12)</f>
        <v>2728436.8650000002</v>
      </c>
      <c r="G43" s="631"/>
      <c r="H43" s="631"/>
    </row>
    <row r="44" spans="1:8" x14ac:dyDescent="0.2">
      <c r="A44" s="5"/>
      <c r="B44" s="5"/>
      <c r="C44" s="675" t="s">
        <v>394</v>
      </c>
      <c r="D44" s="676">
        <f>IF(ISERROR(D$24*G35),"",D$24*G35)</f>
        <v>253183.52010448719</v>
      </c>
      <c r="E44" s="663">
        <f>IF(ISERROR(ROUND(D44/D22,4)),"",ROUND(D44/D22,4))</f>
        <v>3.3999999999999998E-3</v>
      </c>
      <c r="F44" s="662">
        <f>IF(ISERROR(E44*D22),"",E44*D22)</f>
        <v>251255.57354410578</v>
      </c>
      <c r="G44" s="631"/>
      <c r="H44" s="631"/>
    </row>
    <row r="45" spans="1:8" ht="13.5" thickBot="1" x14ac:dyDescent="0.25">
      <c r="A45" s="5"/>
      <c r="B45" s="5"/>
      <c r="C45" s="677" t="s">
        <v>395</v>
      </c>
      <c r="D45" s="678">
        <f>IF(ISERROR(D43+D44),"",D43+D44)</f>
        <v>2981257.2867741203</v>
      </c>
      <c r="E45" s="664" t="s">
        <v>396</v>
      </c>
      <c r="F45" s="665">
        <f>IF(ISERROR(F43+F44),"",F43+F44)</f>
        <v>2979692.4385441062</v>
      </c>
      <c r="G45" s="631"/>
      <c r="H45" s="631"/>
    </row>
    <row r="46" spans="1:8" ht="13.5" thickBot="1" x14ac:dyDescent="0.25">
      <c r="A46" s="5"/>
      <c r="B46" s="5"/>
      <c r="C46" s="632"/>
      <c r="D46" s="631"/>
      <c r="E46" s="631"/>
      <c r="F46" s="631"/>
      <c r="G46" s="631"/>
      <c r="H46" s="631"/>
    </row>
    <row r="47" spans="1:8" ht="38.25" x14ac:dyDescent="0.2">
      <c r="A47" s="5"/>
      <c r="B47" s="5"/>
      <c r="C47" s="673"/>
      <c r="D47" s="640" t="s">
        <v>400</v>
      </c>
      <c r="E47" s="666" t="s">
        <v>401</v>
      </c>
      <c r="F47" s="667" t="s">
        <v>402</v>
      </c>
      <c r="G47" s="668" t="s">
        <v>403</v>
      </c>
      <c r="H47" s="632"/>
    </row>
    <row r="48" spans="1:8" x14ac:dyDescent="0.2">
      <c r="A48" s="5"/>
      <c r="B48" s="5"/>
      <c r="C48" s="635" t="s">
        <v>393</v>
      </c>
      <c r="D48" s="679">
        <f>IF(ISERROR(((1-G34)/D40)+G34),"",((1-G34)/D40)+G34)</f>
        <v>1</v>
      </c>
      <c r="E48" s="669">
        <f>IF(ISERROR(D48*D$24),"",D48*D$24)</f>
        <v>2981257.2867741203</v>
      </c>
      <c r="F48" s="717">
        <f>IF(ISERROR(ROUND(E48/D21/12,2)),"",ROUND(E48/D21/12,2))</f>
        <v>30.47</v>
      </c>
      <c r="G48" s="662">
        <f>IF(ISERROR(F48*12*D21),"",F48*12*D21)</f>
        <v>2980834.395</v>
      </c>
      <c r="H48" s="632"/>
    </row>
    <row r="49" spans="1:8" x14ac:dyDescent="0.2">
      <c r="A49" s="5"/>
      <c r="B49" s="5"/>
      <c r="C49" s="675" t="s">
        <v>394</v>
      </c>
      <c r="D49" s="680">
        <f>IF(ISERROR(1-D48),"",1-D48)</f>
        <v>0</v>
      </c>
      <c r="E49" s="670">
        <f>IF(ISERROR(D49*D$24),"",D49*D$24)</f>
        <v>0</v>
      </c>
      <c r="F49" s="718">
        <f>IF(ISERROR(ROUND(E49/D22,4)),"",ROUND(E49/D22,4))</f>
        <v>0</v>
      </c>
      <c r="G49" s="671">
        <f>IF(ISERROR(F49*D22),"",F49*D22)</f>
        <v>0</v>
      </c>
      <c r="H49" s="632"/>
    </row>
    <row r="50" spans="1:8" ht="13.5" thickBot="1" x14ac:dyDescent="0.25">
      <c r="A50" s="5"/>
      <c r="B50" s="5"/>
      <c r="C50" s="677" t="s">
        <v>395</v>
      </c>
      <c r="D50" s="681" t="s">
        <v>396</v>
      </c>
      <c r="E50" s="647">
        <f>IF(ISERROR(SUM(E48:E49)),"",SUM(E48:E49))</f>
        <v>2981257.2867741203</v>
      </c>
      <c r="F50" s="664" t="s">
        <v>396</v>
      </c>
      <c r="G50" s="672">
        <f>IF(ISERROR(G48+G49),"",G48+G49)</f>
        <v>2980834.395</v>
      </c>
      <c r="H50" s="631"/>
    </row>
    <row r="51" spans="1:8" ht="13.5" thickBot="1" x14ac:dyDescent="0.25">
      <c r="A51" s="5"/>
      <c r="B51" s="5"/>
      <c r="C51" s="632"/>
      <c r="D51" s="631"/>
      <c r="E51" s="631"/>
      <c r="F51" s="631"/>
      <c r="G51" s="631"/>
      <c r="H51" s="559"/>
    </row>
    <row r="52" spans="1:8" ht="14.25" x14ac:dyDescent="0.2">
      <c r="A52" s="5"/>
      <c r="B52" s="5"/>
      <c r="C52" s="878" t="s">
        <v>404</v>
      </c>
      <c r="D52" s="879"/>
      <c r="E52" s="631"/>
      <c r="F52" s="631"/>
      <c r="G52" s="631"/>
      <c r="H52" s="559"/>
    </row>
    <row r="53" spans="1:8" x14ac:dyDescent="0.2">
      <c r="A53" s="5"/>
      <c r="B53" s="5"/>
      <c r="C53" s="635" t="s">
        <v>405</v>
      </c>
      <c r="D53" s="662">
        <f>IF(ISERROR(F48-E43),"",F48-E43)</f>
        <v>2.5799999999999983</v>
      </c>
      <c r="E53" s="631"/>
      <c r="F53" s="631"/>
      <c r="G53" s="631"/>
      <c r="H53" s="559"/>
    </row>
    <row r="54" spans="1:8" x14ac:dyDescent="0.2">
      <c r="A54" s="5"/>
      <c r="B54" s="5"/>
      <c r="C54" s="880" t="s">
        <v>406</v>
      </c>
      <c r="D54" s="716">
        <f>IF(ISERROR((F48*12*D21)+(F49*D22)-D24),"",(F48*12*D21)+(F49*D22)-D24)</f>
        <v>-422.89177412027493</v>
      </c>
      <c r="E54" s="631"/>
      <c r="F54" s="631"/>
      <c r="G54" s="631"/>
      <c r="H54" s="559"/>
    </row>
    <row r="55" spans="1:8" ht="13.5" thickBot="1" x14ac:dyDescent="0.25">
      <c r="A55" s="5"/>
      <c r="B55" s="5"/>
      <c r="C55" s="881"/>
      <c r="D55" s="682">
        <f>IF(ISERROR(D54/D24), "", D54/D24)</f>
        <v>-1.4185014356069429E-4</v>
      </c>
      <c r="E55" s="631"/>
      <c r="F55" s="631"/>
      <c r="G55" s="631"/>
      <c r="H55" s="559"/>
    </row>
    <row r="56" spans="1:8" x14ac:dyDescent="0.2">
      <c r="A56" s="5"/>
      <c r="B56" s="632"/>
      <c r="C56" s="631"/>
      <c r="D56" s="631"/>
      <c r="E56" s="631"/>
      <c r="F56" s="631"/>
      <c r="G56" s="631"/>
    </row>
    <row r="57" spans="1:8" x14ac:dyDescent="0.2">
      <c r="A57" s="5"/>
      <c r="B57" s="634" t="s">
        <v>42</v>
      </c>
      <c r="C57" s="631"/>
      <c r="D57" s="631"/>
      <c r="E57" s="631"/>
      <c r="F57" s="631"/>
      <c r="G57" s="631"/>
    </row>
    <row r="58" spans="1:8" x14ac:dyDescent="0.2">
      <c r="A58" s="5"/>
      <c r="B58" s="631"/>
      <c r="C58" s="631"/>
      <c r="D58" s="631"/>
      <c r="E58" s="631"/>
      <c r="F58" s="631"/>
      <c r="G58" s="631"/>
    </row>
    <row r="59" spans="1:8" ht="14.25" x14ac:dyDescent="0.2">
      <c r="A59" s="5"/>
      <c r="B59" s="683">
        <v>1</v>
      </c>
      <c r="C59" s="872" t="s">
        <v>418</v>
      </c>
      <c r="D59" s="873"/>
      <c r="E59" s="873"/>
      <c r="F59" s="873"/>
      <c r="G59" s="873"/>
      <c r="H59" s="559"/>
    </row>
    <row r="60" spans="1:8" x14ac:dyDescent="0.2">
      <c r="A60" s="5"/>
      <c r="B60" s="5"/>
      <c r="C60" s="873"/>
      <c r="D60" s="873"/>
      <c r="E60" s="873"/>
      <c r="F60" s="873"/>
      <c r="G60" s="873"/>
      <c r="H60" s="559"/>
    </row>
    <row r="61" spans="1:8" x14ac:dyDescent="0.2">
      <c r="A61" s="5"/>
      <c r="B61" s="5"/>
      <c r="C61" s="631"/>
      <c r="D61" s="684"/>
      <c r="E61" s="684"/>
      <c r="F61" s="684"/>
      <c r="G61" s="684"/>
      <c r="H61" s="560"/>
    </row>
    <row r="62" spans="1:8" ht="12.75" customHeight="1" x14ac:dyDescent="0.2">
      <c r="A62" s="5"/>
      <c r="B62" s="685">
        <v>2</v>
      </c>
      <c r="C62" s="874" t="s">
        <v>441</v>
      </c>
      <c r="D62" s="874"/>
      <c r="E62" s="874"/>
      <c r="F62" s="874"/>
      <c r="G62" s="874"/>
      <c r="H62" s="560"/>
    </row>
    <row r="63" spans="1:8" x14ac:dyDescent="0.2">
      <c r="A63" s="5"/>
      <c r="B63" s="5"/>
      <c r="C63" s="874"/>
      <c r="D63" s="874"/>
      <c r="E63" s="874"/>
      <c r="F63" s="874"/>
      <c r="G63" s="874"/>
      <c r="H63" s="561"/>
    </row>
    <row r="64" spans="1:8" x14ac:dyDescent="0.2">
      <c r="A64" s="5"/>
      <c r="B64" s="5"/>
      <c r="C64" s="874"/>
      <c r="D64" s="874"/>
      <c r="E64" s="874"/>
      <c r="F64" s="874"/>
      <c r="G64" s="874"/>
      <c r="H64" s="561"/>
    </row>
    <row r="65" spans="1:8" x14ac:dyDescent="0.2">
      <c r="A65" s="5"/>
      <c r="B65" s="5"/>
      <c r="C65" s="874"/>
      <c r="D65" s="874"/>
      <c r="E65" s="874"/>
      <c r="F65" s="874"/>
      <c r="G65" s="874"/>
      <c r="H65" s="568"/>
    </row>
    <row r="66" spans="1:8" x14ac:dyDescent="0.2">
      <c r="A66" s="5"/>
      <c r="B66" s="5"/>
      <c r="C66" s="700"/>
      <c r="D66" s="700"/>
      <c r="E66" s="700"/>
      <c r="F66" s="700"/>
      <c r="G66" s="700"/>
      <c r="H66" s="568"/>
    </row>
    <row r="67" spans="1:8" ht="14.25" x14ac:dyDescent="0.2">
      <c r="A67" s="5"/>
      <c r="B67" s="685">
        <v>3</v>
      </c>
      <c r="C67" s="874" t="s">
        <v>413</v>
      </c>
      <c r="D67" s="874"/>
      <c r="E67" s="874"/>
      <c r="F67" s="874"/>
      <c r="G67" s="874"/>
      <c r="H67" s="562"/>
    </row>
    <row r="68" spans="1:8" x14ac:dyDescent="0.2">
      <c r="A68" s="5"/>
      <c r="B68" s="5"/>
      <c r="C68" s="874"/>
      <c r="D68" s="874"/>
      <c r="E68" s="874"/>
      <c r="F68" s="874"/>
      <c r="G68" s="874"/>
      <c r="H68" s="559"/>
    </row>
  </sheetData>
  <sheetProtection algorithmName="SHA-512" hashValue="JbR/BsVJtQJremd/Pkmtr6VpYYvoVbjcAV+lynJ0mNeeDQuMXuAjll+a1JTrC16gUiocQd670cTiwCaBDZw+Uw==" saltValue="IQ6lAfFANPIwi/iFidN3+Q=="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count="1">
    <dataValidation type="decimal" allowBlank="1" showInputMessage="1" showErrorMessage="1" sqref="D40" xr:uid="{00000000-0002-0000-0D00-000000000000}">
      <formula1>0</formula1>
      <formula2>6</formula2>
    </dataValidation>
  </dataValidations>
  <pageMargins left="0.7" right="0.7" top="0.75" bottom="0.75" header="0.3" footer="0.3"/>
  <pageSetup orientation="portrait" verticalDpi="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4:AQ57"/>
  <sheetViews>
    <sheetView showGridLines="0" workbookViewId="0">
      <selection activeCell="Y30" sqref="Y30:Y34"/>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x14ac:dyDescent="0.2">
      <c r="AC4" s="606" t="inlineStr">
        <is>
          <t/>
        </is>
      </c>
      <c r="AD4" s="606">
        <v>1</v>
      </c>
      <c r="AE4" s="606" t="inlineStr">
        <is>
          <t/>
        </is>
      </c>
      <c r="AF4" s="606" t="inlineStr">
        <is>
          <t/>
        </is>
      </c>
      <c r="AG4" s="606" t="inlineStr">
        <is>
          <t/>
        </is>
      </c>
    </row>
    <row r="5" spans="2:41" x14ac:dyDescent="0.2">
      <c r="AC5" s="606" t="inlineStr">
        <is>
          <t/>
        </is>
      </c>
      <c r="AD5" s="606">
        <v>2</v>
      </c>
      <c r="AE5" s="606" t="inlineStr">
        <is>
          <t/>
        </is>
      </c>
      <c r="AF5" s="606" t="inlineStr">
        <is>
          <t/>
        </is>
      </c>
      <c r="AG5" s="606" t="inlineStr">
        <is>
          <t/>
        </is>
      </c>
    </row>
    <row r="6" spans="2:41" x14ac:dyDescent="0.2">
      <c r="AC6" s="606" t="inlineStr">
        <is>
          <t/>
        </is>
      </c>
      <c r="AD6" s="606">
        <v>3</v>
      </c>
      <c r="AE6" s="606" t="inlineStr">
        <is>
          <t/>
        </is>
      </c>
      <c r="AF6" s="606" t="inlineStr">
        <is>
          <t/>
        </is>
      </c>
      <c r="AG6" s="606" t="inlineStr">
        <is>
          <t/>
        </is>
      </c>
    </row>
    <row r="14" spans="2:41" x14ac:dyDescent="0.2">
      <c r="E14" s="449"/>
      <c r="F14" s="449"/>
    </row>
    <row r="15" spans="2:41" ht="18" x14ac:dyDescent="0.25">
      <c r="B15" s="853" t="s">
        <v>296</v>
      </c>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row>
    <row r="16" spans="2:41" x14ac:dyDescent="0.2">
      <c r="D16" s="449"/>
      <c r="E16" s="449"/>
      <c r="F16" s="449"/>
    </row>
    <row r="17" spans="1:41" ht="27.75" customHeight="1" x14ac:dyDescent="0.2">
      <c r="B17" s="861" t="s">
        <v>443</v>
      </c>
      <c r="C17" s="861"/>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61"/>
      <c r="AJ17" s="861"/>
      <c r="AK17" s="861"/>
      <c r="AL17" s="861"/>
      <c r="AM17" s="861"/>
      <c r="AN17" s="861"/>
      <c r="AO17" s="861"/>
    </row>
    <row r="18" spans="1:41" x14ac:dyDescent="0.2">
      <c r="D18" s="449"/>
      <c r="E18" s="449"/>
      <c r="F18" s="449"/>
    </row>
    <row r="19" spans="1:41" ht="13.5" thickBot="1" x14ac:dyDescent="0.25">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row>
    <row r="20" spans="1:41" ht="13.5" thickBot="1" x14ac:dyDescent="0.25">
      <c r="D20" s="472" t="s">
        <v>297</v>
      </c>
      <c r="E20" s="473"/>
      <c r="F20" s="473"/>
      <c r="G20" s="474"/>
      <c r="H20" s="904" t="str">
        <f>IF(ISBLANK('10. Load Forecast'!F22),"",'10. Load Forecast'!F22)</f>
        <v>Settlement Agreement</v>
      </c>
      <c r="I20" s="904"/>
      <c r="J20" s="904"/>
      <c r="K20" s="904"/>
      <c r="L20" s="905"/>
      <c r="M20" s="381"/>
      <c r="N20" s="382"/>
      <c r="O20" s="886" t="s">
        <v>305</v>
      </c>
      <c r="P20" s="886"/>
      <c r="Q20" s="886"/>
      <c r="R20" s="886"/>
      <c r="S20" s="887"/>
      <c r="T20" s="703"/>
      <c r="U20" s="703"/>
      <c r="V20" s="703"/>
      <c r="W20" s="703"/>
      <c r="Z20" s="508"/>
      <c r="AA20" s="886" t="s">
        <v>312</v>
      </c>
      <c r="AB20" s="886"/>
      <c r="AC20" s="886"/>
      <c r="AD20" s="886"/>
      <c r="AE20" s="886"/>
      <c r="AF20" s="886"/>
      <c r="AG20" s="886"/>
      <c r="AH20" s="886"/>
      <c r="AI20" s="887"/>
      <c r="AK20" s="886" t="s">
        <v>316</v>
      </c>
      <c r="AL20" s="886"/>
      <c r="AM20" s="886"/>
      <c r="AN20" s="886"/>
      <c r="AO20" s="887"/>
    </row>
    <row r="21" spans="1:41" ht="13.5" thickBot="1" x14ac:dyDescent="0.25">
      <c r="B21" s="501"/>
      <c r="C21" s="501"/>
      <c r="D21" s="519"/>
      <c r="E21" s="473"/>
      <c r="F21" s="519"/>
      <c r="G21" s="501"/>
      <c r="H21" s="521"/>
      <c r="I21" s="522"/>
      <c r="J21" s="521"/>
      <c r="K21" s="521"/>
      <c r="L21" s="521"/>
      <c r="M21" s="502"/>
      <c r="N21" s="382"/>
      <c r="O21" s="382"/>
      <c r="P21" s="382"/>
      <c r="Q21" s="703"/>
      <c r="R21" s="703"/>
      <c r="S21" s="704"/>
      <c r="T21" s="703"/>
      <c r="U21" s="703"/>
      <c r="V21" s="703"/>
      <c r="W21" s="703"/>
      <c r="Z21" s="381"/>
      <c r="AA21" s="703"/>
      <c r="AB21" s="703"/>
      <c r="AC21" s="703"/>
      <c r="AD21" s="703"/>
      <c r="AE21" s="703"/>
      <c r="AF21" s="703"/>
      <c r="AG21" s="703"/>
      <c r="AH21" s="703"/>
      <c r="AI21" s="704"/>
      <c r="AK21" s="703"/>
      <c r="AL21" s="703"/>
      <c r="AM21" s="703"/>
      <c r="AN21" s="703"/>
      <c r="AO21" s="704"/>
    </row>
    <row r="22" spans="1:41" ht="38.25" customHeight="1" x14ac:dyDescent="0.2">
      <c r="A22" s="381"/>
      <c r="B22" s="414"/>
      <c r="D22" s="886" t="s">
        <v>328</v>
      </c>
      <c r="E22" s="886"/>
      <c r="F22" s="886"/>
      <c r="G22" s="886"/>
      <c r="H22" s="886"/>
      <c r="I22" s="886"/>
      <c r="J22" s="886"/>
      <c r="K22" s="886"/>
      <c r="L22" s="886"/>
      <c r="M22" s="381"/>
      <c r="N22" s="382"/>
      <c r="O22" s="892" t="s">
        <v>380</v>
      </c>
      <c r="P22" s="892"/>
      <c r="Q22" s="892"/>
      <c r="R22" s="892"/>
      <c r="S22" s="893"/>
      <c r="T22" s="706"/>
      <c r="U22" s="889" t="s">
        <v>427</v>
      </c>
      <c r="V22" s="890"/>
      <c r="W22" s="891"/>
      <c r="Z22" s="381"/>
      <c r="AA22" s="703"/>
      <c r="AB22" s="703"/>
      <c r="AC22" s="703"/>
      <c r="AD22" s="703"/>
      <c r="AE22" s="703"/>
      <c r="AF22" s="703"/>
      <c r="AG22" s="703"/>
      <c r="AH22" s="703"/>
      <c r="AI22" s="704"/>
      <c r="AK22" s="703"/>
      <c r="AL22" s="703"/>
      <c r="AM22" s="703"/>
      <c r="AN22" s="703"/>
      <c r="AO22" s="704"/>
    </row>
    <row r="23" spans="1:41" ht="30" customHeight="1" thickBot="1" x14ac:dyDescent="0.25">
      <c r="A23" s="381"/>
      <c r="B23" s="512"/>
      <c r="C23" s="382"/>
      <c r="D23" s="382"/>
      <c r="E23" s="382"/>
      <c r="F23" s="382"/>
      <c r="G23" s="382"/>
      <c r="H23" s="382"/>
      <c r="I23" s="382"/>
      <c r="J23" s="382"/>
      <c r="K23" s="382"/>
      <c r="L23" s="382"/>
      <c r="M23" s="381"/>
      <c r="N23" s="382"/>
      <c r="O23" s="892"/>
      <c r="P23" s="892"/>
      <c r="Q23" s="892"/>
      <c r="R23" s="892"/>
      <c r="S23" s="893"/>
      <c r="T23" s="706"/>
      <c r="U23" s="894" t="s">
        <v>419</v>
      </c>
      <c r="V23" s="895"/>
      <c r="W23" s="896"/>
      <c r="Z23" s="381"/>
      <c r="AI23" s="381"/>
      <c r="AO23" s="381"/>
    </row>
    <row r="24" spans="1:41" ht="15.75" customHeight="1" x14ac:dyDescent="0.2">
      <c r="A24" s="381"/>
      <c r="D24" s="520" t="s">
        <v>291</v>
      </c>
      <c r="E24" s="520"/>
      <c r="F24" s="900" t="s">
        <v>304</v>
      </c>
      <c r="G24" s="382"/>
      <c r="H24" s="900" t="s">
        <v>311</v>
      </c>
      <c r="I24" s="382"/>
      <c r="J24" s="900" t="s">
        <v>294</v>
      </c>
      <c r="K24" s="697"/>
      <c r="L24" s="900" t="s">
        <v>334</v>
      </c>
      <c r="M24" s="381"/>
      <c r="N24" s="382"/>
      <c r="O24" s="900" t="s">
        <v>414</v>
      </c>
      <c r="P24" s="382"/>
      <c r="Q24" s="900" t="s">
        <v>306</v>
      </c>
      <c r="S24" s="884" t="s">
        <v>307</v>
      </c>
      <c r="T24" s="702"/>
      <c r="U24" s="555"/>
      <c r="V24" s="702"/>
      <c r="W24" s="705"/>
      <c r="Y24" s="901" t="s">
        <v>425</v>
      </c>
      <c r="Z24" s="381"/>
      <c r="AA24" s="517" t="str">
        <f>Q24</f>
        <v>Monthly Service Charge</v>
      </c>
      <c r="AB24" s="510"/>
      <c r="AC24" s="511"/>
      <c r="AE24" s="898" t="s">
        <v>315</v>
      </c>
      <c r="AF24" s="871"/>
      <c r="AG24" s="871"/>
      <c r="AH24" s="871"/>
      <c r="AI24" s="899"/>
      <c r="AK24" s="449"/>
      <c r="AO24" s="903" t="s">
        <v>319</v>
      </c>
    </row>
    <row r="25" spans="1:41" x14ac:dyDescent="0.2">
      <c r="A25" s="381"/>
      <c r="D25" s="448"/>
      <c r="E25" s="448"/>
      <c r="F25" s="900"/>
      <c r="H25" s="900"/>
      <c r="J25" s="900"/>
      <c r="K25" s="461"/>
      <c r="L25" s="900"/>
      <c r="M25" s="381"/>
      <c r="N25" s="382"/>
      <c r="O25" s="900"/>
      <c r="P25" s="382"/>
      <c r="Q25" s="900"/>
      <c r="S25" s="884"/>
      <c r="T25" s="702"/>
      <c r="U25" s="555" t="s">
        <v>393</v>
      </c>
      <c r="V25" s="702"/>
      <c r="W25" s="705" t="s">
        <v>394</v>
      </c>
      <c r="Y25" s="902"/>
      <c r="Z25" s="381"/>
      <c r="AA25" s="512"/>
      <c r="AB25" s="382"/>
      <c r="AC25" s="381"/>
      <c r="AE25" s="512"/>
      <c r="AF25" s="382"/>
      <c r="AG25" s="382"/>
      <c r="AH25" s="382"/>
      <c r="AI25" s="381"/>
      <c r="AO25" s="903"/>
    </row>
    <row r="26" spans="1:41" ht="25.5" customHeight="1" x14ac:dyDescent="0.2">
      <c r="A26" s="381"/>
      <c r="D26" s="469" t="s">
        <v>322</v>
      </c>
      <c r="E26" s="448"/>
      <c r="F26" s="900"/>
      <c r="H26" s="900"/>
      <c r="J26" s="900"/>
      <c r="K26" s="461"/>
      <c r="L26" s="900"/>
      <c r="M26" s="381"/>
      <c r="N26" s="382"/>
      <c r="O26" s="900"/>
      <c r="P26" s="382"/>
      <c r="Q26" s="900"/>
      <c r="S26" s="884"/>
      <c r="T26" s="702"/>
      <c r="U26" s="555"/>
      <c r="V26" s="702"/>
      <c r="W26" s="705"/>
      <c r="Y26" s="902"/>
      <c r="Z26" s="381"/>
      <c r="AA26" s="518" t="s">
        <v>314</v>
      </c>
      <c r="AB26" s="382"/>
      <c r="AC26" s="515" t="s">
        <v>313</v>
      </c>
      <c r="AE26" s="518" t="s">
        <v>314</v>
      </c>
      <c r="AF26" s="382"/>
      <c r="AG26" s="382"/>
      <c r="AH26" s="382"/>
      <c r="AI26" s="515" t="s">
        <v>313</v>
      </c>
      <c r="AK26" s="471" t="s">
        <v>317</v>
      </c>
      <c r="AM26" s="459" t="s">
        <v>318</v>
      </c>
      <c r="AN26" s="460"/>
      <c r="AO26" s="903"/>
    </row>
    <row r="27" spans="1:41" x14ac:dyDescent="0.2">
      <c r="A27" s="381"/>
      <c r="M27" s="381"/>
      <c r="N27" s="382"/>
      <c r="O27" s="382"/>
      <c r="P27" s="382"/>
      <c r="S27" s="381"/>
      <c r="T27" s="382"/>
      <c r="U27" s="512"/>
      <c r="V27" s="415"/>
      <c r="W27" s="381"/>
      <c r="X27" s="381"/>
      <c r="Y27" s="383"/>
      <c r="Z27" s="381"/>
      <c r="AA27" s="512"/>
      <c r="AB27" s="382"/>
      <c r="AC27" s="381"/>
      <c r="AE27" s="512"/>
      <c r="AF27" s="382"/>
      <c r="AG27" s="382"/>
      <c r="AH27" s="382"/>
      <c r="AI27" s="381"/>
      <c r="AO27" s="381"/>
    </row>
    <row r="28" spans="1:41" x14ac:dyDescent="0.2">
      <c r="A28" s="381"/>
      <c r="B28">
        <v>1</v>
      </c>
      <c r="D28" s="414" t="str">
        <f>IF(ISBLANK('10. Load Forecast'!D29),"",'10. Load Forecast'!D29)</f>
        <v>Residential</v>
      </c>
      <c r="E28" s="414"/>
      <c r="F28" s="686" t="s">
        <v>294</v>
      </c>
      <c r="H28" s="585">
        <f>IF(ISBLANK($H$20),0,IF($H$20=$AC$4,'10. Load Forecast'!F29,IF($H$20=$AC$5,'10. Load Forecast'!L29,'10. Load Forecast'!R29)))</f>
        <v>8152.375</v>
      </c>
      <c r="I28" s="586"/>
      <c r="J28" s="585">
        <f>IF(ISBLANK($H$20),0,IF($H$20=$AC$4,'10. Load Forecast'!H29,IF($H$20=$AC$5,'10. Load Forecast'!N29,'10. Load Forecast'!T29)))</f>
        <v>73898698.101207584</v>
      </c>
      <c r="K28" s="586"/>
      <c r="L28" s="585">
        <f>IF(ISBLANK($H$20),0,IF($H$20=$AC$4,'10. Load Forecast'!J29,IF($H$20=$AC$5,'10. Load Forecast'!P29,'10. Load Forecast'!V29)))</f>
        <v>0</v>
      </c>
      <c r="M28" s="381"/>
      <c r="N28" s="382"/>
      <c r="O28" s="583">
        <f>IF(ISBLANK('11. Cost_Allocation'!I62),"",'11. Cost_Allocation'!I62)</f>
        <v>2981257.2867741203</v>
      </c>
      <c r="P28" s="382"/>
      <c r="Q28" s="470">
        <f>IF(ISBLANK(U28),"",O28*U28)</f>
        <v>2981257.2867741203</v>
      </c>
      <c r="S28" s="386">
        <f>IF(Q28="","",O28-Q28)</f>
        <v>0</v>
      </c>
      <c r="T28" s="564"/>
      <c r="U28" s="688">
        <v>1</v>
      </c>
      <c r="V28" s="566"/>
      <c r="W28" s="584">
        <f>IF(ISBLANK(U28),"",1-U28)</f>
        <v>0</v>
      </c>
      <c r="X28" s="381"/>
      <c r="Y28" s="523"/>
      <c r="Z28" s="381"/>
      <c r="AA28" s="513">
        <f>IF(O28="","",IF(H28=0,0,IF(U28=0,0,ROUND(Q28/(H28*12),AC28))))</f>
        <v>30.47</v>
      </c>
      <c r="AB28" s="382"/>
      <c r="AC28" s="691">
        <v>2</v>
      </c>
      <c r="AE28" s="513">
        <f>IF(S28="","",ROUND(IF(F28="kWh",(S28+Y28)/J28,(S28+Y28)/L28),AI28))</f>
        <v>0</v>
      </c>
      <c r="AF28" s="382"/>
      <c r="AG28" s="382" t="str">
        <f t="shared" ref="AG28:AG47" si="0">IF(ISBLANK(F28),"",CONCATENATE("/",F28))</f>
        <v>/kWh</v>
      </c>
      <c r="AH28" s="382"/>
      <c r="AI28" s="691">
        <v>4</v>
      </c>
      <c r="AK28" s="468">
        <f>IF(AA28="",0,AA28*H28*12)</f>
        <v>2980834.395</v>
      </c>
      <c r="AM28" s="569">
        <f>ROUND(IF(AE28="",0,IF(F28="kWh",J28*AE28,IF(F28="kW",IF(AE28="",0,AE28*L28)))),AI28)</f>
        <v>0</v>
      </c>
      <c r="AO28" s="503">
        <f>ROUND(AK28+AM28-Y28,2)</f>
        <v>2980834.4</v>
      </c>
    </row>
    <row r="29" spans="1:41" x14ac:dyDescent="0.2">
      <c r="A29" s="381"/>
      <c r="B29">
        <v>2</v>
      </c>
      <c r="D29" s="414" t="str">
        <f>IF(ISBLANK('10. Load Forecast'!D30),"",'10. Load Forecast'!D30)</f>
        <v>GS&lt;50</v>
      </c>
      <c r="E29" s="414"/>
      <c r="F29" s="686" t="s">
        <v>294</v>
      </c>
      <c r="H29" s="585">
        <f>IF(ISBLANK($H$20),0,IF($H$20=$AC$4,'10. Load Forecast'!F30,IF($H$20=$AC$5,'10. Load Forecast'!L30,'10. Load Forecast'!R30)))</f>
        <v>1341.6666666666667</v>
      </c>
      <c r="I29" s="586"/>
      <c r="J29" s="585">
        <f>IF(ISBLANK($H$20),0,IF($H$20=$AC$4,'10. Load Forecast'!H30,IF($H$20=$AC$5,'10. Load Forecast'!N30,'10. Load Forecast'!T30)))</f>
        <v>41801817.090252772</v>
      </c>
      <c r="K29" s="586"/>
      <c r="L29" s="585">
        <f>IF(ISBLANK($H$20),0,IF($H$20=$AC$4,'10. Load Forecast'!J30,IF($H$20=$AC$5,'10. Load Forecast'!P30,'10. Load Forecast'!V30)))</f>
        <v>0</v>
      </c>
      <c r="M29" s="381"/>
      <c r="N29" s="382"/>
      <c r="O29" s="583">
        <f>IF(ISBLANK('11. Cost_Allocation'!I63),"",'11. Cost_Allocation'!I63)</f>
        <v>1189863.7600354028</v>
      </c>
      <c r="P29" s="382"/>
      <c r="Q29" s="470">
        <f t="shared" ref="Q29:Q47" si="1">IF(ISBLANK(U29),"",O29*U29)</f>
        <v>634500.99999999988</v>
      </c>
      <c r="S29" s="386">
        <f t="shared" ref="S29:S47" si="2">IF(Q29="","",O29-Q29)</f>
        <v>555362.76003540296</v>
      </c>
      <c r="T29" s="564"/>
      <c r="U29" s="689">
        <v>0.53325516862629818</v>
      </c>
      <c r="V29" s="566"/>
      <c r="W29" s="584">
        <f t="shared" ref="W29:W47" si="3">IF(ISBLANK(U29),"",1-U29)</f>
        <v>0.46674483137370182</v>
      </c>
      <c r="X29" s="381"/>
      <c r="Y29" s="523"/>
      <c r="Z29" s="381"/>
      <c r="AA29" s="513">
        <f t="shared" ref="AA29:AA47" si="4">IF(O29="","",IF(H29=0,0,IF(U29=0,0,ROUND(Q29/(H29*12),AC29))))</f>
        <v>39.409999999999997</v>
      </c>
      <c r="AB29" s="382"/>
      <c r="AC29" s="603">
        <f>AC28</f>
        <v>2</v>
      </c>
      <c r="AE29" s="513">
        <f t="shared" ref="AE29:AE47" si="5">IF(S29="","",ROUND(IF(F29="kWh",(S29+Y29)/J29,(S29+Y29)/L29),AI29))</f>
        <v>1.3299999999999999E-2</v>
      </c>
      <c r="AF29" s="382"/>
      <c r="AG29" s="382" t="str">
        <f t="shared" si="0"/>
        <v>/kWh</v>
      </c>
      <c r="AH29" s="382"/>
      <c r="AI29" s="603">
        <f>AI28</f>
        <v>4</v>
      </c>
      <c r="AK29" s="468">
        <f t="shared" ref="AK29:AK47" si="6">IF(AA29="",0,AA29*H29*12)</f>
        <v>634501</v>
      </c>
      <c r="AM29" s="569">
        <f t="shared" ref="AM29:AM47" si="7">ROUND(IF(AE29="",0,IF(F29="kWh",J29*AE29,IF(F29="kW",IF(AE29="",0,AE29*L29)))),AI29)</f>
        <v>555964.16729999997</v>
      </c>
      <c r="AO29" s="503">
        <f t="shared" ref="AO29:AO47" si="8">ROUND(AK29+AM29-Y29,2)</f>
        <v>1190465.17</v>
      </c>
    </row>
    <row r="30" spans="1:41" x14ac:dyDescent="0.2">
      <c r="A30" s="381"/>
      <c r="B30">
        <v>3</v>
      </c>
      <c r="D30" s="414" t="str">
        <f>IF(ISBLANK('10. Load Forecast'!D31),"",'10. Load Forecast'!D31)</f>
        <v>GS&gt;50</v>
      </c>
      <c r="E30" s="414"/>
      <c r="F30" s="686" t="s">
        <v>492</v>
      </c>
      <c r="H30" s="585">
        <f>IF(ISBLANK($H$20),0,IF($H$20=$AC$4,'10. Load Forecast'!F31,IF($H$20=$AC$5,'10. Load Forecast'!L31,'10. Load Forecast'!R31)))</f>
        <v>131</v>
      </c>
      <c r="I30" s="586"/>
      <c r="J30" s="585">
        <f>IF(ISBLANK($H$20),0,IF($H$20=$AC$4,'10. Load Forecast'!H31,IF($H$20=$AC$5,'10. Load Forecast'!N31,'10. Load Forecast'!T31)))</f>
        <v>82468048.959229335</v>
      </c>
      <c r="K30" s="586"/>
      <c r="L30" s="585">
        <f>IF(ISBLANK($H$20),0,IF($H$20=$AC$4,'10. Load Forecast'!J31,IF($H$20=$AC$5,'10. Load Forecast'!P31,'10. Load Forecast'!V31)))</f>
        <v>212283.66798603014</v>
      </c>
      <c r="M30" s="381"/>
      <c r="N30" s="382"/>
      <c r="O30" s="583">
        <f>IF(ISBLANK('11. Cost_Allocation'!I64),"",'11. Cost_Allocation'!I64)</f>
        <v>987378.64554337121</v>
      </c>
      <c r="P30" s="382"/>
      <c r="Q30" s="470">
        <f t="shared" si="1"/>
        <v>442753.8</v>
      </c>
      <c r="S30" s="386">
        <f t="shared" si="2"/>
        <v>544624.84554337128</v>
      </c>
      <c r="T30" s="564"/>
      <c r="U30" s="689">
        <v>0.44841338426591659</v>
      </c>
      <c r="V30" s="566"/>
      <c r="W30" s="584">
        <f t="shared" si="3"/>
        <v>0.55158661573408341</v>
      </c>
      <c r="X30" s="381"/>
      <c r="Y30" s="715">
        <v>11086.118400000001</v>
      </c>
      <c r="Z30" s="381"/>
      <c r="AA30" s="513">
        <f t="shared" si="4"/>
        <v>281.64999999999998</v>
      </c>
      <c r="AB30" s="382"/>
      <c r="AC30" s="603">
        <f t="shared" ref="AC30:AC47" si="9">AC29</f>
        <v>2</v>
      </c>
      <c r="AE30" s="513">
        <f t="shared" si="5"/>
        <v>2.6177999999999999</v>
      </c>
      <c r="AF30" s="382"/>
      <c r="AG30" s="382" t="str">
        <f t="shared" si="0"/>
        <v>/kW</v>
      </c>
      <c r="AH30" s="382"/>
      <c r="AI30" s="603">
        <f t="shared" ref="AI30:AI47" si="10">AI29</f>
        <v>4</v>
      </c>
      <c r="AK30" s="468">
        <f t="shared" si="6"/>
        <v>442753.79999999993</v>
      </c>
      <c r="AM30" s="569">
        <f t="shared" si="7"/>
        <v>555716.18610000005</v>
      </c>
      <c r="AO30" s="503">
        <f t="shared" si="8"/>
        <v>987383.87</v>
      </c>
    </row>
    <row r="31" spans="1:41" x14ac:dyDescent="0.2">
      <c r="A31" s="381"/>
      <c r="B31">
        <v>4</v>
      </c>
      <c r="D31" s="414" t="str">
        <f>IF(ISBLANK('10. Load Forecast'!D32),"",'10. Load Forecast'!D32)</f>
        <v>Unmetered</v>
      </c>
      <c r="E31" s="414"/>
      <c r="F31" s="686" t="s">
        <v>294</v>
      </c>
      <c r="H31" s="585">
        <f>IF(ISBLANK($H$20),0,IF($H$20=$AC$4,'10. Load Forecast'!F32,IF($H$20=$AC$5,'10. Load Forecast'!L32,'10. Load Forecast'!R32)))</f>
        <v>26</v>
      </c>
      <c r="I31" s="586"/>
      <c r="J31" s="585">
        <f>IF(ISBLANK($H$20),0,IF($H$20=$AC$4,'10. Load Forecast'!H32,IF($H$20=$AC$5,'10. Load Forecast'!N32,'10. Load Forecast'!T32)))</f>
        <v>251508.00000000023</v>
      </c>
      <c r="K31" s="586"/>
      <c r="L31" s="585">
        <f>IF(ISBLANK($H$20),0,IF($H$20=$AC$4,'10. Load Forecast'!J32,IF($H$20=$AC$5,'10. Load Forecast'!P32,'10. Load Forecast'!V32)))</f>
        <v>0</v>
      </c>
      <c r="M31" s="381"/>
      <c r="N31" s="382"/>
      <c r="O31" s="583">
        <f>IF(ISBLANK('11. Cost_Allocation'!I65),"",'11. Cost_Allocation'!I65)</f>
        <v>8434.7990902264446</v>
      </c>
      <c r="P31" s="382"/>
      <c r="Q31" s="470">
        <f t="shared" si="1"/>
        <v>6614.4</v>
      </c>
      <c r="S31" s="386">
        <f t="shared" si="2"/>
        <v>1820.399090226445</v>
      </c>
      <c r="T31" s="564"/>
      <c r="U31" s="689">
        <v>0.78417991101462337</v>
      </c>
      <c r="V31" s="566"/>
      <c r="W31" s="584">
        <f t="shared" si="3"/>
        <v>0.21582008898537663</v>
      </c>
      <c r="X31" s="381"/>
      <c r="Y31" s="523"/>
      <c r="Z31" s="381"/>
      <c r="AA31" s="513">
        <f t="shared" si="4"/>
        <v>21.2</v>
      </c>
      <c r="AB31" s="382"/>
      <c r="AC31" s="603">
        <f t="shared" si="9"/>
        <v>2</v>
      </c>
      <c r="AE31" s="513">
        <f t="shared" si="5"/>
        <v>7.1999999999999998E-3</v>
      </c>
      <c r="AF31" s="382"/>
      <c r="AG31" s="382" t="str">
        <f t="shared" si="0"/>
        <v>/kWh</v>
      </c>
      <c r="AH31" s="382"/>
      <c r="AI31" s="603">
        <f t="shared" si="10"/>
        <v>4</v>
      </c>
      <c r="AK31" s="468">
        <f t="shared" si="6"/>
        <v>6614.4</v>
      </c>
      <c r="AM31" s="569">
        <f t="shared" si="7"/>
        <v>1810.8576</v>
      </c>
      <c r="AO31" s="503">
        <f t="shared" si="8"/>
        <v>8425.26</v>
      </c>
    </row>
    <row r="32" spans="1:41" x14ac:dyDescent="0.2">
      <c r="A32" s="381"/>
      <c r="B32">
        <v>5</v>
      </c>
      <c r="D32" s="414" t="str">
        <f>IF(ISBLANK('10. Load Forecast'!D33),"",'10. Load Forecast'!D33)</f>
        <v>Streetlights</v>
      </c>
      <c r="E32" s="414"/>
      <c r="F32" s="686" t="s">
        <v>492</v>
      </c>
      <c r="H32" s="585">
        <f>IF(ISBLANK($H$20),0,IF($H$20=$AC$4,'10. Load Forecast'!F33,IF($H$20=$AC$5,'10. Load Forecast'!L33,'10. Load Forecast'!R33)))</f>
        <v>2186.7661966795336</v>
      </c>
      <c r="I32" s="586"/>
      <c r="J32" s="585">
        <f>IF(ISBLANK($H$20),0,IF($H$20=$AC$4,'10. Load Forecast'!H33,IF($H$20=$AC$5,'10. Load Forecast'!N33,'10. Load Forecast'!T33)))</f>
        <v>886615.77344277513</v>
      </c>
      <c r="K32" s="586"/>
      <c r="L32" s="585">
        <f>IF(ISBLANK($H$20),0,IF($H$20=$AC$4,'10. Load Forecast'!J33,IF($H$20=$AC$5,'10. Load Forecast'!P33,'10. Load Forecast'!V33)))</f>
        <v>2474.7419388126632</v>
      </c>
      <c r="M32" s="381"/>
      <c r="N32" s="382"/>
      <c r="O32" s="583">
        <f>IF(ISBLANK('11. Cost_Allocation'!I66),"",'11. Cost_Allocation'!I66)</f>
        <v>224279.73671437358</v>
      </c>
      <c r="P32" s="382"/>
      <c r="Q32" s="470">
        <f t="shared" si="1"/>
        <v>205993.37572721203</v>
      </c>
      <c r="S32" s="386">
        <f t="shared" si="2"/>
        <v>18286.360987161548</v>
      </c>
      <c r="T32" s="564"/>
      <c r="U32" s="689">
        <v>0.9184662811939639</v>
      </c>
      <c r="V32" s="566"/>
      <c r="W32" s="584">
        <f t="shared" si="3"/>
        <v>8.1533718806036104E-2</v>
      </c>
      <c r="X32" s="381"/>
      <c r="Y32" s="523"/>
      <c r="Z32" s="381"/>
      <c r="AA32" s="513">
        <f t="shared" si="4"/>
        <v>7.85</v>
      </c>
      <c r="AB32" s="382"/>
      <c r="AC32" s="603">
        <f t="shared" si="9"/>
        <v>2</v>
      </c>
      <c r="AE32" s="513">
        <f t="shared" si="5"/>
        <v>7.3891999999999998</v>
      </c>
      <c r="AF32" s="382"/>
      <c r="AG32" s="382" t="str">
        <f t="shared" si="0"/>
        <v>/kW</v>
      </c>
      <c r="AH32" s="382"/>
      <c r="AI32" s="603">
        <f t="shared" si="10"/>
        <v>4</v>
      </c>
      <c r="AK32" s="468">
        <f t="shared" si="6"/>
        <v>205993.37572721206</v>
      </c>
      <c r="AM32" s="569">
        <f t="shared" si="7"/>
        <v>18286.363099999999</v>
      </c>
      <c r="AO32" s="503">
        <f t="shared" si="8"/>
        <v>224279.74</v>
      </c>
    </row>
    <row r="33" spans="1:43" x14ac:dyDescent="0.2">
      <c r="A33" s="381"/>
      <c r="B33">
        <v>6</v>
      </c>
      <c r="D33" s="414" t="str">
        <f>IF(ISBLANK('10. Load Forecast'!D34),"",'10. Load Forecast'!D34)</f>
        <v>Large User</v>
      </c>
      <c r="E33" s="414"/>
      <c r="F33" s="686" t="s">
        <v>492</v>
      </c>
      <c r="H33" s="585">
        <f>IF(ISBLANK($H$20),0,IF($H$20=$AC$4,'10. Load Forecast'!F34,IF($H$20=$AC$5,'10. Load Forecast'!L34,'10. Load Forecast'!R34)))</f>
        <v>1</v>
      </c>
      <c r="I33" s="586"/>
      <c r="J33" s="585">
        <f>IF(ISBLANK($H$20),0,IF($H$20=$AC$4,'10. Load Forecast'!H34,IF($H$20=$AC$5,'10. Load Forecast'!N34,'10. Load Forecast'!T34)))</f>
        <v>23308825.330262251</v>
      </c>
      <c r="K33" s="586"/>
      <c r="L33" s="585">
        <f>IF(ISBLANK($H$20),0,IF($H$20=$AC$4,'10. Load Forecast'!J34,IF($H$20=$AC$5,'10. Load Forecast'!P34,'10. Load Forecast'!V34)))</f>
        <v>60000</v>
      </c>
      <c r="M33" s="381"/>
      <c r="N33" s="382"/>
      <c r="O33" s="583">
        <f>IF(ISBLANK('11. Cost_Allocation'!I67),"",'11. Cost_Allocation'!I67)</f>
        <v>157434.38995205329</v>
      </c>
      <c r="P33" s="382"/>
      <c r="Q33" s="470">
        <f t="shared" si="1"/>
        <v>33968.04</v>
      </c>
      <c r="S33" s="386">
        <f t="shared" si="2"/>
        <v>123466.34995205328</v>
      </c>
      <c r="T33" s="564"/>
      <c r="U33" s="689">
        <v>0.21575997474468558</v>
      </c>
      <c r="V33" s="566"/>
      <c r="W33" s="584">
        <f t="shared" si="3"/>
        <v>0.78424002525531444</v>
      </c>
      <c r="X33" s="381"/>
      <c r="Y33" s="523">
        <v>33600</v>
      </c>
      <c r="Z33" s="381"/>
      <c r="AA33" s="513">
        <f t="shared" si="4"/>
        <v>2830.67</v>
      </c>
      <c r="AB33" s="382"/>
      <c r="AC33" s="603">
        <f t="shared" si="9"/>
        <v>2</v>
      </c>
      <c r="AE33" s="513">
        <f t="shared" si="5"/>
        <v>2.6177999999999999</v>
      </c>
      <c r="AF33" s="382"/>
      <c r="AG33" s="382" t="str">
        <f t="shared" si="0"/>
        <v>/kW</v>
      </c>
      <c r="AH33" s="382"/>
      <c r="AI33" s="603">
        <f t="shared" si="10"/>
        <v>4</v>
      </c>
      <c r="AK33" s="468">
        <f t="shared" si="6"/>
        <v>33968.04</v>
      </c>
      <c r="AM33" s="569">
        <f t="shared" si="7"/>
        <v>157068</v>
      </c>
      <c r="AO33" s="503">
        <f t="shared" si="8"/>
        <v>157436.04</v>
      </c>
    </row>
    <row r="34" spans="1:43" x14ac:dyDescent="0.2">
      <c r="A34" s="381"/>
      <c r="B34">
        <v>7</v>
      </c>
      <c r="D34" s="414" t="str">
        <f>IF(ISBLANK('10. Load Forecast'!D35),"",'10. Load Forecast'!D35)</f>
        <v/>
      </c>
      <c r="E34" s="414"/>
      <c r="F34" s="686"/>
      <c r="H34" s="585">
        <f>IF(ISBLANK($H$20),0,IF($H$20=$AC$4,'10. Load Forecast'!F35,IF($H$20=$AC$5,'10. Load Forecast'!L35,'10. Load Forecast'!R35)))</f>
        <v>0</v>
      </c>
      <c r="I34" s="586"/>
      <c r="J34" s="585">
        <f>IF(ISBLANK($H$20),0,IF($H$20=$AC$4,'10. Load Forecast'!H35,IF($H$20=$AC$5,'10. Load Forecast'!N35,'10. Load Forecast'!T35)))</f>
        <v>0</v>
      </c>
      <c r="K34" s="586"/>
      <c r="L34" s="585">
        <f>IF(ISBLANK($H$20),0,IF($H$20=$AC$4,'10. Load Forecast'!J35,IF($H$20=$AC$5,'10. Load Forecast'!P35,'10. Load Forecast'!V35)))</f>
        <v>0</v>
      </c>
      <c r="M34" s="381"/>
      <c r="N34" s="382"/>
      <c r="O34" s="583" t="str">
        <f>IF(ISBLANK('11. Cost_Allocation'!I68),"",'11. Cost_Allocation'!I68)</f>
        <v/>
      </c>
      <c r="P34" s="382"/>
      <c r="Q34" s="470" t="str">
        <f t="shared" si="1"/>
        <v/>
      </c>
      <c r="S34" s="386" t="str">
        <f t="shared" si="2"/>
        <v/>
      </c>
      <c r="T34" s="564"/>
      <c r="U34" s="689"/>
      <c r="V34" s="566"/>
      <c r="W34" s="584" t="str">
        <f t="shared" si="3"/>
        <v/>
      </c>
      <c r="X34" s="381"/>
      <c r="Y34" s="523"/>
      <c r="Z34" s="381"/>
      <c r="AA34" s="513" t="str">
        <f t="shared" si="4"/>
        <v/>
      </c>
      <c r="AB34" s="382"/>
      <c r="AC34" s="603">
        <f t="shared" si="9"/>
        <v>2</v>
      </c>
      <c r="AE34" s="513" t="str">
        <f t="shared" si="5"/>
        <v/>
      </c>
      <c r="AF34" s="382"/>
      <c r="AG34" s="382" t="str">
        <f t="shared" si="0"/>
        <v/>
      </c>
      <c r="AH34" s="382"/>
      <c r="AI34" s="603">
        <f t="shared" si="10"/>
        <v>4</v>
      </c>
      <c r="AK34" s="468">
        <f t="shared" si="6"/>
        <v>0</v>
      </c>
      <c r="AM34" s="569">
        <f t="shared" si="7"/>
        <v>0</v>
      </c>
      <c r="AO34" s="503">
        <f t="shared" si="8"/>
        <v>0</v>
      </c>
    </row>
    <row r="35" spans="1:43" x14ac:dyDescent="0.2">
      <c r="A35" s="381"/>
      <c r="B35">
        <v>8</v>
      </c>
      <c r="D35" s="414" t="str">
        <f>IF(ISBLANK('10. Load Forecast'!D36),"",'10. Load Forecast'!D36)</f>
        <v/>
      </c>
      <c r="E35" s="414"/>
      <c r="F35" s="686"/>
      <c r="H35" s="585">
        <f>IF(ISBLANK($H$20),0,IF($H$20=$AC$4,'10. Load Forecast'!F36,IF($H$20=$AC$5,'10. Load Forecast'!L36,'10. Load Forecast'!R36)))</f>
        <v>0</v>
      </c>
      <c r="I35" s="586"/>
      <c r="J35" s="585">
        <f>IF(ISBLANK($H$20),0,IF($H$20=$AC$4,'10. Load Forecast'!H36,IF($H$20=$AC$5,'10. Load Forecast'!N36,'10. Load Forecast'!T36)))</f>
        <v>0</v>
      </c>
      <c r="K35" s="586"/>
      <c r="L35" s="585">
        <f>IF(ISBLANK($H$20),0,IF($H$20=$AC$4,'10. Load Forecast'!J36,IF($H$20=$AC$5,'10. Load Forecast'!P36,'10. Load Forecast'!V36)))</f>
        <v>0</v>
      </c>
      <c r="M35" s="381"/>
      <c r="N35" s="382"/>
      <c r="O35" s="583" t="str">
        <f>IF(ISBLANK('11. Cost_Allocation'!I69),"",'11. Cost_Allocation'!I69)</f>
        <v/>
      </c>
      <c r="P35" s="382"/>
      <c r="Q35" s="470" t="str">
        <f t="shared" si="1"/>
        <v/>
      </c>
      <c r="S35" s="386" t="str">
        <f t="shared" si="2"/>
        <v/>
      </c>
      <c r="T35" s="564"/>
      <c r="U35" s="689"/>
      <c r="V35" s="566"/>
      <c r="W35" s="584" t="str">
        <f t="shared" si="3"/>
        <v/>
      </c>
      <c r="X35" s="381"/>
      <c r="Y35" s="523"/>
      <c r="Z35" s="381"/>
      <c r="AA35" s="513" t="str">
        <f t="shared" si="4"/>
        <v/>
      </c>
      <c r="AB35" s="382"/>
      <c r="AC35" s="603">
        <f t="shared" si="9"/>
        <v>2</v>
      </c>
      <c r="AE35" s="513" t="str">
        <f t="shared" si="5"/>
        <v/>
      </c>
      <c r="AF35" s="382"/>
      <c r="AG35" s="382" t="str">
        <f t="shared" si="0"/>
        <v/>
      </c>
      <c r="AH35" s="382"/>
      <c r="AI35" s="603">
        <f t="shared" si="10"/>
        <v>4</v>
      </c>
      <c r="AK35" s="468">
        <f t="shared" si="6"/>
        <v>0</v>
      </c>
      <c r="AM35" s="569">
        <f t="shared" si="7"/>
        <v>0</v>
      </c>
      <c r="AO35" s="503">
        <f t="shared" si="8"/>
        <v>0</v>
      </c>
    </row>
    <row r="36" spans="1:43" x14ac:dyDescent="0.2">
      <c r="A36" s="381"/>
      <c r="B36">
        <v>9</v>
      </c>
      <c r="D36" s="414" t="str">
        <f>IF(ISBLANK('10. Load Forecast'!D37),"",'10. Load Forecast'!D37)</f>
        <v/>
      </c>
      <c r="E36" s="414"/>
      <c r="F36" s="686"/>
      <c r="H36" s="585">
        <f>IF(ISBLANK($H$20),0,IF($H$20=$AC$4,'10. Load Forecast'!F37,IF($H$20=$AC$5,'10. Load Forecast'!L37,'10. Load Forecast'!R37)))</f>
        <v>0</v>
      </c>
      <c r="I36" s="586"/>
      <c r="J36" s="585">
        <f>IF(ISBLANK($H$20),0,IF($H$20=$AC$4,'10. Load Forecast'!H37,IF($H$20=$AC$5,'10. Load Forecast'!N37,'10. Load Forecast'!T37)))</f>
        <v>0</v>
      </c>
      <c r="K36" s="586"/>
      <c r="L36" s="585">
        <f>IF(ISBLANK($H$20),0,IF($H$20=$AC$4,'10. Load Forecast'!J37,IF($H$20=$AC$5,'10. Load Forecast'!P37,'10. Load Forecast'!V37)))</f>
        <v>0</v>
      </c>
      <c r="M36" s="381"/>
      <c r="N36" s="382"/>
      <c r="O36" s="583" t="str">
        <f>IF(ISBLANK('11. Cost_Allocation'!I70),"",'11. Cost_Allocation'!I70)</f>
        <v/>
      </c>
      <c r="P36" s="382"/>
      <c r="Q36" s="470" t="str">
        <f t="shared" si="1"/>
        <v/>
      </c>
      <c r="S36" s="386" t="str">
        <f t="shared" si="2"/>
        <v/>
      </c>
      <c r="T36" s="564"/>
      <c r="U36" s="689"/>
      <c r="V36" s="566"/>
      <c r="W36" s="584" t="str">
        <f t="shared" si="3"/>
        <v/>
      </c>
      <c r="X36" s="381"/>
      <c r="Y36" s="523"/>
      <c r="Z36" s="381"/>
      <c r="AA36" s="513" t="str">
        <f t="shared" si="4"/>
        <v/>
      </c>
      <c r="AB36" s="382"/>
      <c r="AC36" s="603">
        <f t="shared" si="9"/>
        <v>2</v>
      </c>
      <c r="AE36" s="513" t="str">
        <f t="shared" si="5"/>
        <v/>
      </c>
      <c r="AF36" s="382"/>
      <c r="AG36" s="382" t="str">
        <f t="shared" si="0"/>
        <v/>
      </c>
      <c r="AH36" s="382"/>
      <c r="AI36" s="603">
        <f t="shared" si="10"/>
        <v>4</v>
      </c>
      <c r="AK36" s="468">
        <f t="shared" si="6"/>
        <v>0</v>
      </c>
      <c r="AM36" s="569">
        <f t="shared" si="7"/>
        <v>0</v>
      </c>
      <c r="AO36" s="503">
        <f t="shared" si="8"/>
        <v>0</v>
      </c>
    </row>
    <row r="37" spans="1:43" x14ac:dyDescent="0.2">
      <c r="A37" s="381"/>
      <c r="B37">
        <v>10</v>
      </c>
      <c r="D37" s="414" t="str">
        <f>IF(ISBLANK('10. Load Forecast'!D38),"",'10. Load Forecast'!D38)</f>
        <v/>
      </c>
      <c r="E37" s="414"/>
      <c r="F37" s="686"/>
      <c r="H37" s="585">
        <f>IF(ISBLANK($H$20),0,IF($H$20=$AC$4,'10. Load Forecast'!F38,IF($H$20=$AC$5,'10. Load Forecast'!L38,'10. Load Forecast'!R38)))</f>
        <v>0</v>
      </c>
      <c r="I37" s="586"/>
      <c r="J37" s="585">
        <f>IF(ISBLANK($H$20),0,IF($H$20=$AC$4,'10. Load Forecast'!H38,IF($H$20=$AC$5,'10. Load Forecast'!N38,'10. Load Forecast'!T38)))</f>
        <v>0</v>
      </c>
      <c r="K37" s="586"/>
      <c r="L37" s="585">
        <f>IF(ISBLANK($H$20),0,IF($H$20=$AC$4,'10. Load Forecast'!J38,IF($H$20=$AC$5,'10. Load Forecast'!P38,'10. Load Forecast'!V38)))</f>
        <v>0</v>
      </c>
      <c r="M37" s="381"/>
      <c r="N37" s="382"/>
      <c r="O37" s="583" t="str">
        <f>IF(ISBLANK('11. Cost_Allocation'!I71),"",'11. Cost_Allocation'!I71)</f>
        <v/>
      </c>
      <c r="P37" s="382"/>
      <c r="Q37" s="470" t="str">
        <f t="shared" si="1"/>
        <v/>
      </c>
      <c r="S37" s="386" t="str">
        <f t="shared" si="2"/>
        <v/>
      </c>
      <c r="T37" s="564"/>
      <c r="U37" s="689"/>
      <c r="V37" s="566"/>
      <c r="W37" s="584" t="str">
        <f t="shared" si="3"/>
        <v/>
      </c>
      <c r="X37" s="381"/>
      <c r="Y37" s="523"/>
      <c r="Z37" s="381"/>
      <c r="AA37" s="513" t="str">
        <f t="shared" si="4"/>
        <v/>
      </c>
      <c r="AB37" s="382"/>
      <c r="AC37" s="603">
        <f t="shared" si="9"/>
        <v>2</v>
      </c>
      <c r="AE37" s="513" t="str">
        <f t="shared" si="5"/>
        <v/>
      </c>
      <c r="AF37" s="382"/>
      <c r="AG37" s="382" t="str">
        <f t="shared" si="0"/>
        <v/>
      </c>
      <c r="AH37" s="382"/>
      <c r="AI37" s="603">
        <f t="shared" si="10"/>
        <v>4</v>
      </c>
      <c r="AK37" s="468">
        <f t="shared" si="6"/>
        <v>0</v>
      </c>
      <c r="AM37" s="569">
        <f t="shared" si="7"/>
        <v>0</v>
      </c>
      <c r="AO37" s="503">
        <f t="shared" si="8"/>
        <v>0</v>
      </c>
    </row>
    <row r="38" spans="1:43" x14ac:dyDescent="0.2">
      <c r="A38" s="381"/>
      <c r="B38">
        <v>11</v>
      </c>
      <c r="D38" s="414" t="str">
        <f>IF(ISBLANK('10. Load Forecast'!D39),"",'10. Load Forecast'!D39)</f>
        <v/>
      </c>
      <c r="E38" s="414"/>
      <c r="F38" s="686"/>
      <c r="H38" s="585">
        <f>IF(ISBLANK($H$20),0,IF($H$20=$AC$4,'10. Load Forecast'!F39,IF($H$20=$AC$5,'10. Load Forecast'!L39,'10. Load Forecast'!R39)))</f>
        <v>0</v>
      </c>
      <c r="I38" s="586"/>
      <c r="J38" s="585">
        <f>IF(ISBLANK($H$20),0,IF($H$20=$AC$4,'10. Load Forecast'!H39,IF($H$20=$AC$5,'10. Load Forecast'!N39,'10. Load Forecast'!T39)))</f>
        <v>0</v>
      </c>
      <c r="K38" s="586"/>
      <c r="L38" s="585">
        <f>IF(ISBLANK($H$20),0,IF($H$20=$AC$4,'10. Load Forecast'!J39,IF($H$20=$AC$5,'10. Load Forecast'!P39,'10. Load Forecast'!V39)))</f>
        <v>0</v>
      </c>
      <c r="M38" s="381"/>
      <c r="N38" s="382"/>
      <c r="O38" s="583" t="str">
        <f>IF(ISBLANK('11. Cost_Allocation'!I72),"",'11. Cost_Allocation'!I72)</f>
        <v/>
      </c>
      <c r="P38" s="382"/>
      <c r="Q38" s="470" t="str">
        <f t="shared" si="1"/>
        <v/>
      </c>
      <c r="S38" s="386" t="str">
        <f t="shared" si="2"/>
        <v/>
      </c>
      <c r="T38" s="564"/>
      <c r="U38" s="689"/>
      <c r="V38" s="566"/>
      <c r="W38" s="584" t="str">
        <f t="shared" si="3"/>
        <v/>
      </c>
      <c r="X38" s="381"/>
      <c r="Y38" s="523"/>
      <c r="Z38" s="381"/>
      <c r="AA38" s="513" t="str">
        <f t="shared" si="4"/>
        <v/>
      </c>
      <c r="AB38" s="382"/>
      <c r="AC38" s="603">
        <f t="shared" si="9"/>
        <v>2</v>
      </c>
      <c r="AE38" s="513" t="str">
        <f t="shared" si="5"/>
        <v/>
      </c>
      <c r="AF38" s="382"/>
      <c r="AG38" s="382" t="str">
        <f t="shared" si="0"/>
        <v/>
      </c>
      <c r="AH38" s="382"/>
      <c r="AI38" s="603">
        <f t="shared" si="10"/>
        <v>4</v>
      </c>
      <c r="AK38" s="468">
        <f t="shared" si="6"/>
        <v>0</v>
      </c>
      <c r="AM38" s="569">
        <f t="shared" si="7"/>
        <v>0</v>
      </c>
      <c r="AO38" s="503">
        <f t="shared" si="8"/>
        <v>0</v>
      </c>
    </row>
    <row r="39" spans="1:43" x14ac:dyDescent="0.2">
      <c r="A39" s="381"/>
      <c r="B39">
        <v>12</v>
      </c>
      <c r="D39" s="414" t="str">
        <f>IF(ISBLANK('10. Load Forecast'!D40),"",'10. Load Forecast'!D40)</f>
        <v/>
      </c>
      <c r="E39" s="414"/>
      <c r="F39" s="686"/>
      <c r="H39" s="585">
        <f>IF(ISBLANK($H$20),0,IF($H$20=$AC$4,'10. Load Forecast'!F40,IF($H$20=$AC$5,'10. Load Forecast'!L40,'10. Load Forecast'!R40)))</f>
        <v>0</v>
      </c>
      <c r="I39" s="586"/>
      <c r="J39" s="585">
        <f>IF(ISBLANK($H$20),0,IF($H$20=$AC$4,'10. Load Forecast'!H40,IF($H$20=$AC$5,'10. Load Forecast'!N40,'10. Load Forecast'!T40)))</f>
        <v>0</v>
      </c>
      <c r="K39" s="586"/>
      <c r="L39" s="585">
        <f>IF(ISBLANK($H$20),0,IF($H$20=$AC$4,'10. Load Forecast'!J40,IF($H$20=$AC$5,'10. Load Forecast'!P40,'10. Load Forecast'!V40)))</f>
        <v>0</v>
      </c>
      <c r="M39" s="381"/>
      <c r="N39" s="382"/>
      <c r="O39" s="583" t="str">
        <f>IF(ISBLANK('11. Cost_Allocation'!I73),"",'11. Cost_Allocation'!I73)</f>
        <v/>
      </c>
      <c r="P39" s="382"/>
      <c r="Q39" s="470" t="str">
        <f t="shared" si="1"/>
        <v/>
      </c>
      <c r="S39" s="386" t="str">
        <f t="shared" si="2"/>
        <v/>
      </c>
      <c r="T39" s="564"/>
      <c r="U39" s="689"/>
      <c r="V39" s="566"/>
      <c r="W39" s="584" t="str">
        <f t="shared" si="3"/>
        <v/>
      </c>
      <c r="X39" s="381"/>
      <c r="Y39" s="523"/>
      <c r="Z39" s="381"/>
      <c r="AA39" s="513" t="str">
        <f t="shared" si="4"/>
        <v/>
      </c>
      <c r="AB39" s="382"/>
      <c r="AC39" s="603">
        <f t="shared" si="9"/>
        <v>2</v>
      </c>
      <c r="AE39" s="513" t="str">
        <f t="shared" si="5"/>
        <v/>
      </c>
      <c r="AF39" s="382"/>
      <c r="AG39" s="382" t="str">
        <f t="shared" si="0"/>
        <v/>
      </c>
      <c r="AH39" s="382"/>
      <c r="AI39" s="603">
        <f t="shared" si="10"/>
        <v>4</v>
      </c>
      <c r="AK39" s="468">
        <f t="shared" si="6"/>
        <v>0</v>
      </c>
      <c r="AM39" s="569">
        <f t="shared" si="7"/>
        <v>0</v>
      </c>
      <c r="AO39" s="503">
        <f t="shared" si="8"/>
        <v>0</v>
      </c>
    </row>
    <row r="40" spans="1:43" x14ac:dyDescent="0.2">
      <c r="A40" s="381"/>
      <c r="B40">
        <v>13</v>
      </c>
      <c r="D40" s="414" t="str">
        <f>IF(ISBLANK('10. Load Forecast'!D41),"",'10. Load Forecast'!D41)</f>
        <v/>
      </c>
      <c r="E40" s="414"/>
      <c r="F40" s="686"/>
      <c r="H40" s="585">
        <f>IF(ISBLANK($H$20),0,IF($H$20=$AC$4,'10. Load Forecast'!F41,IF($H$20=$AC$5,'10. Load Forecast'!L41,'10. Load Forecast'!R41)))</f>
        <v>0</v>
      </c>
      <c r="I40" s="586"/>
      <c r="J40" s="585">
        <f>IF(ISBLANK($H$20),0,IF($H$20=$AC$4,'10. Load Forecast'!H41,IF($H$20=$AC$5,'10. Load Forecast'!N41,'10. Load Forecast'!T41)))</f>
        <v>0</v>
      </c>
      <c r="K40" s="586"/>
      <c r="L40" s="585">
        <f>IF(ISBLANK($H$20),0,IF($H$20=$AC$4,'10. Load Forecast'!J41,IF($H$20=$AC$5,'10. Load Forecast'!P41,'10. Load Forecast'!V41)))</f>
        <v>0</v>
      </c>
      <c r="M40" s="381"/>
      <c r="N40" s="382"/>
      <c r="O40" s="583" t="str">
        <f>IF(ISBLANK('11. Cost_Allocation'!I74),"",'11. Cost_Allocation'!I74)</f>
        <v/>
      </c>
      <c r="P40" s="382"/>
      <c r="Q40" s="470" t="str">
        <f t="shared" si="1"/>
        <v/>
      </c>
      <c r="S40" s="386" t="str">
        <f t="shared" si="2"/>
        <v/>
      </c>
      <c r="T40" s="564"/>
      <c r="U40" s="689"/>
      <c r="V40" s="566"/>
      <c r="W40" s="584" t="str">
        <f t="shared" si="3"/>
        <v/>
      </c>
      <c r="X40" s="381"/>
      <c r="Y40" s="523"/>
      <c r="Z40" s="381"/>
      <c r="AA40" s="513" t="str">
        <f t="shared" si="4"/>
        <v/>
      </c>
      <c r="AB40" s="382"/>
      <c r="AC40" s="603">
        <f t="shared" si="9"/>
        <v>2</v>
      </c>
      <c r="AE40" s="513" t="str">
        <f t="shared" si="5"/>
        <v/>
      </c>
      <c r="AF40" s="382"/>
      <c r="AG40" s="382" t="str">
        <f t="shared" si="0"/>
        <v/>
      </c>
      <c r="AH40" s="382"/>
      <c r="AI40" s="603">
        <f t="shared" si="10"/>
        <v>4</v>
      </c>
      <c r="AK40" s="468">
        <f t="shared" si="6"/>
        <v>0</v>
      </c>
      <c r="AM40" s="569">
        <f t="shared" si="7"/>
        <v>0</v>
      </c>
      <c r="AO40" s="503">
        <f t="shared" si="8"/>
        <v>0</v>
      </c>
    </row>
    <row r="41" spans="1:43" x14ac:dyDescent="0.2">
      <c r="A41" s="381"/>
      <c r="B41">
        <v>14</v>
      </c>
      <c r="D41" s="414" t="str">
        <f>IF(ISBLANK('10. Load Forecast'!D42),"",'10. Load Forecast'!D42)</f>
        <v/>
      </c>
      <c r="E41" s="414"/>
      <c r="F41" s="686"/>
      <c r="H41" s="585">
        <f>IF(ISBLANK($H$20),0,IF($H$20=$AC$4,'10. Load Forecast'!F42,IF($H$20=$AC$5,'10. Load Forecast'!L42,'10. Load Forecast'!R42)))</f>
        <v>0</v>
      </c>
      <c r="I41" s="586"/>
      <c r="J41" s="585">
        <f>IF(ISBLANK($H$20),0,IF($H$20=$AC$4,'10. Load Forecast'!H42,IF($H$20=$AC$5,'10. Load Forecast'!N42,'10. Load Forecast'!T42)))</f>
        <v>0</v>
      </c>
      <c r="K41" s="586"/>
      <c r="L41" s="585">
        <f>IF(ISBLANK($H$20),0,IF($H$20=$AC$4,'10. Load Forecast'!J42,IF($H$20=$AC$5,'10. Load Forecast'!P42,'10. Load Forecast'!V42)))</f>
        <v>0</v>
      </c>
      <c r="M41" s="381"/>
      <c r="N41" s="382"/>
      <c r="O41" s="583" t="str">
        <f>IF(ISBLANK('11. Cost_Allocation'!I75),"",'11. Cost_Allocation'!I75)</f>
        <v/>
      </c>
      <c r="P41" s="382"/>
      <c r="Q41" s="470" t="str">
        <f t="shared" si="1"/>
        <v/>
      </c>
      <c r="S41" s="386" t="str">
        <f t="shared" si="2"/>
        <v/>
      </c>
      <c r="T41" s="564"/>
      <c r="U41" s="689"/>
      <c r="V41" s="566"/>
      <c r="W41" s="584" t="str">
        <f t="shared" si="3"/>
        <v/>
      </c>
      <c r="X41" s="381"/>
      <c r="Y41" s="523"/>
      <c r="Z41" s="381"/>
      <c r="AA41" s="513" t="str">
        <f t="shared" si="4"/>
        <v/>
      </c>
      <c r="AB41" s="382"/>
      <c r="AC41" s="603">
        <f t="shared" si="9"/>
        <v>2</v>
      </c>
      <c r="AE41" s="513" t="str">
        <f t="shared" si="5"/>
        <v/>
      </c>
      <c r="AF41" s="382"/>
      <c r="AG41" s="382" t="str">
        <f t="shared" si="0"/>
        <v/>
      </c>
      <c r="AH41" s="382"/>
      <c r="AI41" s="603">
        <f t="shared" si="10"/>
        <v>4</v>
      </c>
      <c r="AK41" s="468">
        <f t="shared" si="6"/>
        <v>0</v>
      </c>
      <c r="AM41" s="569">
        <f t="shared" si="7"/>
        <v>0</v>
      </c>
      <c r="AO41" s="503">
        <f t="shared" si="8"/>
        <v>0</v>
      </c>
    </row>
    <row r="42" spans="1:43" x14ac:dyDescent="0.2">
      <c r="A42" s="381"/>
      <c r="B42">
        <v>15</v>
      </c>
      <c r="D42" s="414" t="str">
        <f>IF(ISBLANK('10. Load Forecast'!D43),"",'10. Load Forecast'!D43)</f>
        <v/>
      </c>
      <c r="E42" s="414"/>
      <c r="F42" s="686"/>
      <c r="H42" s="585">
        <f>IF(ISBLANK($H$20),0,IF($H$20=$AC$4,'10. Load Forecast'!F43,IF($H$20=$AC$5,'10. Load Forecast'!L43,'10. Load Forecast'!R43)))</f>
        <v>0</v>
      </c>
      <c r="I42" s="586"/>
      <c r="J42" s="585">
        <f>IF(ISBLANK($H$20),0,IF($H$20=$AC$4,'10. Load Forecast'!H43,IF($H$20=$AC$5,'10. Load Forecast'!N43,'10. Load Forecast'!T43)))</f>
        <v>0</v>
      </c>
      <c r="K42" s="586"/>
      <c r="L42" s="585">
        <f>IF(ISBLANK($H$20),0,IF($H$20=$AC$4,'10. Load Forecast'!J43,IF($H$20=$AC$5,'10. Load Forecast'!P43,'10. Load Forecast'!V43)))</f>
        <v>0</v>
      </c>
      <c r="M42" s="381"/>
      <c r="N42" s="382"/>
      <c r="O42" s="583" t="str">
        <f>IF(ISBLANK('11. Cost_Allocation'!I76),"",'11. Cost_Allocation'!I76)</f>
        <v/>
      </c>
      <c r="P42" s="382"/>
      <c r="Q42" s="470" t="str">
        <f t="shared" si="1"/>
        <v/>
      </c>
      <c r="S42" s="386" t="str">
        <f t="shared" si="2"/>
        <v/>
      </c>
      <c r="T42" s="564"/>
      <c r="U42" s="689"/>
      <c r="V42" s="566"/>
      <c r="W42" s="584" t="str">
        <f t="shared" si="3"/>
        <v/>
      </c>
      <c r="X42" s="381"/>
      <c r="Y42" s="523"/>
      <c r="Z42" s="381"/>
      <c r="AA42" s="513" t="str">
        <f t="shared" si="4"/>
        <v/>
      </c>
      <c r="AB42" s="382"/>
      <c r="AC42" s="603">
        <f t="shared" si="9"/>
        <v>2</v>
      </c>
      <c r="AE42" s="513" t="str">
        <f t="shared" si="5"/>
        <v/>
      </c>
      <c r="AF42" s="382"/>
      <c r="AG42" s="382" t="str">
        <f t="shared" si="0"/>
        <v/>
      </c>
      <c r="AH42" s="382"/>
      <c r="AI42" s="603">
        <f t="shared" si="10"/>
        <v>4</v>
      </c>
      <c r="AK42" s="468">
        <f t="shared" si="6"/>
        <v>0</v>
      </c>
      <c r="AM42" s="569">
        <f t="shared" si="7"/>
        <v>0</v>
      </c>
      <c r="AO42" s="503">
        <f t="shared" si="8"/>
        <v>0</v>
      </c>
    </row>
    <row r="43" spans="1:43" x14ac:dyDescent="0.2">
      <c r="A43" s="381"/>
      <c r="B43">
        <v>16</v>
      </c>
      <c r="D43" s="414" t="str">
        <f>IF(ISBLANK('10. Load Forecast'!D44),"",'10. Load Forecast'!D44)</f>
        <v/>
      </c>
      <c r="E43" s="414"/>
      <c r="F43" s="686"/>
      <c r="H43" s="585">
        <f>IF(ISBLANK($H$20),0,IF($H$20=$AC$4,'10. Load Forecast'!F44,IF($H$20=$AC$5,'10. Load Forecast'!L44,'10. Load Forecast'!R44)))</f>
        <v>0</v>
      </c>
      <c r="I43" s="586"/>
      <c r="J43" s="585">
        <f>IF(ISBLANK($H$20),0,IF($H$20=$AC$4,'10. Load Forecast'!H44,IF($H$20=$AC$5,'10. Load Forecast'!N44,'10. Load Forecast'!T44)))</f>
        <v>0</v>
      </c>
      <c r="K43" s="586"/>
      <c r="L43" s="585">
        <f>IF(ISBLANK($H$20),0,IF($H$20=$AC$4,'10. Load Forecast'!J44,IF($H$20=$AC$5,'10. Load Forecast'!P44,'10. Load Forecast'!V44)))</f>
        <v>0</v>
      </c>
      <c r="M43" s="381"/>
      <c r="N43" s="382"/>
      <c r="O43" s="583" t="str">
        <f>IF(ISBLANK('11. Cost_Allocation'!I77),"",'11. Cost_Allocation'!I77)</f>
        <v/>
      </c>
      <c r="P43" s="382"/>
      <c r="Q43" s="470" t="str">
        <f t="shared" si="1"/>
        <v/>
      </c>
      <c r="S43" s="386" t="str">
        <f t="shared" si="2"/>
        <v/>
      </c>
      <c r="T43" s="564"/>
      <c r="U43" s="689"/>
      <c r="V43" s="566"/>
      <c r="W43" s="584" t="str">
        <f t="shared" si="3"/>
        <v/>
      </c>
      <c r="X43" s="381"/>
      <c r="Y43" s="523"/>
      <c r="Z43" s="381"/>
      <c r="AA43" s="513" t="str">
        <f t="shared" si="4"/>
        <v/>
      </c>
      <c r="AB43" s="382"/>
      <c r="AC43" s="603">
        <f t="shared" si="9"/>
        <v>2</v>
      </c>
      <c r="AE43" s="513" t="str">
        <f t="shared" si="5"/>
        <v/>
      </c>
      <c r="AF43" s="382"/>
      <c r="AG43" s="382" t="str">
        <f t="shared" si="0"/>
        <v/>
      </c>
      <c r="AH43" s="382"/>
      <c r="AI43" s="603">
        <f t="shared" si="10"/>
        <v>4</v>
      </c>
      <c r="AK43" s="468">
        <f t="shared" si="6"/>
        <v>0</v>
      </c>
      <c r="AM43" s="569">
        <f t="shared" si="7"/>
        <v>0</v>
      </c>
      <c r="AO43" s="503">
        <f t="shared" si="8"/>
        <v>0</v>
      </c>
    </row>
    <row r="44" spans="1:43" x14ac:dyDescent="0.2">
      <c r="A44" s="381"/>
      <c r="B44">
        <v>17</v>
      </c>
      <c r="D44" s="414" t="str">
        <f>IF(ISBLANK('10. Load Forecast'!D45),"",'10. Load Forecast'!D45)</f>
        <v/>
      </c>
      <c r="E44" s="414"/>
      <c r="F44" s="686"/>
      <c r="H44" s="585">
        <f>IF(ISBLANK($H$20),0,IF($H$20=$AC$4,'10. Load Forecast'!F45,IF($H$20=$AC$5,'10. Load Forecast'!L45,'10. Load Forecast'!R45)))</f>
        <v>0</v>
      </c>
      <c r="I44" s="586"/>
      <c r="J44" s="585">
        <f>IF(ISBLANK($H$20),0,IF($H$20=$AC$4,'10. Load Forecast'!H45,IF($H$20=$AC$5,'10. Load Forecast'!N45,'10. Load Forecast'!T45)))</f>
        <v>0</v>
      </c>
      <c r="K44" s="586"/>
      <c r="L44" s="585">
        <f>IF(ISBLANK($H$20),0,IF($H$20=$AC$4,'10. Load Forecast'!J45,IF($H$20=$AC$5,'10. Load Forecast'!P45,'10. Load Forecast'!V45)))</f>
        <v>0</v>
      </c>
      <c r="M44" s="381"/>
      <c r="N44" s="382"/>
      <c r="O44" s="583" t="str">
        <f>IF(ISBLANK('11. Cost_Allocation'!I78),"",'11. Cost_Allocation'!I78)</f>
        <v/>
      </c>
      <c r="P44" s="382"/>
      <c r="Q44" s="470" t="str">
        <f t="shared" si="1"/>
        <v/>
      </c>
      <c r="S44" s="386" t="str">
        <f t="shared" si="2"/>
        <v/>
      </c>
      <c r="T44" s="564"/>
      <c r="U44" s="689"/>
      <c r="V44" s="566"/>
      <c r="W44" s="584" t="str">
        <f t="shared" si="3"/>
        <v/>
      </c>
      <c r="X44" s="381"/>
      <c r="Y44" s="523"/>
      <c r="Z44" s="381"/>
      <c r="AA44" s="513" t="str">
        <f t="shared" si="4"/>
        <v/>
      </c>
      <c r="AB44" s="382"/>
      <c r="AC44" s="603">
        <f t="shared" si="9"/>
        <v>2</v>
      </c>
      <c r="AE44" s="513" t="str">
        <f t="shared" si="5"/>
        <v/>
      </c>
      <c r="AF44" s="382"/>
      <c r="AG44" s="382" t="str">
        <f t="shared" si="0"/>
        <v/>
      </c>
      <c r="AH44" s="382"/>
      <c r="AI44" s="603">
        <f t="shared" si="10"/>
        <v>4</v>
      </c>
      <c r="AK44" s="468">
        <f t="shared" si="6"/>
        <v>0</v>
      </c>
      <c r="AM44" s="569">
        <f t="shared" si="7"/>
        <v>0</v>
      </c>
      <c r="AO44" s="503">
        <f t="shared" si="8"/>
        <v>0</v>
      </c>
    </row>
    <row r="45" spans="1:43" x14ac:dyDescent="0.2">
      <c r="A45" s="381"/>
      <c r="B45">
        <v>18</v>
      </c>
      <c r="D45" s="414" t="str">
        <f>IF(ISBLANK('10. Load Forecast'!D46),"",'10. Load Forecast'!D46)</f>
        <v/>
      </c>
      <c r="E45" s="414"/>
      <c r="F45" s="686"/>
      <c r="H45" s="585">
        <f>IF(ISBLANK($H$20),0,IF($H$20=$AC$4,'10. Load Forecast'!F46,IF($H$20=$AC$5,'10. Load Forecast'!L46,'10. Load Forecast'!R46)))</f>
        <v>0</v>
      </c>
      <c r="I45" s="586"/>
      <c r="J45" s="585">
        <f>IF(ISBLANK($H$20),0,IF($H$20=$AC$4,'10. Load Forecast'!H46,IF($H$20=$AC$5,'10. Load Forecast'!N46,'10. Load Forecast'!T46)))</f>
        <v>0</v>
      </c>
      <c r="K45" s="586"/>
      <c r="L45" s="585">
        <f>IF(ISBLANK($H$20),0,IF($H$20=$AC$4,'10. Load Forecast'!J46,IF($H$20=$AC$5,'10. Load Forecast'!P46,'10. Load Forecast'!V46)))</f>
        <v>0</v>
      </c>
      <c r="M45" s="381"/>
      <c r="N45" s="382"/>
      <c r="O45" s="583" t="str">
        <f>IF(ISBLANK('11. Cost_Allocation'!I79),"",'11. Cost_Allocation'!I79)</f>
        <v/>
      </c>
      <c r="P45" s="382"/>
      <c r="Q45" s="470" t="str">
        <f t="shared" si="1"/>
        <v/>
      </c>
      <c r="S45" s="386" t="str">
        <f t="shared" si="2"/>
        <v/>
      </c>
      <c r="T45" s="564"/>
      <c r="U45" s="689"/>
      <c r="V45" s="566"/>
      <c r="W45" s="584" t="str">
        <f t="shared" si="3"/>
        <v/>
      </c>
      <c r="X45" s="381"/>
      <c r="Y45" s="523"/>
      <c r="Z45" s="381"/>
      <c r="AA45" s="513" t="str">
        <f t="shared" si="4"/>
        <v/>
      </c>
      <c r="AB45" s="382"/>
      <c r="AC45" s="603">
        <f t="shared" si="9"/>
        <v>2</v>
      </c>
      <c r="AE45" s="513" t="str">
        <f t="shared" si="5"/>
        <v/>
      </c>
      <c r="AF45" s="382"/>
      <c r="AG45" s="382" t="str">
        <f t="shared" si="0"/>
        <v/>
      </c>
      <c r="AH45" s="382"/>
      <c r="AI45" s="603">
        <f t="shared" si="10"/>
        <v>4</v>
      </c>
      <c r="AK45" s="468">
        <f t="shared" si="6"/>
        <v>0</v>
      </c>
      <c r="AM45" s="569">
        <f t="shared" si="7"/>
        <v>0</v>
      </c>
      <c r="AO45" s="503">
        <f t="shared" si="8"/>
        <v>0</v>
      </c>
      <c r="AQ45" s="885" t="inlineStr">
        <is>
          <t/>
        </is>
      </c>
    </row>
    <row r="46" spans="1:43" x14ac:dyDescent="0.2">
      <c r="A46" s="381"/>
      <c r="B46">
        <v>19</v>
      </c>
      <c r="D46" s="414" t="str">
        <f>IF(ISBLANK('10. Load Forecast'!D47),"",'10. Load Forecast'!D47)</f>
        <v/>
      </c>
      <c r="E46" s="414"/>
      <c r="F46" s="686"/>
      <c r="H46" s="585">
        <f>IF(ISBLANK($H$20),0,IF($H$20=$AC$4,'10. Load Forecast'!F47,IF($H$20=$AC$5,'10. Load Forecast'!L47,'10. Load Forecast'!R47)))</f>
        <v>0</v>
      </c>
      <c r="I46" s="586"/>
      <c r="J46" s="585">
        <f>IF(ISBLANK($H$20),0,IF($H$20=$AC$4,'10. Load Forecast'!H47,IF($H$20=$AC$5,'10. Load Forecast'!N47,'10. Load Forecast'!T47)))</f>
        <v>0</v>
      </c>
      <c r="K46" s="586"/>
      <c r="L46" s="585">
        <f>IF(ISBLANK($H$20),0,IF($H$20=$AC$4,'10. Load Forecast'!J47,IF($H$20=$AC$5,'10. Load Forecast'!P47,'10. Load Forecast'!V47)))</f>
        <v>0</v>
      </c>
      <c r="M46" s="381"/>
      <c r="N46" s="382"/>
      <c r="O46" s="583" t="str">
        <f>IF(ISBLANK('11. Cost_Allocation'!I80),"",'11. Cost_Allocation'!I80)</f>
        <v/>
      </c>
      <c r="P46" s="382"/>
      <c r="Q46" s="470" t="str">
        <f t="shared" si="1"/>
        <v/>
      </c>
      <c r="S46" s="386" t="str">
        <f t="shared" si="2"/>
        <v/>
      </c>
      <c r="T46" s="564"/>
      <c r="U46" s="689"/>
      <c r="V46" s="566"/>
      <c r="W46" s="584" t="str">
        <f t="shared" si="3"/>
        <v/>
      </c>
      <c r="X46" s="381"/>
      <c r="Y46" s="523"/>
      <c r="Z46" s="381"/>
      <c r="AA46" s="513" t="str">
        <f t="shared" si="4"/>
        <v/>
      </c>
      <c r="AB46" s="382"/>
      <c r="AC46" s="603">
        <f t="shared" si="9"/>
        <v>2</v>
      </c>
      <c r="AE46" s="513" t="str">
        <f t="shared" si="5"/>
        <v/>
      </c>
      <c r="AF46" s="382"/>
      <c r="AG46" s="382" t="str">
        <f t="shared" si="0"/>
        <v/>
      </c>
      <c r="AH46" s="382"/>
      <c r="AI46" s="603">
        <f t="shared" si="10"/>
        <v>4</v>
      </c>
      <c r="AK46" s="468">
        <f t="shared" si="6"/>
        <v>0</v>
      </c>
      <c r="AM46" s="569">
        <f t="shared" si="7"/>
        <v>0</v>
      </c>
      <c r="AO46" s="503">
        <f t="shared" si="8"/>
        <v>0</v>
      </c>
      <c r="AQ46" s="885"/>
    </row>
    <row r="47" spans="1:43" ht="13.5" thickBot="1" x14ac:dyDescent="0.25">
      <c r="A47" s="381"/>
      <c r="B47" s="505">
        <v>20</v>
      </c>
      <c r="C47" s="501"/>
      <c r="D47" s="506" t="str">
        <f>IF(ISBLANK('10. Load Forecast'!D48),"",'10. Load Forecast'!D48)</f>
        <v/>
      </c>
      <c r="E47" s="506"/>
      <c r="F47" s="687"/>
      <c r="G47" s="501"/>
      <c r="H47" s="587">
        <f>IF(ISBLANK($H$20),0,IF($H$20=$AC$4,'10. Load Forecast'!F48,IF($H$20=$AC$5,'10. Load Forecast'!L48,'10. Load Forecast'!R48)))</f>
        <v>0</v>
      </c>
      <c r="I47" s="588"/>
      <c r="J47" s="587">
        <f>IF(ISBLANK($H$20),0,IF($H$20=$AC$4,'10. Load Forecast'!H48,IF($H$20=$AC$5,'10. Load Forecast'!N48,'10. Load Forecast'!T48)))</f>
        <v>0</v>
      </c>
      <c r="K47" s="588"/>
      <c r="L47" s="587">
        <f>IF(ISBLANK($H$20),0,IF($H$20=$AC$4,'10. Load Forecast'!J48,IF($H$20=$AC$5,'10. Load Forecast'!P48,'10. Load Forecast'!V48)))</f>
        <v>0</v>
      </c>
      <c r="M47" s="502"/>
      <c r="N47" s="501"/>
      <c r="O47" s="507" t="str">
        <f>IF(ISBLANK('11. Cost_Allocation'!I81),"",'11. Cost_Allocation'!I81)</f>
        <v/>
      </c>
      <c r="P47" s="501"/>
      <c r="Q47" s="507" t="str">
        <f t="shared" si="1"/>
        <v/>
      </c>
      <c r="R47" s="501"/>
      <c r="S47" s="509" t="str">
        <f t="shared" si="2"/>
        <v/>
      </c>
      <c r="T47" s="565"/>
      <c r="U47" s="690"/>
      <c r="V47" s="567"/>
      <c r="W47" s="589" t="str">
        <f t="shared" si="3"/>
        <v/>
      </c>
      <c r="X47" s="502"/>
      <c r="Y47" s="590"/>
      <c r="Z47" s="502"/>
      <c r="AA47" s="514" t="str">
        <f t="shared" si="4"/>
        <v/>
      </c>
      <c r="AB47" s="501"/>
      <c r="AC47" s="604">
        <f t="shared" si="9"/>
        <v>2</v>
      </c>
      <c r="AD47" s="501"/>
      <c r="AE47" s="514" t="str">
        <f t="shared" si="5"/>
        <v/>
      </c>
      <c r="AF47" s="501"/>
      <c r="AG47" s="501" t="str">
        <f t="shared" si="0"/>
        <v/>
      </c>
      <c r="AH47" s="501"/>
      <c r="AI47" s="604">
        <f t="shared" si="10"/>
        <v>4</v>
      </c>
      <c r="AK47" s="468">
        <f t="shared" si="6"/>
        <v>0</v>
      </c>
      <c r="AM47" s="569">
        <f t="shared" si="7"/>
        <v>0</v>
      </c>
      <c r="AO47" s="503">
        <f t="shared" si="8"/>
        <v>0</v>
      </c>
      <c r="AQ47" s="885"/>
    </row>
    <row r="48" spans="1:43" ht="13.5" thickBot="1" x14ac:dyDescent="0.25">
      <c r="A48" s="382"/>
      <c r="B48" s="510"/>
      <c r="AI48" s="381"/>
      <c r="AO48" s="381"/>
      <c r="AQ48" s="606"/>
    </row>
    <row r="49" spans="2:43" ht="13.5" thickBot="1" x14ac:dyDescent="0.25">
      <c r="S49" s="897" t="s">
        <v>420</v>
      </c>
      <c r="T49" s="897"/>
      <c r="U49" s="897"/>
      <c r="V49" s="897"/>
      <c r="W49" s="897"/>
      <c r="Y49" s="592">
        <f>SUM(Y28:Y47)</f>
        <v>44686.118399999999</v>
      </c>
      <c r="AI49" s="381"/>
      <c r="AJ49" s="448" t="s">
        <v>327</v>
      </c>
      <c r="AO49" s="503">
        <f>SUM(AO28:AO47)</f>
        <v>5548824.4799999995</v>
      </c>
      <c r="AQ49" s="607">
        <f>SUM(AK28:AK47)+SUM(AM28:AM47)</f>
        <v>5593510.5848272117</v>
      </c>
    </row>
    <row r="50" spans="2:43" x14ac:dyDescent="0.2">
      <c r="AI50" s="381"/>
      <c r="AO50" s="381"/>
      <c r="AQ50" s="607">
        <f>AO49+Y49</f>
        <v>5593510.5983999996</v>
      </c>
    </row>
    <row r="51" spans="2:43" x14ac:dyDescent="0.2">
      <c r="AE51" s="862" t="str">
        <f>IF(AO54="","",IF((ABS(AO54)&lt;=0.5%),"Rates recover revenue requirement","Revenues recovered from rates deviate materially from revenue requirement - check data inputs and calculations"))</f>
        <v>Rates recover revenue requirement</v>
      </c>
      <c r="AF51" s="862"/>
      <c r="AG51" s="862"/>
      <c r="AH51" s="862"/>
      <c r="AI51" s="888"/>
      <c r="AJ51" s="448" t="s">
        <v>233</v>
      </c>
      <c r="AK51" s="449"/>
      <c r="AO51" s="504">
        <f>IF(H20="",0,IF(H20=AC4,'9. Rev_Reqt'!F28,IF(H20=AC5,'9. Rev_Reqt'!J28,'9. Rev_Reqt'!N28)))</f>
        <v>5548648.6181095475</v>
      </c>
    </row>
    <row r="52" spans="2:43" x14ac:dyDescent="0.2">
      <c r="B52" s="448" t="s">
        <v>42</v>
      </c>
      <c r="AE52" s="862"/>
      <c r="AF52" s="862"/>
      <c r="AG52" s="862"/>
      <c r="AH52" s="862"/>
      <c r="AI52" s="888"/>
      <c r="AO52" s="381"/>
    </row>
    <row r="53" spans="2:43" x14ac:dyDescent="0.2">
      <c r="AE53" s="862"/>
      <c r="AF53" s="862"/>
      <c r="AG53" s="862"/>
      <c r="AH53" s="862"/>
      <c r="AI53" s="888"/>
      <c r="AJ53" s="448" t="s">
        <v>320</v>
      </c>
      <c r="AO53" s="503">
        <f>AO49-AO51</f>
        <v>175.86189045198262</v>
      </c>
    </row>
    <row r="54" spans="2:43" ht="15" thickBot="1" x14ac:dyDescent="0.25">
      <c r="B54" s="614">
        <v>1</v>
      </c>
      <c r="D54" s="449" t="s">
        <v>426</v>
      </c>
      <c r="AE54" s="862"/>
      <c r="AF54" s="862"/>
      <c r="AG54" s="862"/>
      <c r="AH54" s="862"/>
      <c r="AI54" s="888"/>
      <c r="AJ54" s="516" t="s">
        <v>321</v>
      </c>
      <c r="AK54" s="501"/>
      <c r="AL54" s="501"/>
      <c r="AM54" s="501"/>
      <c r="AN54" s="501"/>
      <c r="AO54" s="591">
        <f>IF(AO51=0,"",AO53/AO51)</f>
        <v>3.1694544483860226E-5</v>
      </c>
    </row>
    <row r="55" spans="2:43" ht="14.25" x14ac:dyDescent="0.2">
      <c r="B55" s="581"/>
      <c r="D55" s="449"/>
      <c r="AE55" s="698"/>
      <c r="AF55" s="698"/>
      <c r="AG55" s="698"/>
      <c r="AH55" s="698"/>
      <c r="AI55" s="608"/>
      <c r="AJ55" s="609"/>
      <c r="AK55" s="382"/>
      <c r="AL55" s="382"/>
      <c r="AM55" s="382"/>
      <c r="AN55" s="382"/>
      <c r="AO55" s="610"/>
    </row>
    <row r="56" spans="2:43" ht="14.25" x14ac:dyDescent="0.2">
      <c r="B56" s="605">
        <v>2</v>
      </c>
      <c r="D56" s="861" t="s">
        <v>428</v>
      </c>
      <c r="E56" s="861"/>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J56" s="524"/>
      <c r="AK56" s="414"/>
      <c r="AL56" s="414"/>
      <c r="AM56" s="414"/>
      <c r="AN56" s="414"/>
    </row>
    <row r="57" spans="2:43" x14ac:dyDescent="0.2">
      <c r="D57" s="861"/>
      <c r="E57" s="861"/>
      <c r="F57" s="861"/>
      <c r="G57" s="861"/>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row>
  </sheetData>
  <sheetProtection algorithmName="SHA-512" hashValue="JKoNHr2SKWsOr8Yx0i4nkIwVkGYTPDcvFkxgoK11rGmrEo6VCVqyq1eMyYaKdpX2ceIqb6egS662/igzb/+q9w==" saltValue="X0e+K1T068h4j50V8xYroQ==" spinCount="100000" sheet="1" objects="1" scenarios="1"/>
  <mergeCells count="24">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 ref="S24:S26"/>
    <mergeCell ref="AQ45:AQ47"/>
    <mergeCell ref="AK20:AO20"/>
    <mergeCell ref="AE51:AI54"/>
    <mergeCell ref="U22:W22"/>
    <mergeCell ref="O22:S23"/>
    <mergeCell ref="U23:W23"/>
    <mergeCell ref="S49:W49"/>
  </mergeCells>
  <conditionalFormatting sqref="AA29:AA47">
    <cfRule type="expression" dxfId="14" priority="9">
      <formula>$AC29=4</formula>
    </cfRule>
    <cfRule type="expression" dxfId="13" priority="10">
      <formula>$AC29=3</formula>
    </cfRule>
    <cfRule type="expression" dxfId="12" priority="11">
      <formula>$AC29=2</formula>
    </cfRule>
  </conditionalFormatting>
  <conditionalFormatting sqref="AE28:AE47">
    <cfRule type="expression" dxfId="11" priority="12">
      <formula>$AI28=7</formula>
    </cfRule>
    <cfRule type="expression" dxfId="10" priority="13">
      <formula>$AI28=6</formula>
    </cfRule>
    <cfRule type="expression" dxfId="9" priority="14">
      <formula>$AI28=5</formula>
    </cfRule>
    <cfRule type="expression" dxfId="8" priority="15">
      <formula>$AI28=4</formula>
    </cfRule>
  </conditionalFormatting>
  <conditionalFormatting sqref="AE51:AI55">
    <cfRule type="expression" dxfId="7" priority="8">
      <formula>ABS($AO$54)&gt;1%</formula>
    </cfRule>
  </conditionalFormatting>
  <conditionalFormatting sqref="U34:U47">
    <cfRule type="expression" dxfId="6" priority="6">
      <formula>"&gt; 1"</formula>
    </cfRule>
    <cfRule type="expression" dxfId="5" priority="7">
      <formula>"&lt; 0"</formula>
    </cfRule>
  </conditionalFormatting>
  <conditionalFormatting sqref="AA28">
    <cfRule type="expression" dxfId="4" priority="3">
      <formula>$AC28=4</formula>
    </cfRule>
    <cfRule type="expression" dxfId="3" priority="4">
      <formula>$AC28=3</formula>
    </cfRule>
    <cfRule type="expression" dxfId="2" priority="5">
      <formula>$AC28=2</formula>
    </cfRule>
  </conditionalFormatting>
  <conditionalFormatting sqref="U28:U33">
    <cfRule type="expression" dxfId="1" priority="1">
      <formula>"&gt; 1"</formula>
    </cfRule>
    <cfRule type="expression" dxfId="0" priority="2">
      <formula>"&lt; 0"</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7" right="0.7" top="0.75" bottom="0.75" header="0.3" footer="0.3"/>
  <pageSetup scale="37" orientation="landscape"/>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2:R212"/>
  <sheetViews>
    <sheetView showGridLines="0" zoomScale="90" zoomScaleNormal="90" workbookViewId="0">
      <pane xSplit="3" ySplit="19" topLeftCell="D20" activePane="bottomRight" state="frozen"/>
      <selection pane="topRight" activeCell="D1" sqref="D1"/>
      <selection pane="bottomLeft" activeCell="A20" sqref="A20"/>
      <selection pane="bottomRight" activeCell="D20" sqref="D20"/>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x14ac:dyDescent="0.2">
      <c r="I2" s="414"/>
      <c r="J2" s="414"/>
      <c r="K2" s="414"/>
      <c r="L2" s="414"/>
      <c r="M2" s="414"/>
      <c r="N2" s="414"/>
      <c r="O2" s="414"/>
    </row>
    <row r="3" spans="2:15" x14ac:dyDescent="0.2">
      <c r="I3" s="418"/>
      <c r="J3" s="418"/>
      <c r="K3" s="418"/>
      <c r="L3" s="418"/>
      <c r="M3" s="418"/>
      <c r="N3" s="418"/>
      <c r="O3" s="418"/>
    </row>
    <row r="4" spans="2:15" x14ac:dyDescent="0.2">
      <c r="I4" s="418"/>
      <c r="J4" s="418"/>
      <c r="K4" s="418"/>
      <c r="L4" s="418"/>
      <c r="M4" s="418"/>
      <c r="N4" s="418"/>
      <c r="O4" s="418"/>
    </row>
    <row r="5" spans="2:15" x14ac:dyDescent="0.2">
      <c r="I5" s="419"/>
      <c r="J5" s="419"/>
      <c r="K5" s="419"/>
      <c r="L5" s="419"/>
      <c r="M5" s="419"/>
      <c r="N5" s="419"/>
      <c r="O5" s="419"/>
    </row>
    <row r="6" spans="2:15" x14ac:dyDescent="0.2">
      <c r="I6" s="419"/>
      <c r="J6" s="419"/>
      <c r="K6" s="419"/>
      <c r="L6" s="419"/>
      <c r="M6" s="419"/>
      <c r="N6" s="419"/>
      <c r="O6" s="419"/>
    </row>
    <row r="7" spans="2:15" x14ac:dyDescent="0.2">
      <c r="I7" s="419"/>
      <c r="J7" s="419"/>
      <c r="K7" s="419"/>
      <c r="L7" s="419"/>
      <c r="M7" s="419"/>
      <c r="N7" s="419"/>
      <c r="O7" s="419"/>
    </row>
    <row r="8" spans="2:15" x14ac:dyDescent="0.2">
      <c r="I8" s="419"/>
      <c r="J8" s="419"/>
      <c r="K8" s="419"/>
      <c r="L8" s="419"/>
      <c r="M8" s="419"/>
      <c r="N8" s="419"/>
      <c r="O8" s="419"/>
    </row>
    <row r="9" spans="2:15" x14ac:dyDescent="0.2">
      <c r="I9" s="419"/>
      <c r="J9" s="419"/>
      <c r="K9" s="419"/>
      <c r="L9" s="419"/>
      <c r="M9" s="419"/>
      <c r="N9" s="419"/>
      <c r="O9" s="419"/>
    </row>
    <row r="10" spans="2:15" x14ac:dyDescent="0.2">
      <c r="I10" s="419"/>
      <c r="J10" s="419"/>
      <c r="K10" s="419"/>
      <c r="L10" s="419"/>
      <c r="M10" s="419"/>
      <c r="N10" s="419"/>
      <c r="O10" s="419"/>
    </row>
    <row r="11" spans="2:15" x14ac:dyDescent="0.2">
      <c r="I11" s="419"/>
      <c r="J11" s="419"/>
      <c r="K11" s="419"/>
      <c r="L11" s="419"/>
      <c r="M11" s="419"/>
      <c r="N11" s="419"/>
      <c r="O11" s="419"/>
    </row>
    <row r="13" spans="2:15" ht="9" customHeight="1" x14ac:dyDescent="0.2"/>
    <row r="14" spans="2:15" ht="18" x14ac:dyDescent="0.25">
      <c r="B14" s="417" t="s">
        <v>256</v>
      </c>
    </row>
    <row r="15" spans="2:15" ht="83.25" customHeight="1" x14ac:dyDescent="0.2">
      <c r="B15" s="922" t="s">
        <v>442</v>
      </c>
      <c r="C15" s="922"/>
      <c r="D15" s="922"/>
      <c r="E15" s="922"/>
      <c r="F15" s="922"/>
      <c r="G15" s="922"/>
      <c r="H15" s="922"/>
      <c r="I15" s="922"/>
      <c r="J15" s="922"/>
      <c r="K15" s="922"/>
      <c r="L15" s="922"/>
      <c r="M15" s="922"/>
      <c r="N15" s="922"/>
      <c r="O15" s="922"/>
    </row>
    <row r="16" spans="2:15" ht="40.5" customHeight="1" x14ac:dyDescent="0.35">
      <c r="B16" s="907" t="s">
        <v>269</v>
      </c>
      <c r="C16" s="907"/>
      <c r="D16" s="907"/>
      <c r="E16" s="907"/>
      <c r="F16" s="907"/>
      <c r="G16" s="907"/>
      <c r="H16" s="907"/>
      <c r="I16" s="907"/>
      <c r="J16" s="907"/>
      <c r="K16" s="907"/>
      <c r="L16" s="907"/>
      <c r="M16" s="907"/>
      <c r="N16" s="907"/>
      <c r="O16" s="907"/>
    </row>
    <row r="17" spans="1:17" ht="9" customHeight="1" thickBot="1" x14ac:dyDescent="0.3">
      <c r="B17" s="397"/>
      <c r="C17" s="398"/>
      <c r="D17" s="398"/>
      <c r="E17" s="398"/>
      <c r="F17" s="398"/>
      <c r="G17" s="398"/>
      <c r="H17" s="398"/>
      <c r="I17" s="398"/>
      <c r="J17" s="398"/>
      <c r="K17" s="398"/>
      <c r="L17" s="398"/>
      <c r="M17" s="398"/>
      <c r="N17" s="398"/>
      <c r="O17" s="398"/>
    </row>
    <row r="18" spans="1:17" ht="16.5" customHeight="1" thickTop="1" thickBot="1" x14ac:dyDescent="0.25">
      <c r="A18" s="394"/>
      <c r="B18" s="393"/>
      <c r="C18" s="393"/>
      <c r="D18" s="915" t="s">
        <v>89</v>
      </c>
      <c r="E18" s="916"/>
      <c r="F18" s="920" t="s">
        <v>267</v>
      </c>
      <c r="G18" s="920"/>
      <c r="H18" s="921"/>
      <c r="I18" s="917" t="s">
        <v>117</v>
      </c>
      <c r="J18" s="918"/>
      <c r="K18" s="919"/>
      <c r="L18" s="915" t="s">
        <v>239</v>
      </c>
      <c r="M18" s="915"/>
      <c r="N18" s="915"/>
      <c r="O18" s="916"/>
      <c r="P18" s="382"/>
    </row>
    <row r="19" spans="1:17" ht="54.75" customHeight="1" thickBot="1" x14ac:dyDescent="0.25">
      <c r="A19" s="394"/>
      <c r="B19" s="401" t="s">
        <v>266</v>
      </c>
      <c r="C19" s="401" t="s">
        <v>268</v>
      </c>
      <c r="D19" s="406" t="s">
        <v>257</v>
      </c>
      <c r="E19" s="402" t="s">
        <v>258</v>
      </c>
      <c r="F19" s="406" t="s">
        <v>7</v>
      </c>
      <c r="G19" s="403" t="s">
        <v>259</v>
      </c>
      <c r="H19" s="402" t="s">
        <v>270</v>
      </c>
      <c r="I19" s="407" t="s">
        <v>260</v>
      </c>
      <c r="J19" s="409" t="s">
        <v>6</v>
      </c>
      <c r="K19" s="411" t="s">
        <v>261</v>
      </c>
      <c r="L19" s="407" t="s">
        <v>263</v>
      </c>
      <c r="M19" s="403" t="s">
        <v>262</v>
      </c>
      <c r="N19" s="403" t="s">
        <v>233</v>
      </c>
      <c r="O19" s="413" t="s">
        <v>264</v>
      </c>
    </row>
    <row r="20" spans="1:17" ht="13.5" thickTop="1" x14ac:dyDescent="0.2">
      <c r="A20" s="394"/>
      <c r="B20" s="394"/>
      <c r="C20" s="394"/>
      <c r="D20" s="381"/>
      <c r="E20" s="388"/>
      <c r="F20" s="381"/>
      <c r="G20" s="383"/>
      <c r="H20" s="388"/>
      <c r="I20" s="408"/>
      <c r="J20" s="410"/>
      <c r="K20" s="412"/>
      <c r="L20" s="408"/>
      <c r="M20" s="383"/>
      <c r="N20" s="383"/>
      <c r="O20" s="412"/>
    </row>
    <row r="21" spans="1:17" x14ac:dyDescent="0.2">
      <c r="A21" s="394"/>
      <c r="B21" s="396"/>
      <c r="C21" s="395" t="s">
        <v>265</v>
      </c>
      <c r="D21" s="386">
        <f>'7. Cost_of_Capital'!P26</f>
        <v>1771029.6350050927</v>
      </c>
      <c r="E21" s="391">
        <f>'7. Cost_of_Capital'!L26</f>
        <v>5.7692E-2</v>
      </c>
      <c r="F21" s="386">
        <f>'4. Rate_Base'!G18</f>
        <v>30698010.729478829</v>
      </c>
      <c r="G21" s="384">
        <f>'4. Rate_Base'!G26</f>
        <v>28964816.001490895</v>
      </c>
      <c r="H21" s="389">
        <f>'4. Rate_Base'!G30</f>
        <v>2172361.2001118171</v>
      </c>
      <c r="I21" s="386">
        <f>'9. Rev_Reqt'!F16</f>
        <v>1157365.0285484223</v>
      </c>
      <c r="J21" s="384">
        <f>'9. Rev_Reqt'!F19</f>
        <v>109827.80949031486</v>
      </c>
      <c r="K21" s="389">
        <f>'9. Rev_Reqt'!F15</f>
        <v>2974185.7497909409</v>
      </c>
      <c r="L21" s="386">
        <f>'9. Rev_Reqt'!F25</f>
        <v>6047363.0228347704</v>
      </c>
      <c r="M21" s="384">
        <f>'9. Rev_Reqt'!F32</f>
        <v>502938.99582215952</v>
      </c>
      <c r="N21" s="384">
        <f>'9. Rev_Reqt'!F28</f>
        <v>5544424.0270126108</v>
      </c>
      <c r="O21" s="399">
        <f>'8. Rev_Def_Suff'!F52</f>
        <v>50401.404456559212</v>
      </c>
    </row>
    <row r="22" spans="1:17" x14ac:dyDescent="0.2">
      <c r="A22" s="382"/>
      <c r="B22" s="405"/>
      <c r="C22" s="394"/>
      <c r="D22" s="381"/>
      <c r="E22" s="388"/>
      <c r="F22" s="381"/>
      <c r="G22" s="383"/>
      <c r="H22" s="388"/>
      <c r="I22" s="381"/>
      <c r="J22" s="383"/>
      <c r="K22" s="388"/>
      <c r="L22" s="381"/>
      <c r="M22" s="383"/>
      <c r="N22" s="383"/>
      <c r="O22" s="394"/>
    </row>
    <row r="23" spans="1:17" ht="25.5" x14ac:dyDescent="0.2">
      <c r="A23" s="908">
        <v>1</v>
      </c>
      <c r="B23" s="909" t="s">
        <v>493</v>
      </c>
      <c r="C23" s="420" t="s">
        <v>494</v>
      </c>
      <c r="D23" s="421">
        <v>1770796.1917405149</v>
      </c>
      <c r="E23" s="422">
        <v>5.7692E-2</v>
      </c>
      <c r="F23" s="421">
        <v>30693964.357978828</v>
      </c>
      <c r="G23" s="423">
        <v>28910864.381490894</v>
      </c>
      <c r="H23" s="424">
        <v>2168314.8286118167</v>
      </c>
      <c r="I23" s="421">
        <v>1157365.0285484223</v>
      </c>
      <c r="J23" s="425">
        <v>109775.2892398253</v>
      </c>
      <c r="K23" s="424">
        <v>2974185.7497909409</v>
      </c>
      <c r="L23" s="421">
        <v>6047077.0593197029</v>
      </c>
      <c r="M23" s="423">
        <v>502938.99582215952</v>
      </c>
      <c r="N23" s="425">
        <v>5544138.0634975433</v>
      </c>
      <c r="O23" s="426">
        <v>53904.019617131235</v>
      </c>
      <c r="Q23" t="str">
        <f>IF(AND(ISBLANK(B23), ISBLANK(C23)), "X", "")</f>
        <v/>
      </c>
    </row>
    <row r="24" spans="1:17" x14ac:dyDescent="0.2">
      <c r="A24" s="908"/>
      <c r="B24" s="910"/>
      <c r="C24" s="404" t="s">
        <v>271</v>
      </c>
      <c r="D24" s="387">
        <f>IF(D23="","",D23-D21)</f>
        <v>-233.44326457777061</v>
      </c>
      <c r="E24" s="392">
        <f t="shared" ref="E24:O24" si="0">IF(E23="","",E23-E21)</f>
        <v>0</v>
      </c>
      <c r="F24" s="387">
        <f t="shared" si="0"/>
        <v>-4046.3715000003576</v>
      </c>
      <c r="G24" s="385">
        <f t="shared" si="0"/>
        <v>-53951.620000001043</v>
      </c>
      <c r="H24" s="389">
        <f t="shared" si="0"/>
        <v>-4046.3715000003576</v>
      </c>
      <c r="I24" s="387">
        <f t="shared" si="0"/>
        <v>0</v>
      </c>
      <c r="J24" s="385">
        <f t="shared" si="0"/>
        <v>-52.520250489556929</v>
      </c>
      <c r="K24" s="390">
        <f t="shared" si="0"/>
        <v>0</v>
      </c>
      <c r="L24" s="387">
        <f t="shared" si="0"/>
        <v>-285.96351506747305</v>
      </c>
      <c r="M24" s="385">
        <f t="shared" si="0"/>
        <v>0</v>
      </c>
      <c r="N24" s="385">
        <f t="shared" si="0"/>
        <v>-285.96351506747305</v>
      </c>
      <c r="O24" s="400">
        <f t="shared" si="0"/>
        <v>3502.6151605720224</v>
      </c>
    </row>
    <row r="25" spans="1:17" x14ac:dyDescent="0.2">
      <c r="A25" s="908"/>
      <c r="B25" s="394"/>
      <c r="C25" s="394"/>
      <c r="D25" s="381"/>
      <c r="E25" s="388"/>
      <c r="F25" s="381"/>
      <c r="G25" s="383"/>
      <c r="H25" s="388"/>
      <c r="I25" s="381"/>
      <c r="J25" s="383"/>
      <c r="K25" s="388"/>
      <c r="L25" s="381"/>
      <c r="M25" s="383"/>
      <c r="N25" s="383"/>
      <c r="O25" s="394"/>
    </row>
    <row r="26" spans="1:17" ht="25.5" x14ac:dyDescent="0.2">
      <c r="A26" s="908">
        <v>2</v>
      </c>
      <c r="B26" s="914" t="s">
        <v>495</v>
      </c>
      <c r="C26" s="420" t="s">
        <v>496</v>
      </c>
      <c r="D26" s="421">
        <v>1770796.1917405149</v>
      </c>
      <c r="E26" s="422">
        <v>5.7692E-2</v>
      </c>
      <c r="F26" s="421">
        <v>30693964.357978828</v>
      </c>
      <c r="G26" s="423">
        <v>28910864.381490894</v>
      </c>
      <c r="H26" s="424">
        <v>2168314.8286118167</v>
      </c>
      <c r="I26" s="421">
        <v>1157365.0285484223</v>
      </c>
      <c r="J26" s="425">
        <v>109775.2892398253</v>
      </c>
      <c r="K26" s="424">
        <v>2974185.7497909409</v>
      </c>
      <c r="L26" s="421">
        <v>6047077.0593197029</v>
      </c>
      <c r="M26" s="423">
        <v>507301.99582215952</v>
      </c>
      <c r="N26" s="425">
        <v>5539775.0634975433</v>
      </c>
      <c r="O26" s="426">
        <v>49541.019617131322</v>
      </c>
      <c r="Q26" t="str">
        <f t="shared" ref="Q26" si="1">IF(AND(ISBLANK(B26), ISBLANK(C26)), "X", "")</f>
        <v/>
      </c>
    </row>
    <row r="27" spans="1:17" x14ac:dyDescent="0.2">
      <c r="A27" s="908"/>
      <c r="B27" s="914"/>
      <c r="C27" s="404" t="s">
        <v>271</v>
      </c>
      <c r="D27" s="387">
        <f t="shared" ref="D27:O27" si="2">IF(D26="","",D26-D23)</f>
        <v>0</v>
      </c>
      <c r="E27" s="392">
        <f t="shared" si="2"/>
        <v>0</v>
      </c>
      <c r="F27" s="387">
        <f t="shared" si="2"/>
        <v>0</v>
      </c>
      <c r="G27" s="385">
        <f t="shared" si="2"/>
        <v>0</v>
      </c>
      <c r="H27" s="389">
        <f t="shared" si="2"/>
        <v>0</v>
      </c>
      <c r="I27" s="387">
        <f t="shared" si="2"/>
        <v>0</v>
      </c>
      <c r="J27" s="385">
        <f t="shared" si="2"/>
        <v>0</v>
      </c>
      <c r="K27" s="390">
        <f t="shared" si="2"/>
        <v>0</v>
      </c>
      <c r="L27" s="387">
        <f t="shared" si="2"/>
        <v>0</v>
      </c>
      <c r="M27" s="385">
        <f t="shared" si="2"/>
        <v>4363</v>
      </c>
      <c r="N27" s="385">
        <f t="shared" si="2"/>
        <v>-4363</v>
      </c>
      <c r="O27" s="400">
        <f t="shared" si="2"/>
        <v>-4362.9999999999127</v>
      </c>
    </row>
    <row r="28" spans="1:17" x14ac:dyDescent="0.2">
      <c r="A28" s="908"/>
      <c r="B28" s="405"/>
      <c r="C28" s="394"/>
      <c r="D28" s="381"/>
      <c r="E28" s="388"/>
      <c r="F28" s="381"/>
      <c r="G28" s="383"/>
      <c r="H28" s="388"/>
      <c r="I28" s="381"/>
      <c r="J28" s="383"/>
      <c r="K28" s="388"/>
      <c r="L28" s="381"/>
      <c r="M28" s="383"/>
      <c r="N28" s="383"/>
      <c r="O28" s="394"/>
    </row>
    <row r="29" spans="1:17" ht="25.5" x14ac:dyDescent="0.2">
      <c r="A29" s="908">
        <v>3</v>
      </c>
      <c r="B29" s="910" t="s">
        <v>497</v>
      </c>
      <c r="C29" s="420" t="s">
        <v>498</v>
      </c>
      <c r="D29" s="421">
        <v>1770796.1917405149</v>
      </c>
      <c r="E29" s="422">
        <v>5.7692E-2</v>
      </c>
      <c r="F29" s="421">
        <v>30693964.357978828</v>
      </c>
      <c r="G29" s="423">
        <v>28910864.381490894</v>
      </c>
      <c r="H29" s="424">
        <v>2168314.8286118167</v>
      </c>
      <c r="I29" s="421">
        <v>1157365.0285484223</v>
      </c>
      <c r="J29" s="425">
        <v>109775.2892398253</v>
      </c>
      <c r="K29" s="424">
        <v>2974185.7497909409</v>
      </c>
      <c r="L29" s="421">
        <v>6047077.0593197029</v>
      </c>
      <c r="M29" s="423">
        <v>507792.70082215953</v>
      </c>
      <c r="N29" s="425">
        <v>5539284.3584975433</v>
      </c>
      <c r="O29" s="426">
        <v>49050.314617131007</v>
      </c>
      <c r="Q29" t="str">
        <f t="shared" ref="Q29" si="3">IF(AND(ISBLANK(B29), ISBLANK(C29)), "X", "")</f>
        <v/>
      </c>
    </row>
    <row r="30" spans="1:17" x14ac:dyDescent="0.2">
      <c r="A30" s="908"/>
      <c r="B30" s="910"/>
      <c r="C30" s="404" t="s">
        <v>271</v>
      </c>
      <c r="D30" s="387">
        <f t="shared" ref="D30:O30" si="4">IF(D29="","",D29-D26)</f>
        <v>0</v>
      </c>
      <c r="E30" s="392">
        <f t="shared" si="4"/>
        <v>0</v>
      </c>
      <c r="F30" s="387">
        <f t="shared" si="4"/>
        <v>0</v>
      </c>
      <c r="G30" s="385">
        <f t="shared" si="4"/>
        <v>0</v>
      </c>
      <c r="H30" s="389">
        <f t="shared" si="4"/>
        <v>0</v>
      </c>
      <c r="I30" s="387">
        <f t="shared" si="4"/>
        <v>0</v>
      </c>
      <c r="J30" s="385">
        <f t="shared" si="4"/>
        <v>0</v>
      </c>
      <c r="K30" s="390">
        <f t="shared" si="4"/>
        <v>0</v>
      </c>
      <c r="L30" s="387">
        <f t="shared" si="4"/>
        <v>0</v>
      </c>
      <c r="M30" s="385">
        <f t="shared" si="4"/>
        <v>490.7050000000163</v>
      </c>
      <c r="N30" s="385">
        <f t="shared" si="4"/>
        <v>-490.70500000007451</v>
      </c>
      <c r="O30" s="400">
        <f t="shared" si="4"/>
        <v>-490.70500000031461</v>
      </c>
    </row>
    <row r="31" spans="1:17" x14ac:dyDescent="0.2">
      <c r="A31" s="908"/>
      <c r="B31" s="394"/>
      <c r="C31" s="394"/>
      <c r="D31" s="381"/>
      <c r="E31" s="388"/>
      <c r="F31" s="381"/>
      <c r="G31" s="383"/>
      <c r="H31" s="388"/>
      <c r="I31" s="381"/>
      <c r="J31" s="383"/>
      <c r="K31" s="388"/>
      <c r="L31" s="381"/>
      <c r="M31" s="383"/>
      <c r="N31" s="383"/>
      <c r="O31" s="394"/>
    </row>
    <row r="32" spans="1:17" ht="25.5" x14ac:dyDescent="0.2">
      <c r="A32" s="908">
        <v>4</v>
      </c>
      <c r="B32" s="910" t="s">
        <v>495</v>
      </c>
      <c r="C32" s="420" t="s">
        <v>499</v>
      </c>
      <c r="D32" s="421">
        <v>1770777.3136488907</v>
      </c>
      <c r="E32" s="422">
        <v>5.7692E-2</v>
      </c>
      <c r="F32" s="421">
        <v>30693637.135978829</v>
      </c>
      <c r="G32" s="423">
        <v>28906501.421490893</v>
      </c>
      <c r="H32" s="424">
        <v>2167987.6066118167</v>
      </c>
      <c r="I32" s="421">
        <v>1157365.0285484223</v>
      </c>
      <c r="J32" s="425">
        <v>109771.04203182524</v>
      </c>
      <c r="K32" s="424">
        <v>2969822.7897909405</v>
      </c>
      <c r="L32" s="421">
        <v>6042690.9740200788</v>
      </c>
      <c r="M32" s="423">
        <v>507792.70082215953</v>
      </c>
      <c r="N32" s="425">
        <v>5534898.2731979191</v>
      </c>
      <c r="O32" s="426">
        <v>44664.229317507103</v>
      </c>
      <c r="Q32" t="str">
        <f t="shared" ref="Q32" si="5">IF(AND(ISBLANK(B32), ISBLANK(C32)), "X", "")</f>
        <v/>
      </c>
    </row>
    <row r="33" spans="1:17" x14ac:dyDescent="0.2">
      <c r="A33" s="908"/>
      <c r="B33" s="910"/>
      <c r="C33" s="404" t="s">
        <v>271</v>
      </c>
      <c r="D33" s="387">
        <f t="shared" ref="D33:O33" si="6">IF(D32="","",D32-D29)</f>
        <v>-18.87809162423946</v>
      </c>
      <c r="E33" s="392">
        <f t="shared" si="6"/>
        <v>0</v>
      </c>
      <c r="F33" s="387">
        <f t="shared" si="6"/>
        <v>-327.22199999913573</v>
      </c>
      <c r="G33" s="385">
        <f t="shared" si="6"/>
        <v>-4362.9600000008941</v>
      </c>
      <c r="H33" s="389">
        <f t="shared" si="6"/>
        <v>-327.22200000006706</v>
      </c>
      <c r="I33" s="387">
        <f t="shared" si="6"/>
        <v>0</v>
      </c>
      <c r="J33" s="385">
        <f t="shared" si="6"/>
        <v>-4.2472080000588903</v>
      </c>
      <c r="K33" s="390">
        <f t="shared" si="6"/>
        <v>-4362.9600000004284</v>
      </c>
      <c r="L33" s="387">
        <f t="shared" si="6"/>
        <v>-4386.0852996241301</v>
      </c>
      <c r="M33" s="385">
        <f t="shared" si="6"/>
        <v>0</v>
      </c>
      <c r="N33" s="385">
        <f t="shared" si="6"/>
        <v>-4386.0852996241301</v>
      </c>
      <c r="O33" s="400">
        <f t="shared" si="6"/>
        <v>-4386.0852996239046</v>
      </c>
    </row>
    <row r="34" spans="1:17" x14ac:dyDescent="0.2">
      <c r="A34" s="908"/>
      <c r="B34" s="394"/>
      <c r="C34" s="394"/>
      <c r="D34" s="381"/>
      <c r="E34" s="388"/>
      <c r="F34" s="381"/>
      <c r="G34" s="383"/>
      <c r="H34" s="388"/>
      <c r="I34" s="381"/>
      <c r="J34" s="383"/>
      <c r="K34" s="388"/>
      <c r="L34" s="381"/>
      <c r="M34" s="383"/>
      <c r="N34" s="383"/>
      <c r="O34" s="394"/>
    </row>
    <row r="35" spans="1:17" ht="38.25" x14ac:dyDescent="0.2">
      <c r="A35" s="908">
        <v>5</v>
      </c>
      <c r="B35" s="909" t="s">
        <v>500</v>
      </c>
      <c r="C35" s="420" t="s">
        <v>501</v>
      </c>
      <c r="D35" s="421">
        <v>1770755.6791488908</v>
      </c>
      <c r="E35" s="422">
        <v>5.7692E-2</v>
      </c>
      <c r="F35" s="421">
        <v>30693262.135978829</v>
      </c>
      <c r="G35" s="423">
        <v>28901501.421490893</v>
      </c>
      <c r="H35" s="424">
        <v>2167612.6066118167</v>
      </c>
      <c r="I35" s="421">
        <v>1157365.0285484223</v>
      </c>
      <c r="J35" s="425">
        <v>109766.17468488646</v>
      </c>
      <c r="K35" s="424">
        <v>2964822.7897909405</v>
      </c>
      <c r="L35" s="421">
        <v>6037664.4721731395</v>
      </c>
      <c r="M35" s="423">
        <v>507792.70082215953</v>
      </c>
      <c r="N35" s="425">
        <v>5529871.7713509798</v>
      </c>
      <c r="O35" s="426">
        <v>39637.727470567675</v>
      </c>
      <c r="Q35" t="str">
        <f t="shared" ref="Q35" si="7">IF(AND(ISBLANK(B35), ISBLANK(C35)), "X", "")</f>
        <v/>
      </c>
    </row>
    <row r="36" spans="1:17" x14ac:dyDescent="0.2">
      <c r="A36" s="908"/>
      <c r="B36" s="910"/>
      <c r="C36" s="404" t="s">
        <v>271</v>
      </c>
      <c r="D36" s="387">
        <f t="shared" ref="D36:O36" si="8">IF(D35="","",D35-D32)</f>
        <v>-21.634499999927357</v>
      </c>
      <c r="E36" s="392">
        <f t="shared" si="8"/>
        <v>0</v>
      </c>
      <c r="F36" s="387">
        <f t="shared" si="8"/>
        <v>-375</v>
      </c>
      <c r="G36" s="385">
        <f t="shared" si="8"/>
        <v>-5000</v>
      </c>
      <c r="H36" s="389">
        <f t="shared" si="8"/>
        <v>-375</v>
      </c>
      <c r="I36" s="387">
        <f t="shared" si="8"/>
        <v>0</v>
      </c>
      <c r="J36" s="385">
        <f t="shared" si="8"/>
        <v>-4.8673469387867954</v>
      </c>
      <c r="K36" s="390">
        <f t="shared" si="8"/>
        <v>-5000</v>
      </c>
      <c r="L36" s="387">
        <f t="shared" si="8"/>
        <v>-5026.5018469393253</v>
      </c>
      <c r="M36" s="385">
        <f t="shared" si="8"/>
        <v>0</v>
      </c>
      <c r="N36" s="385">
        <f t="shared" si="8"/>
        <v>-5026.5018469393253</v>
      </c>
      <c r="O36" s="400">
        <f t="shared" si="8"/>
        <v>-5026.5018469394272</v>
      </c>
    </row>
    <row r="37" spans="1:17" x14ac:dyDescent="0.2">
      <c r="A37" s="908"/>
      <c r="B37" s="394"/>
      <c r="C37" s="394"/>
      <c r="D37" s="381"/>
      <c r="E37" s="388"/>
      <c r="F37" s="381"/>
      <c r="G37" s="383"/>
      <c r="H37" s="388"/>
      <c r="I37" s="381"/>
      <c r="J37" s="383"/>
      <c r="K37" s="388"/>
      <c r="L37" s="381"/>
      <c r="M37" s="383"/>
      <c r="N37" s="383"/>
      <c r="O37" s="394"/>
    </row>
    <row r="38" spans="1:17" s="382" customFormat="1" ht="25.5" x14ac:dyDescent="0.2">
      <c r="A38" s="908">
        <v>6</v>
      </c>
      <c r="B38" s="913" t="s">
        <v>502</v>
      </c>
      <c r="C38" s="420" t="s">
        <v>503</v>
      </c>
      <c r="D38" s="421">
        <v>1764473.2619341402</v>
      </c>
      <c r="E38" s="422">
        <v>5.7692E-2</v>
      </c>
      <c r="F38" s="421">
        <v>30584366.323478814</v>
      </c>
      <c r="G38" s="423">
        <v>28901501.421490893</v>
      </c>
      <c r="H38" s="424">
        <v>2167612.6066118167</v>
      </c>
      <c r="I38" s="421">
        <v>1150109.6285484224</v>
      </c>
      <c r="J38" s="425">
        <v>100904.87283692702</v>
      </c>
      <c r="K38" s="424">
        <v>2964822.7897909405</v>
      </c>
      <c r="L38" s="421">
        <v>6015265.3531104308</v>
      </c>
      <c r="M38" s="423">
        <v>507792.70082215953</v>
      </c>
      <c r="N38" s="425">
        <v>5507472.6522882711</v>
      </c>
      <c r="O38" s="426">
        <v>17238.608407857671</v>
      </c>
      <c r="Q38" s="382" t="str">
        <f t="shared" ref="Q38" si="9">IF(AND(ISBLANK(B38), ISBLANK(C38)), "X", "")</f>
        <v/>
      </c>
    </row>
    <row r="39" spans="1:17" s="382" customFormat="1" x14ac:dyDescent="0.2">
      <c r="A39" s="908"/>
      <c r="B39" s="914"/>
      <c r="C39" s="404" t="s">
        <v>271</v>
      </c>
      <c r="D39" s="387">
        <f t="shared" ref="D39:O39" si="10">IF(D38="","",D38-D35)</f>
        <v>-6282.4172147505451</v>
      </c>
      <c r="E39" s="392">
        <f t="shared" si="10"/>
        <v>0</v>
      </c>
      <c r="F39" s="387">
        <f t="shared" si="10"/>
        <v>-108895.8125000149</v>
      </c>
      <c r="G39" s="385">
        <f t="shared" si="10"/>
        <v>0</v>
      </c>
      <c r="H39" s="389">
        <f t="shared" si="10"/>
        <v>0</v>
      </c>
      <c r="I39" s="387">
        <f t="shared" si="10"/>
        <v>-7255.3999999999069</v>
      </c>
      <c r="J39" s="385">
        <f t="shared" si="10"/>
        <v>-8861.3018479594321</v>
      </c>
      <c r="K39" s="390">
        <f t="shared" si="10"/>
        <v>0</v>
      </c>
      <c r="L39" s="387">
        <f t="shared" si="10"/>
        <v>-22399.119062708691</v>
      </c>
      <c r="M39" s="385">
        <f t="shared" si="10"/>
        <v>0</v>
      </c>
      <c r="N39" s="385">
        <f t="shared" si="10"/>
        <v>-22399.119062708691</v>
      </c>
      <c r="O39" s="400">
        <f t="shared" si="10"/>
        <v>-22399.119062710004</v>
      </c>
    </row>
    <row r="40" spans="1:17" s="382" customFormat="1" x14ac:dyDescent="0.2">
      <c r="A40" s="912"/>
      <c r="B40" s="405"/>
      <c r="C40" s="394"/>
      <c r="D40" s="381"/>
      <c r="E40" s="388"/>
      <c r="F40" s="381"/>
      <c r="G40" s="383"/>
      <c r="H40" s="388"/>
      <c r="I40" s="381"/>
      <c r="J40" s="383"/>
      <c r="K40" s="388"/>
      <c r="L40" s="381"/>
      <c r="M40" s="383"/>
      <c r="N40" s="383"/>
      <c r="O40" s="394"/>
    </row>
    <row r="41" spans="1:17" ht="25.5" x14ac:dyDescent="0.2">
      <c r="A41" s="908">
        <v>7</v>
      </c>
      <c r="B41" s="909" t="s">
        <v>505</v>
      </c>
      <c r="C41" s="420" t="s">
        <v>504</v>
      </c>
      <c r="D41" s="421">
        <v>1762621.9120965209</v>
      </c>
      <c r="E41" s="422">
        <v>5.7692E-2</v>
      </c>
      <c r="F41" s="421">
        <v>30552276.08847883</v>
      </c>
      <c r="G41" s="423">
        <v>28901501.421490893</v>
      </c>
      <c r="H41" s="424">
        <v>2167612.6066118167</v>
      </c>
      <c r="I41" s="421">
        <v>1146310.9785484225</v>
      </c>
      <c r="J41" s="425">
        <v>99118.773392165516</v>
      </c>
      <c r="K41" s="424">
        <v>2964822.7897909405</v>
      </c>
      <c r="L41" s="421">
        <v>6007829.2538280487</v>
      </c>
      <c r="M41" s="423">
        <v>507792.70082215953</v>
      </c>
      <c r="N41" s="425">
        <v>5500036.5530058891</v>
      </c>
      <c r="O41" s="426">
        <v>9802.5091254776416</v>
      </c>
      <c r="Q41" t="str">
        <f t="shared" ref="Q41" si="11">IF(AND(ISBLANK(B41), ISBLANK(C41)), "X", "")</f>
        <v/>
      </c>
    </row>
    <row r="42" spans="1:17" x14ac:dyDescent="0.2">
      <c r="A42" s="908"/>
      <c r="B42" s="910"/>
      <c r="C42" s="404" t="s">
        <v>271</v>
      </c>
      <c r="D42" s="387">
        <f t="shared" ref="D42:O42" si="12">IF(D41="","",D41-D38)</f>
        <v>-1851.3498376193456</v>
      </c>
      <c r="E42" s="392">
        <f t="shared" si="12"/>
        <v>0</v>
      </c>
      <c r="F42" s="387">
        <f t="shared" si="12"/>
        <v>-32090.234999984503</v>
      </c>
      <c r="G42" s="385">
        <f t="shared" si="12"/>
        <v>0</v>
      </c>
      <c r="H42" s="389">
        <f t="shared" si="12"/>
        <v>0</v>
      </c>
      <c r="I42" s="387">
        <f t="shared" si="12"/>
        <v>-3798.6499999999069</v>
      </c>
      <c r="J42" s="385">
        <f t="shared" si="12"/>
        <v>-1786.0994447615085</v>
      </c>
      <c r="K42" s="390">
        <f t="shared" si="12"/>
        <v>0</v>
      </c>
      <c r="L42" s="387">
        <f t="shared" si="12"/>
        <v>-7436.0992823820561</v>
      </c>
      <c r="M42" s="385">
        <f t="shared" si="12"/>
        <v>0</v>
      </c>
      <c r="N42" s="385">
        <f t="shared" si="12"/>
        <v>-7436.0992823820561</v>
      </c>
      <c r="O42" s="400">
        <f t="shared" si="12"/>
        <v>-7436.0992823800298</v>
      </c>
    </row>
    <row r="43" spans="1:17" x14ac:dyDescent="0.2">
      <c r="A43" s="908"/>
      <c r="B43" s="394"/>
      <c r="C43" s="394"/>
      <c r="D43" s="381"/>
      <c r="E43" s="388"/>
      <c r="F43" s="381"/>
      <c r="G43" s="383"/>
      <c r="H43" s="388"/>
      <c r="I43" s="381"/>
      <c r="J43" s="383"/>
      <c r="K43" s="388"/>
      <c r="L43" s="381"/>
      <c r="M43" s="383"/>
      <c r="N43" s="383"/>
      <c r="O43" s="394"/>
    </row>
    <row r="44" spans="1:17" ht="25.5" x14ac:dyDescent="0.2">
      <c r="A44" s="908">
        <v>8</v>
      </c>
      <c r="B44" s="909" t="s">
        <v>502</v>
      </c>
      <c r="C44" s="420" t="s">
        <v>506</v>
      </c>
      <c r="D44" s="421">
        <v>1762621.6626023464</v>
      </c>
      <c r="E44" s="422">
        <v>5.7692E-2</v>
      </c>
      <c r="F44" s="421">
        <v>30552271.763890073</v>
      </c>
      <c r="G44" s="423">
        <v>28901443.760307468</v>
      </c>
      <c r="H44" s="424">
        <v>2167608.2820230601</v>
      </c>
      <c r="I44" s="421">
        <v>1146310.9785484225</v>
      </c>
      <c r="J44" s="425">
        <v>99118.717260768433</v>
      </c>
      <c r="K44" s="424">
        <v>2964765.1286075148</v>
      </c>
      <c r="L44" s="421">
        <v>6007771.2870190516</v>
      </c>
      <c r="M44" s="423">
        <v>507792.70082215953</v>
      </c>
      <c r="N44" s="425">
        <v>5499978.586196892</v>
      </c>
      <c r="O44" s="426">
        <v>9744.542316480407</v>
      </c>
      <c r="Q44" t="str">
        <f t="shared" ref="Q44" si="13">IF(AND(ISBLANK(B44), ISBLANK(C44)), "X", "")</f>
        <v/>
      </c>
    </row>
    <row r="45" spans="1:17" x14ac:dyDescent="0.2">
      <c r="A45" s="908"/>
      <c r="B45" s="910"/>
      <c r="C45" s="404" t="s">
        <v>271</v>
      </c>
      <c r="D45" s="387">
        <f t="shared" ref="D45:O45" si="14">IF(D44="","",D44-D41)</f>
        <v>-0.24949417449533939</v>
      </c>
      <c r="E45" s="392">
        <f t="shared" si="14"/>
        <v>0</v>
      </c>
      <c r="F45" s="387">
        <f t="shared" si="14"/>
        <v>-4.3245887570083141</v>
      </c>
      <c r="G45" s="385">
        <f t="shared" si="14"/>
        <v>-57.661183424293995</v>
      </c>
      <c r="H45" s="389">
        <f t="shared" si="14"/>
        <v>-4.3245887565426528</v>
      </c>
      <c r="I45" s="387">
        <f t="shared" si="14"/>
        <v>0</v>
      </c>
      <c r="J45" s="385">
        <f t="shared" si="14"/>
        <v>-5.6131397082936019E-2</v>
      </c>
      <c r="K45" s="390">
        <f t="shared" si="14"/>
        <v>-57.661183425690979</v>
      </c>
      <c r="L45" s="387">
        <f t="shared" si="14"/>
        <v>-57.966808997094631</v>
      </c>
      <c r="M45" s="385">
        <f t="shared" si="14"/>
        <v>0</v>
      </c>
      <c r="N45" s="385">
        <f t="shared" si="14"/>
        <v>-57.966808997094631</v>
      </c>
      <c r="O45" s="400">
        <f t="shared" si="14"/>
        <v>-57.966808997234693</v>
      </c>
    </row>
    <row r="46" spans="1:17" x14ac:dyDescent="0.2">
      <c r="A46" s="908"/>
      <c r="B46" s="394"/>
      <c r="C46" s="394"/>
      <c r="D46" s="381"/>
      <c r="E46" s="388"/>
      <c r="F46" s="381"/>
      <c r="G46" s="383"/>
      <c r="H46" s="388"/>
      <c r="I46" s="381"/>
      <c r="J46" s="383"/>
      <c r="K46" s="388"/>
      <c r="L46" s="381"/>
      <c r="M46" s="383"/>
      <c r="N46" s="383"/>
      <c r="O46" s="394"/>
    </row>
    <row r="47" spans="1:17" ht="25.5" x14ac:dyDescent="0.2">
      <c r="A47" s="908">
        <v>9</v>
      </c>
      <c r="B47" s="909" t="s">
        <v>507</v>
      </c>
      <c r="C47" s="420" t="s">
        <v>508</v>
      </c>
      <c r="D47" s="421">
        <v>1762621.6626023464</v>
      </c>
      <c r="E47" s="422">
        <v>5.7692E-2</v>
      </c>
      <c r="F47" s="421">
        <v>30552271.763890073</v>
      </c>
      <c r="G47" s="423">
        <v>28901443.760307468</v>
      </c>
      <c r="H47" s="424">
        <v>2167608.2820230601</v>
      </c>
      <c r="I47" s="421">
        <v>1146310.9785484225</v>
      </c>
      <c r="J47" s="425">
        <v>99552.645876959083</v>
      </c>
      <c r="K47" s="424">
        <v>2964765.1286075148</v>
      </c>
      <c r="L47" s="421">
        <v>6008205.2156352429</v>
      </c>
      <c r="M47" s="423">
        <v>507792.70082215953</v>
      </c>
      <c r="N47" s="425">
        <v>5500412.5148130832</v>
      </c>
      <c r="O47" s="426">
        <v>10178.470932671065</v>
      </c>
      <c r="Q47" t="str">
        <f t="shared" ref="Q47" si="15">IF(AND(ISBLANK(B47), ISBLANK(C47)), "X", "")</f>
        <v/>
      </c>
    </row>
    <row r="48" spans="1:17" x14ac:dyDescent="0.2">
      <c r="A48" s="908"/>
      <c r="B48" s="910"/>
      <c r="C48" s="404" t="s">
        <v>271</v>
      </c>
      <c r="D48" s="387">
        <f t="shared" ref="D48:O48" si="16">IF(D47="","",D47-D44)</f>
        <v>0</v>
      </c>
      <c r="E48" s="392">
        <f t="shared" si="16"/>
        <v>0</v>
      </c>
      <c r="F48" s="387">
        <f t="shared" si="16"/>
        <v>0</v>
      </c>
      <c r="G48" s="385">
        <f t="shared" si="16"/>
        <v>0</v>
      </c>
      <c r="H48" s="389">
        <f t="shared" si="16"/>
        <v>0</v>
      </c>
      <c r="I48" s="387">
        <f t="shared" si="16"/>
        <v>0</v>
      </c>
      <c r="J48" s="385">
        <f t="shared" si="16"/>
        <v>433.92861619064934</v>
      </c>
      <c r="K48" s="390">
        <f t="shared" si="16"/>
        <v>0</v>
      </c>
      <c r="L48" s="387">
        <f t="shared" si="16"/>
        <v>433.92861619126052</v>
      </c>
      <c r="M48" s="385">
        <f t="shared" si="16"/>
        <v>0</v>
      </c>
      <c r="N48" s="385">
        <f t="shared" si="16"/>
        <v>433.92861619126052</v>
      </c>
      <c r="O48" s="400">
        <f t="shared" si="16"/>
        <v>433.92861619065843</v>
      </c>
    </row>
    <row r="49" spans="1:17" x14ac:dyDescent="0.2">
      <c r="A49" s="908"/>
      <c r="B49" s="405"/>
      <c r="C49" s="394"/>
      <c r="D49" s="381"/>
      <c r="E49" s="388"/>
      <c r="F49" s="381"/>
      <c r="G49" s="383"/>
      <c r="H49" s="388"/>
      <c r="I49" s="381"/>
      <c r="J49" s="383"/>
      <c r="K49" s="388"/>
      <c r="L49" s="381"/>
      <c r="M49" s="383"/>
      <c r="N49" s="383"/>
      <c r="O49" s="394"/>
    </row>
    <row r="50" spans="1:17" ht="25.5" x14ac:dyDescent="0.2">
      <c r="A50" s="908">
        <v>10</v>
      </c>
      <c r="B50" s="909" t="s">
        <v>517</v>
      </c>
      <c r="C50" s="420" t="s">
        <v>516</v>
      </c>
      <c r="D50" s="421">
        <v>1761984.0900383783</v>
      </c>
      <c r="E50" s="422">
        <v>5.7692E-2</v>
      </c>
      <c r="F50" s="421">
        <v>30541220.447174273</v>
      </c>
      <c r="G50" s="423">
        <v>28901443.760307468</v>
      </c>
      <c r="H50" s="424">
        <v>2167608.2820230601</v>
      </c>
      <c r="I50" s="421">
        <v>1128765.5757544751</v>
      </c>
      <c r="J50" s="425">
        <v>96494.861642312128</v>
      </c>
      <c r="K50" s="424">
        <v>2964765.1286075148</v>
      </c>
      <c r="L50" s="421">
        <v>5986964.4560426809</v>
      </c>
      <c r="M50" s="423">
        <v>499484.14131242817</v>
      </c>
      <c r="N50" s="425">
        <v>5487480.3147302531</v>
      </c>
      <c r="O50" s="426">
        <v>-2753.7291501594873</v>
      </c>
      <c r="Q50" t="str">
        <f t="shared" ref="Q50" si="17">IF(AND(ISBLANK(B50), ISBLANK(C50)), "X", "")</f>
        <v/>
      </c>
    </row>
    <row r="51" spans="1:17" x14ac:dyDescent="0.2">
      <c r="A51" s="908"/>
      <c r="B51" s="910"/>
      <c r="C51" s="404" t="s">
        <v>271</v>
      </c>
      <c r="D51" s="387">
        <f t="shared" ref="D51:O51" si="18">IF(D50="","",D50-D47)</f>
        <v>-637.57256396813318</v>
      </c>
      <c r="E51" s="392">
        <f t="shared" si="18"/>
        <v>0</v>
      </c>
      <c r="F51" s="387">
        <f t="shared" si="18"/>
        <v>-11051.316715799272</v>
      </c>
      <c r="G51" s="385">
        <f t="shared" si="18"/>
        <v>0</v>
      </c>
      <c r="H51" s="389">
        <f t="shared" si="18"/>
        <v>0</v>
      </c>
      <c r="I51" s="387">
        <f t="shared" si="18"/>
        <v>-17545.402793947374</v>
      </c>
      <c r="J51" s="385">
        <f t="shared" si="18"/>
        <v>-3057.7842346469552</v>
      </c>
      <c r="K51" s="390">
        <f t="shared" si="18"/>
        <v>0</v>
      </c>
      <c r="L51" s="387">
        <f t="shared" si="18"/>
        <v>-21240.759592561983</v>
      </c>
      <c r="M51" s="385">
        <f t="shared" si="18"/>
        <v>-8308.5595097313635</v>
      </c>
      <c r="N51" s="385">
        <f t="shared" si="18"/>
        <v>-12932.200082830153</v>
      </c>
      <c r="O51" s="400">
        <f t="shared" si="18"/>
        <v>-12932.200082830554</v>
      </c>
    </row>
    <row r="52" spans="1:17" x14ac:dyDescent="0.2">
      <c r="A52" s="908"/>
      <c r="B52" s="394"/>
      <c r="C52" s="394"/>
      <c r="D52" s="381"/>
      <c r="E52" s="388"/>
      <c r="F52" s="381"/>
      <c r="G52" s="383"/>
      <c r="H52" s="388"/>
      <c r="I52" s="381"/>
      <c r="J52" s="383"/>
      <c r="K52" s="388"/>
      <c r="L52" s="381"/>
      <c r="M52" s="383"/>
      <c r="N52" s="383"/>
      <c r="O52" s="394"/>
    </row>
    <row r="53" spans="1:17" ht="25.5" x14ac:dyDescent="0.2">
      <c r="A53" s="908">
        <v>11</v>
      </c>
      <c r="B53" s="909" t="s">
        <v>517</v>
      </c>
      <c r="C53" s="420" t="s">
        <v>518</v>
      </c>
      <c r="D53" s="421">
        <v>1762015.2777710813</v>
      </c>
      <c r="E53" s="422">
        <v>5.7692E-2</v>
      </c>
      <c r="F53" s="421">
        <v>30541761.037424274</v>
      </c>
      <c r="G53" s="423">
        <v>28908651.63030747</v>
      </c>
      <c r="H53" s="424">
        <v>2168148.87227306</v>
      </c>
      <c r="I53" s="421">
        <v>1128765.5757544751</v>
      </c>
      <c r="J53" s="425">
        <v>96501.878283108003</v>
      </c>
      <c r="K53" s="424">
        <v>2964765.1286075148</v>
      </c>
      <c r="L53" s="421">
        <v>5987002.6604161793</v>
      </c>
      <c r="M53" s="423">
        <v>499496.14131242817</v>
      </c>
      <c r="N53" s="425">
        <v>5487506.5191037515</v>
      </c>
      <c r="O53" s="426">
        <v>-5449.3942516136813</v>
      </c>
      <c r="Q53" t="str">
        <f t="shared" ref="Q53" si="19">IF(AND(ISBLANK(B53), ISBLANK(C53)), "X", "")</f>
        <v/>
      </c>
    </row>
    <row r="54" spans="1:17" x14ac:dyDescent="0.2">
      <c r="A54" s="908"/>
      <c r="B54" s="910"/>
      <c r="C54" s="404" t="s">
        <v>271</v>
      </c>
      <c r="D54" s="387">
        <f t="shared" ref="D54:O54" si="20">IF(D53="","",D53-D50)</f>
        <v>31.187732703052461</v>
      </c>
      <c r="E54" s="392">
        <f t="shared" si="20"/>
        <v>0</v>
      </c>
      <c r="F54" s="387">
        <f t="shared" si="20"/>
        <v>540.59025000035763</v>
      </c>
      <c r="G54" s="385">
        <f t="shared" si="20"/>
        <v>7207.8700000010431</v>
      </c>
      <c r="H54" s="389">
        <f t="shared" si="20"/>
        <v>540.59024999989197</v>
      </c>
      <c r="I54" s="387">
        <f t="shared" si="20"/>
        <v>0</v>
      </c>
      <c r="J54" s="385">
        <f t="shared" si="20"/>
        <v>7.0166407958749915</v>
      </c>
      <c r="K54" s="390">
        <f t="shared" si="20"/>
        <v>0</v>
      </c>
      <c r="L54" s="387">
        <f t="shared" si="20"/>
        <v>38.204373498447239</v>
      </c>
      <c r="M54" s="385">
        <f t="shared" si="20"/>
        <v>12</v>
      </c>
      <c r="N54" s="385">
        <f t="shared" si="20"/>
        <v>26.204373498447239</v>
      </c>
      <c r="O54" s="400">
        <f t="shared" si="20"/>
        <v>-2695.665101454194</v>
      </c>
    </row>
    <row r="55" spans="1:17" x14ac:dyDescent="0.2">
      <c r="A55" s="908"/>
      <c r="B55" s="394"/>
      <c r="C55" s="394"/>
      <c r="D55" s="381"/>
      <c r="E55" s="388"/>
      <c r="F55" s="381"/>
      <c r="G55" s="383"/>
      <c r="H55" s="388"/>
      <c r="I55" s="381"/>
      <c r="J55" s="383"/>
      <c r="K55" s="388"/>
      <c r="L55" s="381"/>
      <c r="M55" s="383"/>
      <c r="N55" s="383"/>
      <c r="O55" s="394"/>
    </row>
    <row r="56" spans="1:17" x14ac:dyDescent="0.2">
      <c r="A56" s="908">
        <v>12</v>
      </c>
      <c r="B56" s="909" t="s">
        <v>517</v>
      </c>
      <c r="C56" s="420" t="s">
        <v>519</v>
      </c>
      <c r="D56" s="421">
        <v>1764336.4516099258</v>
      </c>
      <c r="E56" s="422">
        <v>5.7768000000000007E-2</v>
      </c>
      <c r="F56" s="421">
        <v>30541761.037424274</v>
      </c>
      <c r="G56" s="423">
        <v>28908651.63030747</v>
      </c>
      <c r="H56" s="424">
        <v>2168148.87227306</v>
      </c>
      <c r="I56" s="421">
        <v>1128765.5757544751</v>
      </c>
      <c r="J56" s="425">
        <v>95620.945855906175</v>
      </c>
      <c r="K56" s="424">
        <v>2964765.1286075148</v>
      </c>
      <c r="L56" s="421">
        <v>5988442.9018278215</v>
      </c>
      <c r="M56" s="423">
        <v>499496.14131242817</v>
      </c>
      <c r="N56" s="425">
        <v>5488946.7605153937</v>
      </c>
      <c r="O56" s="426">
        <v>-4009.1528399717572</v>
      </c>
      <c r="Q56" t="str">
        <f t="shared" ref="Q56" si="21">IF(AND(ISBLANK(B56), ISBLANK(C56)), "X", "")</f>
        <v/>
      </c>
    </row>
    <row r="57" spans="1:17" x14ac:dyDescent="0.2">
      <c r="A57" s="908"/>
      <c r="B57" s="910"/>
      <c r="C57" s="404" t="s">
        <v>271</v>
      </c>
      <c r="D57" s="387">
        <f t="shared" ref="D57:O57" si="22">IF(D56="","",D56-D53)</f>
        <v>2321.1738388445228</v>
      </c>
      <c r="E57" s="392">
        <f t="shared" si="22"/>
        <v>7.6000000000006618E-5</v>
      </c>
      <c r="F57" s="387">
        <f t="shared" si="22"/>
        <v>0</v>
      </c>
      <c r="G57" s="385">
        <f t="shared" si="22"/>
        <v>0</v>
      </c>
      <c r="H57" s="389">
        <f t="shared" si="22"/>
        <v>0</v>
      </c>
      <c r="I57" s="387">
        <f t="shared" si="22"/>
        <v>0</v>
      </c>
      <c r="J57" s="385">
        <f t="shared" si="22"/>
        <v>-880.93242720182752</v>
      </c>
      <c r="K57" s="390">
        <f t="shared" si="22"/>
        <v>0</v>
      </c>
      <c r="L57" s="387">
        <f t="shared" si="22"/>
        <v>1440.2414116421714</v>
      </c>
      <c r="M57" s="385">
        <f t="shared" si="22"/>
        <v>0</v>
      </c>
      <c r="N57" s="385">
        <f t="shared" si="22"/>
        <v>1440.2414116421714</v>
      </c>
      <c r="O57" s="400">
        <f t="shared" si="22"/>
        <v>1440.2414116419241</v>
      </c>
    </row>
    <row r="58" spans="1:17" x14ac:dyDescent="0.2">
      <c r="A58" s="908"/>
      <c r="B58" s="394"/>
      <c r="C58" s="394"/>
      <c r="D58" s="381"/>
      <c r="E58" s="388"/>
      <c r="F58" s="381"/>
      <c r="G58" s="383"/>
      <c r="H58" s="388"/>
      <c r="I58" s="381"/>
      <c r="J58" s="383"/>
      <c r="K58" s="388"/>
      <c r="L58" s="381"/>
      <c r="M58" s="383"/>
      <c r="N58" s="383"/>
      <c r="O58" s="394"/>
    </row>
    <row r="59" spans="1:17" x14ac:dyDescent="0.2">
      <c r="A59" s="908">
        <v>13</v>
      </c>
      <c r="B59" s="909" t="s">
        <v>517</v>
      </c>
      <c r="C59" s="420" t="s">
        <v>520</v>
      </c>
      <c r="D59" s="421">
        <v>1764336.4516099258</v>
      </c>
      <c r="E59" s="422">
        <v>5.7768000000000007E-2</v>
      </c>
      <c r="F59" s="421">
        <v>30541761.037424274</v>
      </c>
      <c r="G59" s="423">
        <v>28908651.63030747</v>
      </c>
      <c r="H59" s="424">
        <v>2168148.87227306</v>
      </c>
      <c r="I59" s="421">
        <v>1128765.5757544751</v>
      </c>
      <c r="J59" s="425">
        <v>95620.945855906175</v>
      </c>
      <c r="K59" s="424">
        <v>2964765.1286075148</v>
      </c>
      <c r="L59" s="421">
        <v>5988442.9018278215</v>
      </c>
      <c r="M59" s="423">
        <v>506634.99131242814</v>
      </c>
      <c r="N59" s="425">
        <v>5481807.9105153931</v>
      </c>
      <c r="O59" s="426">
        <v>-11148.002839972247</v>
      </c>
      <c r="Q59" t="str">
        <f t="shared" ref="Q59" si="23">IF(AND(ISBLANK(B59), ISBLANK(C59)), "X", "")</f>
        <v/>
      </c>
    </row>
    <row r="60" spans="1:17" x14ac:dyDescent="0.2">
      <c r="A60" s="908"/>
      <c r="B60" s="910"/>
      <c r="C60" s="404" t="s">
        <v>271</v>
      </c>
      <c r="D60" s="387">
        <f t="shared" ref="D60:O60" si="24">IF(D59="","",D59-D56)</f>
        <v>0</v>
      </c>
      <c r="E60" s="392">
        <f t="shared" si="24"/>
        <v>0</v>
      </c>
      <c r="F60" s="387">
        <f t="shared" si="24"/>
        <v>0</v>
      </c>
      <c r="G60" s="385">
        <f t="shared" si="24"/>
        <v>0</v>
      </c>
      <c r="H60" s="389">
        <f t="shared" si="24"/>
        <v>0</v>
      </c>
      <c r="I60" s="387">
        <f t="shared" si="24"/>
        <v>0</v>
      </c>
      <c r="J60" s="385">
        <f t="shared" si="24"/>
        <v>0</v>
      </c>
      <c r="K60" s="390">
        <f t="shared" si="24"/>
        <v>0</v>
      </c>
      <c r="L60" s="387">
        <f t="shared" si="24"/>
        <v>0</v>
      </c>
      <c r="M60" s="385">
        <f t="shared" si="24"/>
        <v>7138.8499999999767</v>
      </c>
      <c r="N60" s="385">
        <f t="shared" si="24"/>
        <v>-7138.8500000005588</v>
      </c>
      <c r="O60" s="400">
        <f t="shared" si="24"/>
        <v>-7138.8500000004897</v>
      </c>
    </row>
    <row r="61" spans="1:17" x14ac:dyDescent="0.2">
      <c r="A61" s="908"/>
      <c r="B61" s="394"/>
      <c r="C61" s="394"/>
      <c r="D61" s="381"/>
      <c r="E61" s="388"/>
      <c r="F61" s="381"/>
      <c r="G61" s="383"/>
      <c r="H61" s="388"/>
      <c r="I61" s="381"/>
      <c r="J61" s="383"/>
      <c r="K61" s="388"/>
      <c r="L61" s="381"/>
      <c r="M61" s="383"/>
      <c r="N61" s="383"/>
      <c r="O61" s="394"/>
    </row>
    <row r="62" spans="1:17" x14ac:dyDescent="0.2">
      <c r="A62" s="908">
        <v>14</v>
      </c>
      <c r="B62" s="909" t="s">
        <v>517</v>
      </c>
      <c r="C62" s="420" t="s">
        <v>521</v>
      </c>
      <c r="D62" s="421">
        <v>1764336.4516099258</v>
      </c>
      <c r="E62" s="422">
        <v>5.7768000000000007E-2</v>
      </c>
      <c r="F62" s="421">
        <v>30541761.037424274</v>
      </c>
      <c r="G62" s="423">
        <v>28908651.63030747</v>
      </c>
      <c r="H62" s="424">
        <v>2168148.87227306</v>
      </c>
      <c r="I62" s="421">
        <v>1128765.5757544751</v>
      </c>
      <c r="J62" s="425">
        <v>95620.945855906175</v>
      </c>
      <c r="K62" s="424">
        <v>2964765.1286075148</v>
      </c>
      <c r="L62" s="421">
        <v>5988442.9018278215</v>
      </c>
      <c r="M62" s="423">
        <v>482447.49131242814</v>
      </c>
      <c r="N62" s="425">
        <v>5505995.4105153931</v>
      </c>
      <c r="O62" s="426">
        <v>13039.497160027755</v>
      </c>
      <c r="Q62" t="str">
        <f t="shared" ref="Q62" si="25">IF(AND(ISBLANK(B62), ISBLANK(C62)), "X", "")</f>
        <v/>
      </c>
    </row>
    <row r="63" spans="1:17" x14ac:dyDescent="0.2">
      <c r="A63" s="908"/>
      <c r="B63" s="910"/>
      <c r="C63" s="404" t="s">
        <v>271</v>
      </c>
      <c r="D63" s="387">
        <f t="shared" ref="D63:O63" si="26">IF(D62="","",D62-D59)</f>
        <v>0</v>
      </c>
      <c r="E63" s="392">
        <f t="shared" si="26"/>
        <v>0</v>
      </c>
      <c r="F63" s="387">
        <f t="shared" si="26"/>
        <v>0</v>
      </c>
      <c r="G63" s="385">
        <f t="shared" si="26"/>
        <v>0</v>
      </c>
      <c r="H63" s="389">
        <f t="shared" si="26"/>
        <v>0</v>
      </c>
      <c r="I63" s="387">
        <f t="shared" si="26"/>
        <v>0</v>
      </c>
      <c r="J63" s="385">
        <f t="shared" si="26"/>
        <v>0</v>
      </c>
      <c r="K63" s="390">
        <f t="shared" si="26"/>
        <v>0</v>
      </c>
      <c r="L63" s="387">
        <f t="shared" si="26"/>
        <v>0</v>
      </c>
      <c r="M63" s="385">
        <f t="shared" si="26"/>
        <v>-24187.5</v>
      </c>
      <c r="N63" s="385">
        <f t="shared" si="26"/>
        <v>24187.5</v>
      </c>
      <c r="O63" s="400">
        <f t="shared" si="26"/>
        <v>24187.5</v>
      </c>
    </row>
    <row r="64" spans="1:17" x14ac:dyDescent="0.2">
      <c r="A64" s="908"/>
      <c r="B64" s="394"/>
      <c r="C64" s="394"/>
      <c r="D64" s="381"/>
      <c r="E64" s="388"/>
      <c r="F64" s="381"/>
      <c r="G64" s="383"/>
      <c r="H64" s="388"/>
      <c r="I64" s="381"/>
      <c r="J64" s="383"/>
      <c r="K64" s="388"/>
      <c r="L64" s="381"/>
      <c r="M64" s="383"/>
      <c r="N64" s="383"/>
      <c r="O64" s="394"/>
    </row>
    <row r="65" spans="1:18" ht="25.5" x14ac:dyDescent="0.2">
      <c r="A65" s="908">
        <v>15</v>
      </c>
      <c r="B65" s="909" t="s">
        <v>517</v>
      </c>
      <c r="C65" s="420" t="s">
        <v>522</v>
      </c>
      <c r="D65" s="421">
        <v>1764252.1387772965</v>
      </c>
      <c r="E65" s="422">
        <v>5.7768000000000007E-2</v>
      </c>
      <c r="F65" s="421">
        <v>30540301.529865954</v>
      </c>
      <c r="G65" s="423">
        <v>28889191.529529896</v>
      </c>
      <c r="H65" s="424">
        <v>2166689.3647147422</v>
      </c>
      <c r="I65" s="421">
        <v>1128765.5757544751</v>
      </c>
      <c r="J65" s="425">
        <v>95602.044140877304</v>
      </c>
      <c r="K65" s="424">
        <v>2964765.1286075148</v>
      </c>
      <c r="L65" s="421">
        <v>5988339.6872801632</v>
      </c>
      <c r="M65" s="423">
        <v>482447.49131242814</v>
      </c>
      <c r="N65" s="425">
        <v>5505892.1959677348</v>
      </c>
      <c r="O65" s="426">
        <v>12936.282612369745</v>
      </c>
      <c r="Q65" t="str">
        <f t="shared" ref="Q65" si="27">IF(AND(ISBLANK(B65), ISBLANK(C65)), "X", "")</f>
        <v/>
      </c>
    </row>
    <row r="66" spans="1:18" x14ac:dyDescent="0.2">
      <c r="A66" s="908"/>
      <c r="B66" s="910"/>
      <c r="C66" s="404" t="s">
        <v>271</v>
      </c>
      <c r="D66" s="387">
        <f t="shared" ref="D66:O66" si="28">IF(D65="","",D65-D62)</f>
        <v>-84.312832629308105</v>
      </c>
      <c r="E66" s="392">
        <f t="shared" si="28"/>
        <v>0</v>
      </c>
      <c r="F66" s="387">
        <f t="shared" si="28"/>
        <v>-1459.5075583197176</v>
      </c>
      <c r="G66" s="385">
        <f t="shared" si="28"/>
        <v>-19460.100777573884</v>
      </c>
      <c r="H66" s="389">
        <f t="shared" si="28"/>
        <v>-1459.507558317855</v>
      </c>
      <c r="I66" s="387">
        <f t="shared" si="28"/>
        <v>0</v>
      </c>
      <c r="J66" s="385">
        <f t="shared" si="28"/>
        <v>-18.901715028870967</v>
      </c>
      <c r="K66" s="390">
        <f t="shared" si="28"/>
        <v>0</v>
      </c>
      <c r="L66" s="387">
        <f t="shared" si="28"/>
        <v>-103.21454765833914</v>
      </c>
      <c r="M66" s="385">
        <f t="shared" si="28"/>
        <v>0</v>
      </c>
      <c r="N66" s="385">
        <f t="shared" si="28"/>
        <v>-103.21454765833914</v>
      </c>
      <c r="O66" s="400">
        <f t="shared" si="28"/>
        <v>-103.21454765800991</v>
      </c>
    </row>
    <row r="67" spans="1:18" x14ac:dyDescent="0.2">
      <c r="A67" s="908"/>
      <c r="B67" s="405"/>
      <c r="C67" s="394"/>
      <c r="D67" s="381"/>
      <c r="E67" s="388"/>
      <c r="F67" s="381"/>
      <c r="G67" s="383"/>
      <c r="H67" s="388"/>
      <c r="I67" s="381"/>
      <c r="J67" s="383"/>
      <c r="K67" s="388"/>
      <c r="L67" s="381"/>
      <c r="M67" s="383"/>
      <c r="N67" s="383"/>
      <c r="O67" s="394"/>
    </row>
    <row r="68" spans="1:18" ht="25.5" x14ac:dyDescent="0.2">
      <c r="A68" s="908">
        <v>16</v>
      </c>
      <c r="B68" s="909" t="s">
        <v>517</v>
      </c>
      <c r="C68" s="420" t="s">
        <v>523</v>
      </c>
      <c r="D68" s="421">
        <v>1807008.560919109</v>
      </c>
      <c r="E68" s="422">
        <v>5.9168000000000012E-2</v>
      </c>
      <c r="F68" s="421">
        <v>30540301.529865954</v>
      </c>
      <c r="G68" s="423">
        <v>28889191.529529896</v>
      </c>
      <c r="H68" s="424">
        <v>2166689.3647147422</v>
      </c>
      <c r="I68" s="421">
        <v>1128765.5757544751</v>
      </c>
      <c r="J68" s="425">
        <v>95602.044140877304</v>
      </c>
      <c r="K68" s="424">
        <v>2964765.1286075148</v>
      </c>
      <c r="L68" s="421">
        <v>6031096.1094219759</v>
      </c>
      <c r="M68" s="423">
        <v>482447.49131242814</v>
      </c>
      <c r="N68" s="425">
        <v>5548648.6181095475</v>
      </c>
      <c r="O68" s="426">
        <v>55692.704754182436</v>
      </c>
      <c r="Q68" t="str">
        <f t="shared" ref="Q68" si="29">IF(AND(ISBLANK(B68), ISBLANK(C68)), "X", "")</f>
        <v/>
      </c>
    </row>
    <row r="69" spans="1:18" x14ac:dyDescent="0.2">
      <c r="A69" s="908"/>
      <c r="B69" s="910"/>
      <c r="C69" s="404" t="s">
        <v>271</v>
      </c>
      <c r="D69" s="387">
        <f t="shared" ref="D69:O69" si="30">IF(D68="","",D68-D65)</f>
        <v>42756.422141812509</v>
      </c>
      <c r="E69" s="392">
        <f t="shared" si="30"/>
        <v>1.4000000000000054E-3</v>
      </c>
      <c r="F69" s="387">
        <f t="shared" si="30"/>
        <v>0</v>
      </c>
      <c r="G69" s="385">
        <f t="shared" si="30"/>
        <v>0</v>
      </c>
      <c r="H69" s="389">
        <f t="shared" si="30"/>
        <v>0</v>
      </c>
      <c r="I69" s="387">
        <f t="shared" si="30"/>
        <v>0</v>
      </c>
      <c r="J69" s="385">
        <f t="shared" si="30"/>
        <v>0</v>
      </c>
      <c r="K69" s="390">
        <f t="shared" si="30"/>
        <v>0</v>
      </c>
      <c r="L69" s="387">
        <f t="shared" si="30"/>
        <v>42756.422141812742</v>
      </c>
      <c r="M69" s="385">
        <f t="shared" si="30"/>
        <v>0</v>
      </c>
      <c r="N69" s="385">
        <f t="shared" si="30"/>
        <v>42756.422141812742</v>
      </c>
      <c r="O69" s="400">
        <f t="shared" si="30"/>
        <v>42756.422141812691</v>
      </c>
    </row>
    <row r="70" spans="1:18" ht="12" customHeight="1" x14ac:dyDescent="0.2">
      <c r="A70" s="908"/>
      <c r="B70" s="405"/>
      <c r="C70" s="394"/>
      <c r="D70" s="381"/>
      <c r="E70" s="388"/>
      <c r="F70" s="381"/>
      <c r="G70" s="383"/>
      <c r="H70" s="388"/>
      <c r="I70" s="381"/>
      <c r="J70" s="383"/>
      <c r="K70" s="388"/>
      <c r="L70" s="381"/>
      <c r="M70" s="383"/>
      <c r="N70" s="383"/>
      <c r="O70" s="394"/>
    </row>
    <row r="71" spans="1:18" x14ac:dyDescent="0.2">
      <c r="A71" s="908">
        <v>17</v>
      </c>
      <c r="B71" s="909"/>
      <c r="C71" s="420"/>
      <c r="D71" s="421"/>
      <c r="E71" s="422"/>
      <c r="F71" s="421"/>
      <c r="G71" s="423"/>
      <c r="H71" s="424"/>
      <c r="I71" s="421"/>
      <c r="J71" s="425"/>
      <c r="K71" s="424"/>
      <c r="L71" s="421"/>
      <c r="M71" s="423"/>
      <c r="N71" s="425"/>
      <c r="O71" s="426"/>
      <c r="Q71" t="str">
        <f t="shared" ref="Q71" si="31">IF(AND(ISBLANK(B71), ISBLANK(C71)), "X", "")</f>
        <v>X</v>
      </c>
    </row>
    <row r="72" spans="1:18" x14ac:dyDescent="0.2">
      <c r="A72" s="908"/>
      <c r="B72" s="910"/>
      <c r="C72" s="404" t="s">
        <v>271</v>
      </c>
      <c r="D72" s="387" t="str">
        <f t="shared" ref="D72:O72" si="32">IF(D71="","",D71-D68)</f>
        <v/>
      </c>
      <c r="E72" s="392" t="str">
        <f t="shared" si="32"/>
        <v/>
      </c>
      <c r="F72" s="387" t="str">
        <f t="shared" si="32"/>
        <v/>
      </c>
      <c r="G72" s="385" t="str">
        <f t="shared" si="32"/>
        <v/>
      </c>
      <c r="H72" s="389" t="str">
        <f t="shared" si="32"/>
        <v/>
      </c>
      <c r="I72" s="387" t="str">
        <f t="shared" si="32"/>
        <v/>
      </c>
      <c r="J72" s="385" t="str">
        <f t="shared" si="32"/>
        <v/>
      </c>
      <c r="K72" s="390" t="str">
        <f t="shared" si="32"/>
        <v/>
      </c>
      <c r="L72" s="387" t="str">
        <f t="shared" si="32"/>
        <v/>
      </c>
      <c r="M72" s="385" t="str">
        <f t="shared" si="32"/>
        <v/>
      </c>
      <c r="N72" s="385" t="str">
        <f t="shared" si="32"/>
        <v/>
      </c>
      <c r="O72" s="400" t="str">
        <f t="shared" si="32"/>
        <v/>
      </c>
    </row>
    <row r="73" spans="1:18" x14ac:dyDescent="0.2">
      <c r="A73" s="908"/>
      <c r="B73" s="394"/>
      <c r="C73" s="394"/>
      <c r="D73" s="381"/>
      <c r="E73" s="388"/>
      <c r="F73" s="381"/>
      <c r="G73" s="383"/>
      <c r="H73" s="388"/>
      <c r="I73" s="381"/>
      <c r="J73" s="383"/>
      <c r="K73" s="388"/>
      <c r="L73" s="381"/>
      <c r="M73" s="383"/>
      <c r="N73" s="383"/>
      <c r="O73" s="394"/>
    </row>
    <row r="74" spans="1:18" x14ac:dyDescent="0.2">
      <c r="A74" s="908">
        <v>18</v>
      </c>
      <c r="B74" s="909"/>
      <c r="C74" s="420"/>
      <c r="D74" s="421"/>
      <c r="E74" s="422"/>
      <c r="F74" s="421"/>
      <c r="G74" s="423"/>
      <c r="H74" s="424"/>
      <c r="I74" s="421"/>
      <c r="J74" s="425"/>
      <c r="K74" s="424"/>
      <c r="L74" s="421"/>
      <c r="M74" s="423"/>
      <c r="N74" s="425"/>
      <c r="O74" s="426"/>
      <c r="Q74" t="str">
        <f t="shared" ref="Q74" si="33">IF(AND(ISBLANK(B74), ISBLANK(C74)), "X", "")</f>
        <v>X</v>
      </c>
    </row>
    <row r="75" spans="1:18" x14ac:dyDescent="0.2">
      <c r="A75" s="908"/>
      <c r="B75" s="910"/>
      <c r="C75" s="404" t="s">
        <v>271</v>
      </c>
      <c r="D75" s="387" t="str">
        <f t="shared" ref="D75:O75" si="34">IF(D74="","",D74-D71)</f>
        <v/>
      </c>
      <c r="E75" s="392" t="str">
        <f t="shared" si="34"/>
        <v/>
      </c>
      <c r="F75" s="387" t="str">
        <f t="shared" si="34"/>
        <v/>
      </c>
      <c r="G75" s="385" t="str">
        <f t="shared" si="34"/>
        <v/>
      </c>
      <c r="H75" s="389" t="str">
        <f t="shared" si="34"/>
        <v/>
      </c>
      <c r="I75" s="387" t="str">
        <f t="shared" si="34"/>
        <v/>
      </c>
      <c r="J75" s="385" t="str">
        <f t="shared" si="34"/>
        <v/>
      </c>
      <c r="K75" s="390" t="str">
        <f t="shared" si="34"/>
        <v/>
      </c>
      <c r="L75" s="387" t="str">
        <f t="shared" si="34"/>
        <v/>
      </c>
      <c r="M75" s="385" t="str">
        <f t="shared" si="34"/>
        <v/>
      </c>
      <c r="N75" s="385" t="str">
        <f t="shared" si="34"/>
        <v/>
      </c>
      <c r="O75" s="400" t="str">
        <f t="shared" si="34"/>
        <v/>
      </c>
    </row>
    <row r="76" spans="1:18" x14ac:dyDescent="0.2">
      <c r="A76" s="908"/>
      <c r="B76" s="394"/>
      <c r="C76" s="394"/>
      <c r="D76" s="381"/>
      <c r="E76" s="388"/>
      <c r="F76" s="381"/>
      <c r="G76" s="383"/>
      <c r="H76" s="388"/>
      <c r="I76" s="381"/>
      <c r="J76" s="383"/>
      <c r="K76" s="388"/>
      <c r="L76" s="381"/>
      <c r="M76" s="383"/>
      <c r="N76" s="383"/>
      <c r="O76" s="394"/>
      <c r="R76" t="s">
        <v>272</v>
      </c>
    </row>
    <row r="77" spans="1:18" x14ac:dyDescent="0.2">
      <c r="A77" s="908">
        <v>19</v>
      </c>
      <c r="B77" s="909"/>
      <c r="C77" s="420"/>
      <c r="D77" s="421"/>
      <c r="E77" s="422"/>
      <c r="F77" s="421"/>
      <c r="G77" s="423"/>
      <c r="H77" s="424"/>
      <c r="I77" s="421"/>
      <c r="J77" s="425"/>
      <c r="K77" s="424"/>
      <c r="L77" s="421"/>
      <c r="M77" s="423"/>
      <c r="N77" s="425"/>
      <c r="O77" s="426"/>
      <c r="Q77" t="str">
        <f t="shared" ref="Q77" si="35">IF(AND(ISBLANK(B77), ISBLANK(C77)), "X", "")</f>
        <v>X</v>
      </c>
    </row>
    <row r="78" spans="1:18" x14ac:dyDescent="0.2">
      <c r="A78" s="908"/>
      <c r="B78" s="910"/>
      <c r="C78" s="404" t="s">
        <v>271</v>
      </c>
      <c r="D78" s="387" t="str">
        <f t="shared" ref="D78:O78" si="36">IF(D77="","",D77-D74)</f>
        <v/>
      </c>
      <c r="E78" s="392" t="str">
        <f t="shared" si="36"/>
        <v/>
      </c>
      <c r="F78" s="387" t="str">
        <f t="shared" si="36"/>
        <v/>
      </c>
      <c r="G78" s="385" t="str">
        <f t="shared" si="36"/>
        <v/>
      </c>
      <c r="H78" s="389" t="str">
        <f t="shared" si="36"/>
        <v/>
      </c>
      <c r="I78" s="387" t="str">
        <f t="shared" si="36"/>
        <v/>
      </c>
      <c r="J78" s="385" t="str">
        <f t="shared" si="36"/>
        <v/>
      </c>
      <c r="K78" s="390" t="str">
        <f t="shared" si="36"/>
        <v/>
      </c>
      <c r="L78" s="387" t="str">
        <f t="shared" si="36"/>
        <v/>
      </c>
      <c r="M78" s="385" t="str">
        <f t="shared" si="36"/>
        <v/>
      </c>
      <c r="N78" s="385" t="str">
        <f t="shared" si="36"/>
        <v/>
      </c>
      <c r="O78" s="400" t="str">
        <f t="shared" si="36"/>
        <v/>
      </c>
    </row>
    <row r="79" spans="1:18" x14ac:dyDescent="0.2">
      <c r="A79" s="908"/>
      <c r="B79" s="394"/>
      <c r="C79" s="394"/>
      <c r="D79" s="381"/>
      <c r="E79" s="388"/>
      <c r="F79" s="381"/>
      <c r="G79" s="383"/>
      <c r="H79" s="388"/>
      <c r="I79" s="381"/>
      <c r="J79" s="383"/>
      <c r="K79" s="388"/>
      <c r="L79" s="381"/>
      <c r="M79" s="383"/>
      <c r="N79" s="383"/>
      <c r="O79" s="394"/>
    </row>
    <row r="80" spans="1:18" x14ac:dyDescent="0.2">
      <c r="A80" s="908">
        <v>20</v>
      </c>
      <c r="B80" s="909"/>
      <c r="C80" s="420"/>
      <c r="D80" s="421"/>
      <c r="E80" s="422"/>
      <c r="F80" s="421"/>
      <c r="G80" s="423"/>
      <c r="H80" s="424"/>
      <c r="I80" s="421"/>
      <c r="J80" s="425"/>
      <c r="K80" s="424"/>
      <c r="L80" s="421"/>
      <c r="M80" s="423"/>
      <c r="N80" s="425"/>
      <c r="O80" s="426"/>
      <c r="Q80" t="str">
        <f t="shared" ref="Q80" si="37">IF(AND(ISBLANK(B80), ISBLANK(C80)), "X", "")</f>
        <v>X</v>
      </c>
    </row>
    <row r="81" spans="1:17" x14ac:dyDescent="0.2">
      <c r="A81" s="908"/>
      <c r="B81" s="910"/>
      <c r="C81" s="404" t="s">
        <v>271</v>
      </c>
      <c r="D81" s="387" t="str">
        <f t="shared" ref="D81:O81" si="38">IF(D80="","",D80-D77)</f>
        <v/>
      </c>
      <c r="E81" s="392" t="str">
        <f t="shared" si="38"/>
        <v/>
      </c>
      <c r="F81" s="387" t="str">
        <f t="shared" si="38"/>
        <v/>
      </c>
      <c r="G81" s="385" t="str">
        <f t="shared" si="38"/>
        <v/>
      </c>
      <c r="H81" s="389" t="str">
        <f t="shared" si="38"/>
        <v/>
      </c>
      <c r="I81" s="387" t="str">
        <f t="shared" si="38"/>
        <v/>
      </c>
      <c r="J81" s="385" t="str">
        <f t="shared" si="38"/>
        <v/>
      </c>
      <c r="K81" s="390" t="str">
        <f t="shared" si="38"/>
        <v/>
      </c>
      <c r="L81" s="387" t="str">
        <f t="shared" si="38"/>
        <v/>
      </c>
      <c r="M81" s="385" t="str">
        <f t="shared" si="38"/>
        <v/>
      </c>
      <c r="N81" s="385" t="str">
        <f t="shared" si="38"/>
        <v/>
      </c>
      <c r="O81" s="400" t="str">
        <f t="shared" si="38"/>
        <v/>
      </c>
    </row>
    <row r="82" spans="1:17" x14ac:dyDescent="0.2">
      <c r="A82" s="908"/>
      <c r="B82" s="394"/>
      <c r="C82" s="394"/>
      <c r="D82" s="381"/>
      <c r="E82" s="388"/>
      <c r="F82" s="381"/>
      <c r="G82" s="383"/>
      <c r="H82" s="388"/>
      <c r="I82" s="381"/>
      <c r="J82" s="383"/>
      <c r="K82" s="388"/>
      <c r="L82" s="381"/>
      <c r="M82" s="383"/>
      <c r="N82" s="383"/>
      <c r="O82" s="394"/>
    </row>
    <row r="83" spans="1:17" x14ac:dyDescent="0.2">
      <c r="A83" s="908">
        <v>21</v>
      </c>
      <c r="B83" s="909"/>
      <c r="C83" s="420"/>
      <c r="D83" s="421"/>
      <c r="E83" s="422"/>
      <c r="F83" s="421"/>
      <c r="G83" s="423"/>
      <c r="H83" s="424"/>
      <c r="I83" s="421"/>
      <c r="J83" s="425"/>
      <c r="K83" s="424"/>
      <c r="L83" s="421"/>
      <c r="M83" s="423"/>
      <c r="N83" s="425"/>
      <c r="O83" s="426"/>
      <c r="Q83" t="str">
        <f t="shared" ref="Q83" si="39">IF(AND(ISBLANK(B83), ISBLANK(C83)), "X", "")</f>
        <v>X</v>
      </c>
    </row>
    <row r="84" spans="1:17" x14ac:dyDescent="0.2">
      <c r="A84" s="908"/>
      <c r="B84" s="910"/>
      <c r="C84" s="404" t="s">
        <v>271</v>
      </c>
      <c r="D84" s="387" t="str">
        <f t="shared" ref="D84:O84" si="40">IF(D83="","",D83-D80)</f>
        <v/>
      </c>
      <c r="E84" s="392" t="str">
        <f t="shared" si="40"/>
        <v/>
      </c>
      <c r="F84" s="387" t="str">
        <f t="shared" si="40"/>
        <v/>
      </c>
      <c r="G84" s="385" t="str">
        <f t="shared" si="40"/>
        <v/>
      </c>
      <c r="H84" s="389" t="str">
        <f t="shared" si="40"/>
        <v/>
      </c>
      <c r="I84" s="387" t="str">
        <f t="shared" si="40"/>
        <v/>
      </c>
      <c r="J84" s="385" t="str">
        <f t="shared" si="40"/>
        <v/>
      </c>
      <c r="K84" s="390" t="str">
        <f t="shared" si="40"/>
        <v/>
      </c>
      <c r="L84" s="387" t="str">
        <f t="shared" si="40"/>
        <v/>
      </c>
      <c r="M84" s="385" t="str">
        <f t="shared" si="40"/>
        <v/>
      </c>
      <c r="N84" s="385" t="str">
        <f t="shared" si="40"/>
        <v/>
      </c>
      <c r="O84" s="400" t="str">
        <f t="shared" si="40"/>
        <v/>
      </c>
    </row>
    <row r="85" spans="1:17" x14ac:dyDescent="0.2">
      <c r="A85" s="908"/>
      <c r="B85" s="394"/>
      <c r="C85" s="394"/>
      <c r="D85" s="381"/>
      <c r="E85" s="388"/>
      <c r="F85" s="381"/>
      <c r="G85" s="383"/>
      <c r="H85" s="388"/>
      <c r="I85" s="381"/>
      <c r="J85" s="383"/>
      <c r="K85" s="388"/>
      <c r="L85" s="381"/>
      <c r="M85" s="383"/>
      <c r="N85" s="383"/>
      <c r="O85" s="394"/>
    </row>
    <row r="86" spans="1:17" x14ac:dyDescent="0.2">
      <c r="A86" s="908">
        <v>22</v>
      </c>
      <c r="B86" s="909"/>
      <c r="C86" s="420"/>
      <c r="D86" s="421"/>
      <c r="E86" s="422"/>
      <c r="F86" s="421"/>
      <c r="G86" s="423"/>
      <c r="H86" s="424"/>
      <c r="I86" s="421"/>
      <c r="J86" s="425"/>
      <c r="K86" s="424"/>
      <c r="L86" s="421"/>
      <c r="M86" s="423"/>
      <c r="N86" s="425"/>
      <c r="O86" s="426"/>
      <c r="Q86" t="str">
        <f t="shared" ref="Q86" si="41">IF(AND(ISBLANK(B86), ISBLANK(C86)), "X", "")</f>
        <v>X</v>
      </c>
    </row>
    <row r="87" spans="1:17" x14ac:dyDescent="0.2">
      <c r="A87" s="908"/>
      <c r="B87" s="910"/>
      <c r="C87" s="404" t="s">
        <v>271</v>
      </c>
      <c r="D87" s="387" t="str">
        <f t="shared" ref="D87:O87" si="42">IF(D86="","",D86-D83)</f>
        <v/>
      </c>
      <c r="E87" s="392" t="str">
        <f t="shared" si="42"/>
        <v/>
      </c>
      <c r="F87" s="387" t="str">
        <f t="shared" si="42"/>
        <v/>
      </c>
      <c r="G87" s="385" t="str">
        <f t="shared" si="42"/>
        <v/>
      </c>
      <c r="H87" s="389" t="str">
        <f t="shared" si="42"/>
        <v/>
      </c>
      <c r="I87" s="387" t="str">
        <f t="shared" si="42"/>
        <v/>
      </c>
      <c r="J87" s="385" t="str">
        <f t="shared" si="42"/>
        <v/>
      </c>
      <c r="K87" s="390" t="str">
        <f t="shared" si="42"/>
        <v/>
      </c>
      <c r="L87" s="387" t="str">
        <f t="shared" si="42"/>
        <v/>
      </c>
      <c r="M87" s="385" t="str">
        <f t="shared" si="42"/>
        <v/>
      </c>
      <c r="N87" s="385" t="str">
        <f t="shared" si="42"/>
        <v/>
      </c>
      <c r="O87" s="400" t="str">
        <f t="shared" si="42"/>
        <v/>
      </c>
    </row>
    <row r="88" spans="1:17" x14ac:dyDescent="0.2">
      <c r="A88" s="908"/>
      <c r="B88" s="394"/>
      <c r="C88" s="394"/>
      <c r="D88" s="381"/>
      <c r="E88" s="388"/>
      <c r="F88" s="381"/>
      <c r="G88" s="383"/>
      <c r="H88" s="388"/>
      <c r="I88" s="381"/>
      <c r="J88" s="383"/>
      <c r="K88" s="388"/>
      <c r="L88" s="381"/>
      <c r="M88" s="383"/>
      <c r="N88" s="383"/>
      <c r="O88" s="394"/>
    </row>
    <row r="89" spans="1:17" x14ac:dyDescent="0.2">
      <c r="A89" s="908">
        <v>23</v>
      </c>
      <c r="B89" s="909"/>
      <c r="C89" s="420"/>
      <c r="D89" s="421"/>
      <c r="E89" s="422"/>
      <c r="F89" s="421"/>
      <c r="G89" s="423"/>
      <c r="H89" s="424"/>
      <c r="I89" s="421"/>
      <c r="J89" s="425"/>
      <c r="K89" s="424"/>
      <c r="L89" s="421"/>
      <c r="M89" s="423"/>
      <c r="N89" s="425"/>
      <c r="O89" s="426"/>
      <c r="Q89" t="str">
        <f t="shared" ref="Q89" si="43">IF(AND(ISBLANK(B89), ISBLANK(C89)), "X", "")</f>
        <v>X</v>
      </c>
    </row>
    <row r="90" spans="1:17" x14ac:dyDescent="0.2">
      <c r="A90" s="908"/>
      <c r="B90" s="910"/>
      <c r="C90" s="404" t="s">
        <v>271</v>
      </c>
      <c r="D90" s="387" t="str">
        <f t="shared" ref="D90:O90" si="44">IF(D89="","",D89-D86)</f>
        <v/>
      </c>
      <c r="E90" s="392" t="str">
        <f t="shared" si="44"/>
        <v/>
      </c>
      <c r="F90" s="387" t="str">
        <f t="shared" si="44"/>
        <v/>
      </c>
      <c r="G90" s="385" t="str">
        <f t="shared" si="44"/>
        <v/>
      </c>
      <c r="H90" s="389" t="str">
        <f t="shared" si="44"/>
        <v/>
      </c>
      <c r="I90" s="387" t="str">
        <f t="shared" si="44"/>
        <v/>
      </c>
      <c r="J90" s="385" t="str">
        <f t="shared" si="44"/>
        <v/>
      </c>
      <c r="K90" s="390" t="str">
        <f t="shared" si="44"/>
        <v/>
      </c>
      <c r="L90" s="387" t="str">
        <f t="shared" si="44"/>
        <v/>
      </c>
      <c r="M90" s="385" t="str">
        <f t="shared" si="44"/>
        <v/>
      </c>
      <c r="N90" s="385" t="str">
        <f t="shared" si="44"/>
        <v/>
      </c>
      <c r="O90" s="400" t="str">
        <f t="shared" si="44"/>
        <v/>
      </c>
    </row>
    <row r="91" spans="1:17" x14ac:dyDescent="0.2">
      <c r="A91" s="908"/>
      <c r="B91" s="394"/>
      <c r="C91" s="394"/>
      <c r="D91" s="381"/>
      <c r="E91" s="388"/>
      <c r="F91" s="381"/>
      <c r="G91" s="383"/>
      <c r="H91" s="388"/>
      <c r="I91" s="381"/>
      <c r="J91" s="383"/>
      <c r="K91" s="388"/>
      <c r="L91" s="381"/>
      <c r="M91" s="383"/>
      <c r="N91" s="383"/>
      <c r="O91" s="394"/>
    </row>
    <row r="92" spans="1:17" x14ac:dyDescent="0.2">
      <c r="A92" s="908">
        <v>24</v>
      </c>
      <c r="B92" s="909"/>
      <c r="C92" s="420"/>
      <c r="D92" s="421"/>
      <c r="E92" s="422"/>
      <c r="F92" s="421"/>
      <c r="G92" s="423"/>
      <c r="H92" s="424"/>
      <c r="I92" s="421"/>
      <c r="J92" s="425"/>
      <c r="K92" s="424"/>
      <c r="L92" s="421"/>
      <c r="M92" s="423"/>
      <c r="N92" s="425"/>
      <c r="O92" s="426"/>
      <c r="Q92" t="str">
        <f t="shared" ref="Q92" si="45">IF(AND(ISBLANK(B92), ISBLANK(C92)), "X", "")</f>
        <v>X</v>
      </c>
    </row>
    <row r="93" spans="1:17" x14ac:dyDescent="0.2">
      <c r="A93" s="908"/>
      <c r="B93" s="910"/>
      <c r="C93" s="404" t="s">
        <v>271</v>
      </c>
      <c r="D93" s="387" t="str">
        <f t="shared" ref="D93:O93" si="46">IF(D92="","",D92-D89)</f>
        <v/>
      </c>
      <c r="E93" s="392" t="str">
        <f t="shared" si="46"/>
        <v/>
      </c>
      <c r="F93" s="387" t="str">
        <f t="shared" si="46"/>
        <v/>
      </c>
      <c r="G93" s="385" t="str">
        <f t="shared" si="46"/>
        <v/>
      </c>
      <c r="H93" s="389" t="str">
        <f t="shared" si="46"/>
        <v/>
      </c>
      <c r="I93" s="387" t="str">
        <f t="shared" si="46"/>
        <v/>
      </c>
      <c r="J93" s="385" t="str">
        <f t="shared" si="46"/>
        <v/>
      </c>
      <c r="K93" s="390" t="str">
        <f t="shared" si="46"/>
        <v/>
      </c>
      <c r="L93" s="387" t="str">
        <f t="shared" si="46"/>
        <v/>
      </c>
      <c r="M93" s="385" t="str">
        <f t="shared" si="46"/>
        <v/>
      </c>
      <c r="N93" s="385" t="str">
        <f t="shared" si="46"/>
        <v/>
      </c>
      <c r="O93" s="400" t="str">
        <f t="shared" si="46"/>
        <v/>
      </c>
    </row>
    <row r="94" spans="1:17" x14ac:dyDescent="0.2">
      <c r="A94" s="908"/>
      <c r="B94" s="394"/>
      <c r="C94" s="394"/>
      <c r="D94" s="381"/>
      <c r="E94" s="388"/>
      <c r="F94" s="381"/>
      <c r="G94" s="383"/>
      <c r="H94" s="388"/>
      <c r="I94" s="381"/>
      <c r="J94" s="383"/>
      <c r="K94" s="388"/>
      <c r="L94" s="381"/>
      <c r="M94" s="383"/>
      <c r="N94" s="383"/>
      <c r="O94" s="394"/>
    </row>
    <row r="95" spans="1:17" x14ac:dyDescent="0.2">
      <c r="A95" s="908">
        <v>25</v>
      </c>
      <c r="B95" s="909"/>
      <c r="C95" s="420"/>
      <c r="D95" s="421"/>
      <c r="E95" s="422"/>
      <c r="F95" s="421"/>
      <c r="G95" s="423"/>
      <c r="H95" s="424"/>
      <c r="I95" s="421"/>
      <c r="J95" s="425"/>
      <c r="K95" s="424"/>
      <c r="L95" s="421"/>
      <c r="M95" s="423"/>
      <c r="N95" s="425"/>
      <c r="O95" s="426"/>
      <c r="Q95" t="str">
        <f t="shared" ref="Q95" si="47">IF(AND(ISBLANK(B95), ISBLANK(C95)), "X", "")</f>
        <v>X</v>
      </c>
    </row>
    <row r="96" spans="1:17" x14ac:dyDescent="0.2">
      <c r="A96" s="908"/>
      <c r="B96" s="910"/>
      <c r="C96" s="404" t="s">
        <v>271</v>
      </c>
      <c r="D96" s="387" t="str">
        <f t="shared" ref="D96:O96" si="48">IF(D95="","",D95-D92)</f>
        <v/>
      </c>
      <c r="E96" s="392" t="str">
        <f t="shared" si="48"/>
        <v/>
      </c>
      <c r="F96" s="387" t="str">
        <f t="shared" si="48"/>
        <v/>
      </c>
      <c r="G96" s="385" t="str">
        <f t="shared" si="48"/>
        <v/>
      </c>
      <c r="H96" s="389" t="str">
        <f t="shared" si="48"/>
        <v/>
      </c>
      <c r="I96" s="387" t="str">
        <f t="shared" si="48"/>
        <v/>
      </c>
      <c r="J96" s="385" t="str">
        <f t="shared" si="48"/>
        <v/>
      </c>
      <c r="K96" s="390" t="str">
        <f t="shared" si="48"/>
        <v/>
      </c>
      <c r="L96" s="387" t="str">
        <f t="shared" si="48"/>
        <v/>
      </c>
      <c r="M96" s="385" t="str">
        <f t="shared" si="48"/>
        <v/>
      </c>
      <c r="N96" s="385" t="str">
        <f t="shared" si="48"/>
        <v/>
      </c>
      <c r="O96" s="400" t="str">
        <f t="shared" si="48"/>
        <v/>
      </c>
    </row>
    <row r="97" spans="1:17" x14ac:dyDescent="0.2">
      <c r="A97" s="908"/>
      <c r="B97" s="394"/>
      <c r="C97" s="394"/>
      <c r="D97" s="381"/>
      <c r="E97" s="388"/>
      <c r="F97" s="381"/>
      <c r="G97" s="383"/>
      <c r="H97" s="388"/>
      <c r="I97" s="381"/>
      <c r="J97" s="383"/>
      <c r="K97" s="388"/>
      <c r="L97" s="381"/>
      <c r="M97" s="383"/>
      <c r="N97" s="383"/>
      <c r="O97" s="394"/>
    </row>
    <row r="98" spans="1:17" x14ac:dyDescent="0.2">
      <c r="A98" s="908">
        <v>26</v>
      </c>
      <c r="B98" s="909"/>
      <c r="C98" s="420"/>
      <c r="D98" s="421"/>
      <c r="E98" s="422"/>
      <c r="F98" s="421"/>
      <c r="G98" s="423"/>
      <c r="H98" s="424"/>
      <c r="I98" s="421"/>
      <c r="J98" s="425"/>
      <c r="K98" s="424"/>
      <c r="L98" s="421"/>
      <c r="M98" s="423"/>
      <c r="N98" s="425"/>
      <c r="O98" s="426"/>
      <c r="Q98" t="str">
        <f t="shared" ref="Q98" si="49">IF(AND(ISBLANK(B98), ISBLANK(C98)), "X", "")</f>
        <v>X</v>
      </c>
    </row>
    <row r="99" spans="1:17" x14ac:dyDescent="0.2">
      <c r="A99" s="908"/>
      <c r="B99" s="910"/>
      <c r="C99" s="404" t="s">
        <v>271</v>
      </c>
      <c r="D99" s="387" t="str">
        <f t="shared" ref="D99:O99" si="50">IF(D98="","",D98-D95)</f>
        <v/>
      </c>
      <c r="E99" s="392" t="str">
        <f t="shared" si="50"/>
        <v/>
      </c>
      <c r="F99" s="387" t="str">
        <f t="shared" si="50"/>
        <v/>
      </c>
      <c r="G99" s="385" t="str">
        <f t="shared" si="50"/>
        <v/>
      </c>
      <c r="H99" s="389" t="str">
        <f t="shared" si="50"/>
        <v/>
      </c>
      <c r="I99" s="387" t="str">
        <f t="shared" si="50"/>
        <v/>
      </c>
      <c r="J99" s="385" t="str">
        <f t="shared" si="50"/>
        <v/>
      </c>
      <c r="K99" s="390" t="str">
        <f t="shared" si="50"/>
        <v/>
      </c>
      <c r="L99" s="387" t="str">
        <f t="shared" si="50"/>
        <v/>
      </c>
      <c r="M99" s="385" t="str">
        <f t="shared" si="50"/>
        <v/>
      </c>
      <c r="N99" s="385" t="str">
        <f t="shared" si="50"/>
        <v/>
      </c>
      <c r="O99" s="400" t="str">
        <f t="shared" si="50"/>
        <v/>
      </c>
    </row>
    <row r="100" spans="1:17" x14ac:dyDescent="0.2">
      <c r="A100" s="908"/>
      <c r="B100" s="394"/>
      <c r="C100" s="394"/>
      <c r="D100" s="381"/>
      <c r="E100" s="388"/>
      <c r="F100" s="381"/>
      <c r="G100" s="383"/>
      <c r="H100" s="388"/>
      <c r="I100" s="381"/>
      <c r="J100" s="383"/>
      <c r="K100" s="388"/>
      <c r="L100" s="381"/>
      <c r="M100" s="383"/>
      <c r="N100" s="383"/>
      <c r="O100" s="394"/>
    </row>
    <row r="101" spans="1:17" x14ac:dyDescent="0.2">
      <c r="A101" s="908">
        <v>27</v>
      </c>
      <c r="B101" s="909"/>
      <c r="C101" s="420"/>
      <c r="D101" s="421"/>
      <c r="E101" s="422"/>
      <c r="F101" s="421"/>
      <c r="G101" s="423"/>
      <c r="H101" s="424"/>
      <c r="I101" s="421"/>
      <c r="J101" s="425"/>
      <c r="K101" s="424"/>
      <c r="L101" s="421"/>
      <c r="M101" s="423"/>
      <c r="N101" s="425"/>
      <c r="O101" s="426"/>
      <c r="Q101" t="str">
        <f t="shared" ref="Q101" si="51">IF(AND(ISBLANK(B101), ISBLANK(C101)), "X", "")</f>
        <v>X</v>
      </c>
    </row>
    <row r="102" spans="1:17" x14ac:dyDescent="0.2">
      <c r="A102" s="908"/>
      <c r="B102" s="910"/>
      <c r="C102" s="404" t="s">
        <v>271</v>
      </c>
      <c r="D102" s="387" t="str">
        <f t="shared" ref="D102:O102" si="52">IF(D101="","",D101-D98)</f>
        <v/>
      </c>
      <c r="E102" s="392" t="str">
        <f t="shared" si="52"/>
        <v/>
      </c>
      <c r="F102" s="387" t="str">
        <f t="shared" si="52"/>
        <v/>
      </c>
      <c r="G102" s="385" t="str">
        <f t="shared" si="52"/>
        <v/>
      </c>
      <c r="H102" s="389" t="str">
        <f t="shared" si="52"/>
        <v/>
      </c>
      <c r="I102" s="387" t="str">
        <f t="shared" si="52"/>
        <v/>
      </c>
      <c r="J102" s="385" t="str">
        <f t="shared" si="52"/>
        <v/>
      </c>
      <c r="K102" s="390" t="str">
        <f t="shared" si="52"/>
        <v/>
      </c>
      <c r="L102" s="387" t="str">
        <f t="shared" si="52"/>
        <v/>
      </c>
      <c r="M102" s="385" t="str">
        <f t="shared" si="52"/>
        <v/>
      </c>
      <c r="N102" s="385" t="str">
        <f t="shared" si="52"/>
        <v/>
      </c>
      <c r="O102" s="400" t="str">
        <f t="shared" si="52"/>
        <v/>
      </c>
    </row>
    <row r="103" spans="1:17" x14ac:dyDescent="0.2">
      <c r="A103" s="908"/>
      <c r="B103" s="394"/>
      <c r="C103" s="394"/>
      <c r="D103" s="381"/>
      <c r="E103" s="388"/>
      <c r="F103" s="381"/>
      <c r="G103" s="383"/>
      <c r="H103" s="388"/>
      <c r="I103" s="381"/>
      <c r="J103" s="383"/>
      <c r="K103" s="388"/>
      <c r="L103" s="381"/>
      <c r="M103" s="383"/>
      <c r="N103" s="383"/>
      <c r="O103" s="394"/>
    </row>
    <row r="104" spans="1:17" x14ac:dyDescent="0.2">
      <c r="A104" s="908">
        <v>28</v>
      </c>
      <c r="B104" s="909"/>
      <c r="C104" s="420"/>
      <c r="D104" s="421"/>
      <c r="E104" s="422"/>
      <c r="F104" s="421"/>
      <c r="G104" s="423"/>
      <c r="H104" s="424"/>
      <c r="I104" s="421"/>
      <c r="J104" s="425"/>
      <c r="K104" s="424"/>
      <c r="L104" s="421"/>
      <c r="M104" s="423"/>
      <c r="N104" s="425"/>
      <c r="O104" s="426"/>
      <c r="Q104" t="str">
        <f t="shared" ref="Q104" si="53">IF(AND(ISBLANK(B104), ISBLANK(C104)), "X", "")</f>
        <v>X</v>
      </c>
    </row>
    <row r="105" spans="1:17" x14ac:dyDescent="0.2">
      <c r="A105" s="908"/>
      <c r="B105" s="910"/>
      <c r="C105" s="404" t="s">
        <v>271</v>
      </c>
      <c r="D105" s="387" t="str">
        <f t="shared" ref="D105:O105" si="54">IF(D104="","",D104-D101)</f>
        <v/>
      </c>
      <c r="E105" s="392" t="str">
        <f t="shared" si="54"/>
        <v/>
      </c>
      <c r="F105" s="387" t="str">
        <f t="shared" si="54"/>
        <v/>
      </c>
      <c r="G105" s="385" t="str">
        <f t="shared" si="54"/>
        <v/>
      </c>
      <c r="H105" s="389" t="str">
        <f t="shared" si="54"/>
        <v/>
      </c>
      <c r="I105" s="387" t="str">
        <f t="shared" si="54"/>
        <v/>
      </c>
      <c r="J105" s="385" t="str">
        <f t="shared" si="54"/>
        <v/>
      </c>
      <c r="K105" s="390" t="str">
        <f t="shared" si="54"/>
        <v/>
      </c>
      <c r="L105" s="387" t="str">
        <f t="shared" si="54"/>
        <v/>
      </c>
      <c r="M105" s="385" t="str">
        <f t="shared" si="54"/>
        <v/>
      </c>
      <c r="N105" s="385" t="str">
        <f t="shared" si="54"/>
        <v/>
      </c>
      <c r="O105" s="400" t="str">
        <f t="shared" si="54"/>
        <v/>
      </c>
    </row>
    <row r="106" spans="1:17" x14ac:dyDescent="0.2">
      <c r="A106" s="908"/>
      <c r="B106" s="394"/>
      <c r="C106" s="394"/>
      <c r="D106" s="381"/>
      <c r="E106" s="388"/>
      <c r="F106" s="381"/>
      <c r="G106" s="383"/>
      <c r="H106" s="388"/>
      <c r="I106" s="381"/>
      <c r="J106" s="383"/>
      <c r="K106" s="388"/>
      <c r="L106" s="381"/>
      <c r="M106" s="383"/>
      <c r="N106" s="383"/>
      <c r="O106" s="394"/>
    </row>
    <row r="107" spans="1:17" x14ac:dyDescent="0.2">
      <c r="A107" s="908">
        <v>29</v>
      </c>
      <c r="B107" s="909"/>
      <c r="C107" s="420"/>
      <c r="D107" s="421"/>
      <c r="E107" s="422"/>
      <c r="F107" s="421"/>
      <c r="G107" s="423"/>
      <c r="H107" s="424"/>
      <c r="I107" s="421"/>
      <c r="J107" s="425"/>
      <c r="K107" s="424"/>
      <c r="L107" s="421"/>
      <c r="M107" s="423"/>
      <c r="N107" s="425"/>
      <c r="O107" s="426"/>
      <c r="Q107" t="str">
        <f t="shared" ref="Q107" si="55">IF(AND(ISBLANK(B107), ISBLANK(C107)), "X", "")</f>
        <v>X</v>
      </c>
    </row>
    <row r="108" spans="1:17" x14ac:dyDescent="0.2">
      <c r="A108" s="908"/>
      <c r="B108" s="910"/>
      <c r="C108" s="404" t="s">
        <v>271</v>
      </c>
      <c r="D108" s="387" t="str">
        <f t="shared" ref="D108:O108" si="56">IF(D107="","",D107-D104)</f>
        <v/>
      </c>
      <c r="E108" s="392" t="str">
        <f t="shared" si="56"/>
        <v/>
      </c>
      <c r="F108" s="387" t="str">
        <f t="shared" si="56"/>
        <v/>
      </c>
      <c r="G108" s="385" t="str">
        <f t="shared" si="56"/>
        <v/>
      </c>
      <c r="H108" s="389" t="str">
        <f t="shared" si="56"/>
        <v/>
      </c>
      <c r="I108" s="387" t="str">
        <f t="shared" si="56"/>
        <v/>
      </c>
      <c r="J108" s="385" t="str">
        <f t="shared" si="56"/>
        <v/>
      </c>
      <c r="K108" s="390" t="str">
        <f t="shared" si="56"/>
        <v/>
      </c>
      <c r="L108" s="387" t="str">
        <f t="shared" si="56"/>
        <v/>
      </c>
      <c r="M108" s="385" t="str">
        <f t="shared" si="56"/>
        <v/>
      </c>
      <c r="N108" s="385" t="str">
        <f t="shared" si="56"/>
        <v/>
      </c>
      <c r="O108" s="400" t="str">
        <f t="shared" si="56"/>
        <v/>
      </c>
    </row>
    <row r="109" spans="1:17" x14ac:dyDescent="0.2">
      <c r="A109" s="908"/>
      <c r="B109" s="394"/>
      <c r="C109" s="394"/>
      <c r="D109" s="381"/>
      <c r="E109" s="388"/>
      <c r="F109" s="381"/>
      <c r="G109" s="383"/>
      <c r="H109" s="388"/>
      <c r="I109" s="381"/>
      <c r="J109" s="383"/>
      <c r="K109" s="388"/>
      <c r="L109" s="381"/>
      <c r="M109" s="383"/>
      <c r="N109" s="383"/>
      <c r="O109" s="394"/>
    </row>
    <row r="110" spans="1:17" x14ac:dyDescent="0.2">
      <c r="A110" s="908">
        <v>30</v>
      </c>
      <c r="B110" s="909"/>
      <c r="C110" s="420"/>
      <c r="D110" s="421"/>
      <c r="E110" s="422"/>
      <c r="F110" s="421"/>
      <c r="G110" s="423"/>
      <c r="H110" s="424"/>
      <c r="I110" s="421"/>
      <c r="J110" s="425"/>
      <c r="K110" s="424"/>
      <c r="L110" s="421"/>
      <c r="M110" s="423"/>
      <c r="N110" s="425"/>
      <c r="O110" s="426"/>
      <c r="Q110" t="str">
        <f t="shared" ref="Q110" si="57">IF(AND(ISBLANK(B110), ISBLANK(C110)), "X", "")</f>
        <v>X</v>
      </c>
    </row>
    <row r="111" spans="1:17" x14ac:dyDescent="0.2">
      <c r="A111" s="908"/>
      <c r="B111" s="910"/>
      <c r="C111" s="404" t="s">
        <v>271</v>
      </c>
      <c r="D111" s="387" t="str">
        <f t="shared" ref="D111:O111" si="58">IF(D110="","",D110-D107)</f>
        <v/>
      </c>
      <c r="E111" s="392" t="str">
        <f t="shared" si="58"/>
        <v/>
      </c>
      <c r="F111" s="387" t="str">
        <f t="shared" si="58"/>
        <v/>
      </c>
      <c r="G111" s="385" t="str">
        <f t="shared" si="58"/>
        <v/>
      </c>
      <c r="H111" s="389" t="str">
        <f t="shared" si="58"/>
        <v/>
      </c>
      <c r="I111" s="387" t="str">
        <f t="shared" si="58"/>
        <v/>
      </c>
      <c r="J111" s="385" t="str">
        <f t="shared" si="58"/>
        <v/>
      </c>
      <c r="K111" s="390" t="str">
        <f t="shared" si="58"/>
        <v/>
      </c>
      <c r="L111" s="387" t="str">
        <f t="shared" si="58"/>
        <v/>
      </c>
      <c r="M111" s="385" t="str">
        <f t="shared" si="58"/>
        <v/>
      </c>
      <c r="N111" s="385" t="str">
        <f t="shared" si="58"/>
        <v/>
      </c>
      <c r="O111" s="400" t="str">
        <f t="shared" si="58"/>
        <v/>
      </c>
    </row>
    <row r="112" spans="1:17" x14ac:dyDescent="0.2">
      <c r="A112" s="908"/>
      <c r="B112" s="394"/>
      <c r="C112" s="394"/>
      <c r="D112" s="381"/>
      <c r="E112" s="388"/>
      <c r="F112" s="381"/>
      <c r="G112" s="383"/>
      <c r="H112" s="388"/>
      <c r="I112" s="381"/>
      <c r="J112" s="383"/>
      <c r="K112" s="388"/>
      <c r="L112" s="381"/>
      <c r="M112" s="383"/>
      <c r="N112" s="383"/>
      <c r="O112" s="394"/>
    </row>
    <row r="113" spans="1:17" x14ac:dyDescent="0.2">
      <c r="A113" s="908">
        <v>31</v>
      </c>
      <c r="B113" s="909"/>
      <c r="C113" s="420"/>
      <c r="D113" s="421"/>
      <c r="E113" s="422"/>
      <c r="F113" s="421"/>
      <c r="G113" s="423"/>
      <c r="H113" s="424"/>
      <c r="I113" s="421"/>
      <c r="J113" s="425"/>
      <c r="K113" s="424"/>
      <c r="L113" s="421"/>
      <c r="M113" s="423"/>
      <c r="N113" s="425"/>
      <c r="O113" s="426"/>
      <c r="Q113" t="str">
        <f t="shared" ref="Q113" si="59">IF(AND(ISBLANK(B113), ISBLANK(C113)), "X", "")</f>
        <v>X</v>
      </c>
    </row>
    <row r="114" spans="1:17" x14ac:dyDescent="0.2">
      <c r="A114" s="908"/>
      <c r="B114" s="910"/>
      <c r="C114" s="404" t="s">
        <v>271</v>
      </c>
      <c r="D114" s="387" t="str">
        <f t="shared" ref="D114:O114" si="60">IF(D113="","",D113-D110)</f>
        <v/>
      </c>
      <c r="E114" s="392" t="str">
        <f t="shared" si="60"/>
        <v/>
      </c>
      <c r="F114" s="387" t="str">
        <f t="shared" si="60"/>
        <v/>
      </c>
      <c r="G114" s="385" t="str">
        <f t="shared" si="60"/>
        <v/>
      </c>
      <c r="H114" s="389" t="str">
        <f t="shared" si="60"/>
        <v/>
      </c>
      <c r="I114" s="387" t="str">
        <f t="shared" si="60"/>
        <v/>
      </c>
      <c r="J114" s="385" t="str">
        <f t="shared" si="60"/>
        <v/>
      </c>
      <c r="K114" s="390" t="str">
        <f t="shared" si="60"/>
        <v/>
      </c>
      <c r="L114" s="387" t="str">
        <f t="shared" si="60"/>
        <v/>
      </c>
      <c r="M114" s="385" t="str">
        <f t="shared" si="60"/>
        <v/>
      </c>
      <c r="N114" s="385" t="str">
        <f t="shared" si="60"/>
        <v/>
      </c>
      <c r="O114" s="400" t="str">
        <f t="shared" si="60"/>
        <v/>
      </c>
    </row>
    <row r="115" spans="1:17" x14ac:dyDescent="0.2">
      <c r="A115" s="908"/>
      <c r="B115" s="394"/>
      <c r="C115" s="394"/>
      <c r="D115" s="381"/>
      <c r="E115" s="388"/>
      <c r="F115" s="381"/>
      <c r="G115" s="383"/>
      <c r="H115" s="388"/>
      <c r="I115" s="381"/>
      <c r="J115" s="383"/>
      <c r="K115" s="388"/>
      <c r="L115" s="381"/>
      <c r="M115" s="383"/>
      <c r="N115" s="383"/>
      <c r="O115" s="394"/>
    </row>
    <row r="116" spans="1:17" x14ac:dyDescent="0.2">
      <c r="A116" s="908">
        <v>32</v>
      </c>
      <c r="B116" s="909"/>
      <c r="C116" s="420"/>
      <c r="D116" s="421"/>
      <c r="E116" s="422"/>
      <c r="F116" s="421"/>
      <c r="G116" s="423"/>
      <c r="H116" s="424"/>
      <c r="I116" s="421"/>
      <c r="J116" s="425"/>
      <c r="K116" s="424"/>
      <c r="L116" s="421"/>
      <c r="M116" s="423"/>
      <c r="N116" s="425"/>
      <c r="O116" s="426"/>
      <c r="Q116" t="str">
        <f t="shared" ref="Q116" si="61">IF(AND(ISBLANK(B116), ISBLANK(C116)), "X", "")</f>
        <v>X</v>
      </c>
    </row>
    <row r="117" spans="1:17" x14ac:dyDescent="0.2">
      <c r="A117" s="908"/>
      <c r="B117" s="910"/>
      <c r="C117" s="404" t="s">
        <v>271</v>
      </c>
      <c r="D117" s="387" t="str">
        <f t="shared" ref="D117:O117" si="62">IF(D116="","",D116-D113)</f>
        <v/>
      </c>
      <c r="E117" s="392" t="str">
        <f t="shared" si="62"/>
        <v/>
      </c>
      <c r="F117" s="387" t="str">
        <f t="shared" si="62"/>
        <v/>
      </c>
      <c r="G117" s="385" t="str">
        <f t="shared" si="62"/>
        <v/>
      </c>
      <c r="H117" s="389" t="str">
        <f t="shared" si="62"/>
        <v/>
      </c>
      <c r="I117" s="387" t="str">
        <f t="shared" si="62"/>
        <v/>
      </c>
      <c r="J117" s="385" t="str">
        <f t="shared" si="62"/>
        <v/>
      </c>
      <c r="K117" s="390" t="str">
        <f t="shared" si="62"/>
        <v/>
      </c>
      <c r="L117" s="387" t="str">
        <f t="shared" si="62"/>
        <v/>
      </c>
      <c r="M117" s="385" t="str">
        <f t="shared" si="62"/>
        <v/>
      </c>
      <c r="N117" s="385" t="str">
        <f t="shared" si="62"/>
        <v/>
      </c>
      <c r="O117" s="400" t="str">
        <f t="shared" si="62"/>
        <v/>
      </c>
    </row>
    <row r="118" spans="1:17" x14ac:dyDescent="0.2">
      <c r="A118" s="908"/>
      <c r="B118" s="394"/>
      <c r="C118" s="394"/>
      <c r="D118" s="381"/>
      <c r="E118" s="388"/>
      <c r="F118" s="381"/>
      <c r="G118" s="383"/>
      <c r="H118" s="388"/>
      <c r="I118" s="381"/>
      <c r="J118" s="383"/>
      <c r="K118" s="388"/>
      <c r="L118" s="381"/>
      <c r="M118" s="383"/>
      <c r="N118" s="383"/>
      <c r="O118" s="394"/>
    </row>
    <row r="119" spans="1:17" x14ac:dyDescent="0.2">
      <c r="A119" s="908">
        <v>33</v>
      </c>
      <c r="B119" s="909"/>
      <c r="C119" s="420"/>
      <c r="D119" s="421"/>
      <c r="E119" s="422"/>
      <c r="F119" s="421"/>
      <c r="G119" s="423"/>
      <c r="H119" s="424"/>
      <c r="I119" s="421"/>
      <c r="J119" s="425"/>
      <c r="K119" s="424"/>
      <c r="L119" s="421"/>
      <c r="M119" s="423"/>
      <c r="N119" s="425"/>
      <c r="O119" s="426"/>
      <c r="Q119" t="str">
        <f t="shared" ref="Q119" si="63">IF(AND(ISBLANK(B119), ISBLANK(C119)), "X", "")</f>
        <v>X</v>
      </c>
    </row>
    <row r="120" spans="1:17" x14ac:dyDescent="0.2">
      <c r="A120" s="908"/>
      <c r="B120" s="910"/>
      <c r="C120" s="404" t="s">
        <v>271</v>
      </c>
      <c r="D120" s="387" t="str">
        <f t="shared" ref="D120:O120" si="64">IF(D119="","",D119-D116)</f>
        <v/>
      </c>
      <c r="E120" s="392" t="str">
        <f t="shared" si="64"/>
        <v/>
      </c>
      <c r="F120" s="387" t="str">
        <f t="shared" si="64"/>
        <v/>
      </c>
      <c r="G120" s="385" t="str">
        <f t="shared" si="64"/>
        <v/>
      </c>
      <c r="H120" s="389" t="str">
        <f t="shared" si="64"/>
        <v/>
      </c>
      <c r="I120" s="387" t="str">
        <f t="shared" si="64"/>
        <v/>
      </c>
      <c r="J120" s="385" t="str">
        <f t="shared" si="64"/>
        <v/>
      </c>
      <c r="K120" s="390" t="str">
        <f t="shared" si="64"/>
        <v/>
      </c>
      <c r="L120" s="387" t="str">
        <f t="shared" si="64"/>
        <v/>
      </c>
      <c r="M120" s="385" t="str">
        <f t="shared" si="64"/>
        <v/>
      </c>
      <c r="N120" s="385" t="str">
        <f t="shared" si="64"/>
        <v/>
      </c>
      <c r="O120" s="400" t="str">
        <f t="shared" si="64"/>
        <v/>
      </c>
    </row>
    <row r="121" spans="1:17" x14ac:dyDescent="0.2">
      <c r="A121" s="908"/>
      <c r="B121" s="394"/>
      <c r="C121" s="394"/>
      <c r="D121" s="381"/>
      <c r="E121" s="388"/>
      <c r="F121" s="381"/>
      <c r="G121" s="383"/>
      <c r="H121" s="388"/>
      <c r="I121" s="381"/>
      <c r="J121" s="383"/>
      <c r="K121" s="388"/>
      <c r="L121" s="381"/>
      <c r="M121" s="383"/>
      <c r="N121" s="383"/>
      <c r="O121" s="394"/>
    </row>
    <row r="122" spans="1:17" x14ac:dyDescent="0.2">
      <c r="A122" s="908">
        <v>34</v>
      </c>
      <c r="B122" s="909"/>
      <c r="C122" s="420"/>
      <c r="D122" s="421"/>
      <c r="E122" s="422"/>
      <c r="F122" s="421"/>
      <c r="G122" s="423"/>
      <c r="H122" s="424"/>
      <c r="I122" s="421"/>
      <c r="J122" s="425"/>
      <c r="K122" s="424"/>
      <c r="L122" s="421"/>
      <c r="M122" s="423"/>
      <c r="N122" s="425"/>
      <c r="O122" s="426"/>
      <c r="Q122" t="str">
        <f t="shared" ref="Q122" si="65">IF(AND(ISBLANK(B122), ISBLANK(C122)), "X", "")</f>
        <v>X</v>
      </c>
    </row>
    <row r="123" spans="1:17" x14ac:dyDescent="0.2">
      <c r="A123" s="908"/>
      <c r="B123" s="910"/>
      <c r="C123" s="404" t="s">
        <v>271</v>
      </c>
      <c r="D123" s="387" t="str">
        <f t="shared" ref="D123:O123" si="66">IF(D122="","",D122-D119)</f>
        <v/>
      </c>
      <c r="E123" s="392" t="str">
        <f t="shared" si="66"/>
        <v/>
      </c>
      <c r="F123" s="387" t="str">
        <f t="shared" si="66"/>
        <v/>
      </c>
      <c r="G123" s="385" t="str">
        <f t="shared" si="66"/>
        <v/>
      </c>
      <c r="H123" s="389" t="str">
        <f t="shared" si="66"/>
        <v/>
      </c>
      <c r="I123" s="387" t="str">
        <f t="shared" si="66"/>
        <v/>
      </c>
      <c r="J123" s="385" t="str">
        <f t="shared" si="66"/>
        <v/>
      </c>
      <c r="K123" s="390" t="str">
        <f t="shared" si="66"/>
        <v/>
      </c>
      <c r="L123" s="387" t="str">
        <f t="shared" si="66"/>
        <v/>
      </c>
      <c r="M123" s="385" t="str">
        <f t="shared" si="66"/>
        <v/>
      </c>
      <c r="N123" s="385" t="str">
        <f t="shared" si="66"/>
        <v/>
      </c>
      <c r="O123" s="400" t="str">
        <f t="shared" si="66"/>
        <v/>
      </c>
    </row>
    <row r="124" spans="1:17" x14ac:dyDescent="0.2">
      <c r="A124" s="908"/>
      <c r="B124" s="394"/>
      <c r="C124" s="394"/>
      <c r="D124" s="381"/>
      <c r="E124" s="388"/>
      <c r="F124" s="381"/>
      <c r="G124" s="383"/>
      <c r="H124" s="388"/>
      <c r="I124" s="381"/>
      <c r="J124" s="383"/>
      <c r="K124" s="388"/>
      <c r="L124" s="381"/>
      <c r="M124" s="383"/>
      <c r="N124" s="383"/>
      <c r="O124" s="394"/>
    </row>
    <row r="125" spans="1:17" x14ac:dyDescent="0.2">
      <c r="A125" s="908">
        <v>35</v>
      </c>
      <c r="B125" s="909"/>
      <c r="C125" s="420"/>
      <c r="D125" s="421"/>
      <c r="E125" s="422"/>
      <c r="F125" s="421"/>
      <c r="G125" s="423"/>
      <c r="H125" s="424"/>
      <c r="I125" s="421"/>
      <c r="J125" s="425"/>
      <c r="K125" s="424"/>
      <c r="L125" s="421"/>
      <c r="M125" s="423"/>
      <c r="N125" s="425"/>
      <c r="O125" s="426"/>
      <c r="Q125" t="str">
        <f t="shared" ref="Q125" si="67">IF(AND(ISBLANK(B125), ISBLANK(C125)), "X", "")</f>
        <v>X</v>
      </c>
    </row>
    <row r="126" spans="1:17" x14ac:dyDescent="0.2">
      <c r="A126" s="908"/>
      <c r="B126" s="910"/>
      <c r="C126" s="404" t="s">
        <v>271</v>
      </c>
      <c r="D126" s="387" t="str">
        <f t="shared" ref="D126:O126" si="68">IF(D125="","",D125-D122)</f>
        <v/>
      </c>
      <c r="E126" s="392" t="str">
        <f t="shared" si="68"/>
        <v/>
      </c>
      <c r="F126" s="387" t="str">
        <f t="shared" si="68"/>
        <v/>
      </c>
      <c r="G126" s="385" t="str">
        <f t="shared" si="68"/>
        <v/>
      </c>
      <c r="H126" s="389" t="str">
        <f t="shared" si="68"/>
        <v/>
      </c>
      <c r="I126" s="387" t="str">
        <f t="shared" si="68"/>
        <v/>
      </c>
      <c r="J126" s="385" t="str">
        <f t="shared" si="68"/>
        <v/>
      </c>
      <c r="K126" s="390" t="str">
        <f t="shared" si="68"/>
        <v/>
      </c>
      <c r="L126" s="387" t="str">
        <f t="shared" si="68"/>
        <v/>
      </c>
      <c r="M126" s="385" t="str">
        <f t="shared" si="68"/>
        <v/>
      </c>
      <c r="N126" s="385" t="str">
        <f t="shared" si="68"/>
        <v/>
      </c>
      <c r="O126" s="400" t="str">
        <f t="shared" si="68"/>
        <v/>
      </c>
    </row>
    <row r="127" spans="1:17" x14ac:dyDescent="0.2">
      <c r="A127" s="908"/>
      <c r="B127" s="394"/>
      <c r="C127" s="394"/>
      <c r="D127" s="381"/>
      <c r="E127" s="388"/>
      <c r="F127" s="381"/>
      <c r="G127" s="383"/>
      <c r="H127" s="388"/>
      <c r="I127" s="381"/>
      <c r="J127" s="383"/>
      <c r="K127" s="388"/>
      <c r="L127" s="381"/>
      <c r="M127" s="383"/>
      <c r="N127" s="383"/>
      <c r="O127" s="394"/>
    </row>
    <row r="128" spans="1:17" x14ac:dyDescent="0.2">
      <c r="A128" s="908">
        <v>36</v>
      </c>
      <c r="B128" s="909"/>
      <c r="C128" s="420"/>
      <c r="D128" s="421"/>
      <c r="E128" s="422"/>
      <c r="F128" s="421"/>
      <c r="G128" s="423"/>
      <c r="H128" s="424"/>
      <c r="I128" s="421"/>
      <c r="J128" s="425"/>
      <c r="K128" s="424"/>
      <c r="L128" s="421"/>
      <c r="M128" s="423"/>
      <c r="N128" s="425"/>
      <c r="O128" s="426"/>
      <c r="Q128" t="str">
        <f t="shared" ref="Q128" si="69">IF(AND(ISBLANK(B128), ISBLANK(C128)), "X", "")</f>
        <v>X</v>
      </c>
    </row>
    <row r="129" spans="1:18" x14ac:dyDescent="0.2">
      <c r="A129" s="908"/>
      <c r="B129" s="910"/>
      <c r="C129" s="404" t="s">
        <v>271</v>
      </c>
      <c r="D129" s="387" t="str">
        <f t="shared" ref="D129:O129" si="70">IF(D128="","",D128-D125)</f>
        <v/>
      </c>
      <c r="E129" s="392" t="str">
        <f t="shared" si="70"/>
        <v/>
      </c>
      <c r="F129" s="387" t="str">
        <f t="shared" si="70"/>
        <v/>
      </c>
      <c r="G129" s="385" t="str">
        <f t="shared" si="70"/>
        <v/>
      </c>
      <c r="H129" s="389" t="str">
        <f t="shared" si="70"/>
        <v/>
      </c>
      <c r="I129" s="387" t="str">
        <f t="shared" si="70"/>
        <v/>
      </c>
      <c r="J129" s="385" t="str">
        <f t="shared" si="70"/>
        <v/>
      </c>
      <c r="K129" s="390" t="str">
        <f t="shared" si="70"/>
        <v/>
      </c>
      <c r="L129" s="387" t="str">
        <f t="shared" si="70"/>
        <v/>
      </c>
      <c r="M129" s="385" t="str">
        <f t="shared" si="70"/>
        <v/>
      </c>
      <c r="N129" s="385" t="str">
        <f t="shared" si="70"/>
        <v/>
      </c>
      <c r="O129" s="400" t="str">
        <f t="shared" si="70"/>
        <v/>
      </c>
    </row>
    <row r="130" spans="1:18" x14ac:dyDescent="0.2">
      <c r="A130" s="908"/>
      <c r="B130" s="394"/>
      <c r="C130" s="394"/>
      <c r="D130" s="381"/>
      <c r="E130" s="388"/>
      <c r="F130" s="381"/>
      <c r="G130" s="383"/>
      <c r="H130" s="388"/>
      <c r="I130" s="381"/>
      <c r="J130" s="383"/>
      <c r="K130" s="388"/>
      <c r="L130" s="381"/>
      <c r="M130" s="383"/>
      <c r="N130" s="383"/>
      <c r="O130" s="394"/>
      <c r="R130" t="s">
        <v>273</v>
      </c>
    </row>
    <row r="131" spans="1:18" x14ac:dyDescent="0.2">
      <c r="A131" s="908">
        <v>37</v>
      </c>
      <c r="B131" s="909"/>
      <c r="C131" s="420"/>
      <c r="D131" s="421"/>
      <c r="E131" s="422"/>
      <c r="F131" s="421"/>
      <c r="G131" s="423"/>
      <c r="H131" s="424"/>
      <c r="I131" s="421"/>
      <c r="J131" s="425"/>
      <c r="K131" s="424"/>
      <c r="L131" s="421"/>
      <c r="M131" s="423"/>
      <c r="N131" s="425"/>
      <c r="O131" s="426"/>
      <c r="Q131" t="str">
        <f t="shared" ref="Q131" si="71">IF(AND(ISBLANK(B131), ISBLANK(C131)), "X", "")</f>
        <v>X</v>
      </c>
    </row>
    <row r="132" spans="1:18" x14ac:dyDescent="0.2">
      <c r="A132" s="908"/>
      <c r="B132" s="910"/>
      <c r="C132" s="404" t="s">
        <v>271</v>
      </c>
      <c r="D132" s="387" t="str">
        <f t="shared" ref="D132:O132" si="72">IF(D131="","",D131-D128)</f>
        <v/>
      </c>
      <c r="E132" s="392" t="str">
        <f t="shared" si="72"/>
        <v/>
      </c>
      <c r="F132" s="387" t="str">
        <f t="shared" si="72"/>
        <v/>
      </c>
      <c r="G132" s="385" t="str">
        <f t="shared" si="72"/>
        <v/>
      </c>
      <c r="H132" s="389" t="str">
        <f t="shared" si="72"/>
        <v/>
      </c>
      <c r="I132" s="387" t="str">
        <f t="shared" si="72"/>
        <v/>
      </c>
      <c r="J132" s="385" t="str">
        <f t="shared" si="72"/>
        <v/>
      </c>
      <c r="K132" s="390" t="str">
        <f t="shared" si="72"/>
        <v/>
      </c>
      <c r="L132" s="387" t="str">
        <f t="shared" si="72"/>
        <v/>
      </c>
      <c r="M132" s="385" t="str">
        <f t="shared" si="72"/>
        <v/>
      </c>
      <c r="N132" s="385" t="str">
        <f t="shared" si="72"/>
        <v/>
      </c>
      <c r="O132" s="400" t="str">
        <f t="shared" si="72"/>
        <v/>
      </c>
    </row>
    <row r="133" spans="1:18" x14ac:dyDescent="0.2">
      <c r="A133" s="908"/>
      <c r="B133" s="394"/>
      <c r="C133" s="394"/>
      <c r="D133" s="381"/>
      <c r="E133" s="388"/>
      <c r="F133" s="381"/>
      <c r="G133" s="383"/>
      <c r="H133" s="388"/>
      <c r="I133" s="381"/>
      <c r="J133" s="383"/>
      <c r="K133" s="388"/>
      <c r="L133" s="381"/>
      <c r="M133" s="383"/>
      <c r="N133" s="383"/>
      <c r="O133" s="394"/>
    </row>
    <row r="134" spans="1:18" x14ac:dyDescent="0.2">
      <c r="A134" s="908">
        <v>38</v>
      </c>
      <c r="B134" s="909"/>
      <c r="C134" s="420"/>
      <c r="D134" s="421"/>
      <c r="E134" s="422"/>
      <c r="F134" s="421"/>
      <c r="G134" s="423"/>
      <c r="H134" s="424"/>
      <c r="I134" s="421"/>
      <c r="J134" s="425"/>
      <c r="K134" s="424"/>
      <c r="L134" s="421"/>
      <c r="M134" s="423"/>
      <c r="N134" s="425"/>
      <c r="O134" s="426"/>
      <c r="Q134" t="str">
        <f t="shared" ref="Q134" si="73">IF(AND(ISBLANK(B134), ISBLANK(C134)), "X", "")</f>
        <v>X</v>
      </c>
    </row>
    <row r="135" spans="1:18" x14ac:dyDescent="0.2">
      <c r="A135" s="908"/>
      <c r="B135" s="910"/>
      <c r="C135" s="404" t="s">
        <v>271</v>
      </c>
      <c r="D135" s="387" t="str">
        <f t="shared" ref="D135:O135" si="74">IF(D134="","",D134-D131)</f>
        <v/>
      </c>
      <c r="E135" s="392" t="str">
        <f t="shared" si="74"/>
        <v/>
      </c>
      <c r="F135" s="387" t="str">
        <f t="shared" si="74"/>
        <v/>
      </c>
      <c r="G135" s="385" t="str">
        <f t="shared" si="74"/>
        <v/>
      </c>
      <c r="H135" s="389" t="str">
        <f t="shared" si="74"/>
        <v/>
      </c>
      <c r="I135" s="387" t="str">
        <f t="shared" si="74"/>
        <v/>
      </c>
      <c r="J135" s="385" t="str">
        <f t="shared" si="74"/>
        <v/>
      </c>
      <c r="K135" s="390" t="str">
        <f t="shared" si="74"/>
        <v/>
      </c>
      <c r="L135" s="387" t="str">
        <f t="shared" si="74"/>
        <v/>
      </c>
      <c r="M135" s="385" t="str">
        <f t="shared" si="74"/>
        <v/>
      </c>
      <c r="N135" s="385" t="str">
        <f t="shared" si="74"/>
        <v/>
      </c>
      <c r="O135" s="400" t="str">
        <f t="shared" si="74"/>
        <v/>
      </c>
    </row>
    <row r="136" spans="1:18" x14ac:dyDescent="0.2">
      <c r="A136" s="908"/>
      <c r="B136" s="394"/>
      <c r="C136" s="394"/>
      <c r="D136" s="381"/>
      <c r="E136" s="388"/>
      <c r="F136" s="381"/>
      <c r="G136" s="383"/>
      <c r="H136" s="388"/>
      <c r="I136" s="381"/>
      <c r="J136" s="383"/>
      <c r="K136" s="388"/>
      <c r="L136" s="381"/>
      <c r="M136" s="383"/>
      <c r="N136" s="383"/>
      <c r="O136" s="394"/>
    </row>
    <row r="137" spans="1:18" x14ac:dyDescent="0.2">
      <c r="A137" s="908">
        <v>39</v>
      </c>
      <c r="B137" s="909"/>
      <c r="C137" s="420"/>
      <c r="D137" s="421"/>
      <c r="E137" s="422"/>
      <c r="F137" s="421"/>
      <c r="G137" s="423"/>
      <c r="H137" s="424"/>
      <c r="I137" s="421"/>
      <c r="J137" s="425"/>
      <c r="K137" s="424"/>
      <c r="L137" s="421"/>
      <c r="M137" s="423"/>
      <c r="N137" s="425"/>
      <c r="O137" s="426"/>
      <c r="Q137" t="str">
        <f t="shared" ref="Q137" si="75">IF(AND(ISBLANK(B137), ISBLANK(C137)), "X", "")</f>
        <v>X</v>
      </c>
    </row>
    <row r="138" spans="1:18" x14ac:dyDescent="0.2">
      <c r="A138" s="908"/>
      <c r="B138" s="910"/>
      <c r="C138" s="404" t="s">
        <v>271</v>
      </c>
      <c r="D138" s="387" t="str">
        <f t="shared" ref="D138:O138" si="76">IF(D137="","",D137-D134)</f>
        <v/>
      </c>
      <c r="E138" s="392" t="str">
        <f t="shared" si="76"/>
        <v/>
      </c>
      <c r="F138" s="387" t="str">
        <f t="shared" si="76"/>
        <v/>
      </c>
      <c r="G138" s="385" t="str">
        <f t="shared" si="76"/>
        <v/>
      </c>
      <c r="H138" s="389" t="str">
        <f t="shared" si="76"/>
        <v/>
      </c>
      <c r="I138" s="387" t="str">
        <f t="shared" si="76"/>
        <v/>
      </c>
      <c r="J138" s="385" t="str">
        <f t="shared" si="76"/>
        <v/>
      </c>
      <c r="K138" s="390" t="str">
        <f t="shared" si="76"/>
        <v/>
      </c>
      <c r="L138" s="387" t="str">
        <f t="shared" si="76"/>
        <v/>
      </c>
      <c r="M138" s="385" t="str">
        <f t="shared" si="76"/>
        <v/>
      </c>
      <c r="N138" s="385" t="str">
        <f t="shared" si="76"/>
        <v/>
      </c>
      <c r="O138" s="400" t="str">
        <f t="shared" si="76"/>
        <v/>
      </c>
    </row>
    <row r="139" spans="1:18" x14ac:dyDescent="0.2">
      <c r="A139" s="908"/>
      <c r="B139" s="394"/>
      <c r="C139" s="394"/>
      <c r="D139" s="381"/>
      <c r="E139" s="388"/>
      <c r="F139" s="381"/>
      <c r="G139" s="383"/>
      <c r="H139" s="388"/>
      <c r="I139" s="381"/>
      <c r="J139" s="383"/>
      <c r="K139" s="388"/>
      <c r="L139" s="381"/>
      <c r="M139" s="383"/>
      <c r="N139" s="383"/>
      <c r="O139" s="394"/>
    </row>
    <row r="140" spans="1:18" x14ac:dyDescent="0.2">
      <c r="A140" s="908">
        <v>40</v>
      </c>
      <c r="B140" s="909"/>
      <c r="C140" s="420"/>
      <c r="D140" s="421"/>
      <c r="E140" s="422"/>
      <c r="F140" s="421"/>
      <c r="G140" s="423"/>
      <c r="H140" s="424"/>
      <c r="I140" s="421"/>
      <c r="J140" s="425"/>
      <c r="K140" s="424"/>
      <c r="L140" s="421"/>
      <c r="M140" s="423"/>
      <c r="N140" s="425"/>
      <c r="O140" s="426"/>
      <c r="Q140" t="str">
        <f t="shared" ref="Q140" si="77">IF(AND(ISBLANK(B140), ISBLANK(C140)), "X", "")</f>
        <v>X</v>
      </c>
    </row>
    <row r="141" spans="1:18" x14ac:dyDescent="0.2">
      <c r="A141" s="908"/>
      <c r="B141" s="910"/>
      <c r="C141" s="404" t="s">
        <v>271</v>
      </c>
      <c r="D141" s="387" t="str">
        <f t="shared" ref="D141:O141" si="78">IF(D140="","",D140-D137)</f>
        <v/>
      </c>
      <c r="E141" s="392" t="str">
        <f t="shared" si="78"/>
        <v/>
      </c>
      <c r="F141" s="387" t="str">
        <f t="shared" si="78"/>
        <v/>
      </c>
      <c r="G141" s="385" t="str">
        <f t="shared" si="78"/>
        <v/>
      </c>
      <c r="H141" s="389" t="str">
        <f t="shared" si="78"/>
        <v/>
      </c>
      <c r="I141" s="387" t="str">
        <f t="shared" si="78"/>
        <v/>
      </c>
      <c r="J141" s="385" t="str">
        <f t="shared" si="78"/>
        <v/>
      </c>
      <c r="K141" s="390" t="str">
        <f t="shared" si="78"/>
        <v/>
      </c>
      <c r="L141" s="387" t="str">
        <f t="shared" si="78"/>
        <v/>
      </c>
      <c r="M141" s="385" t="str">
        <f t="shared" si="78"/>
        <v/>
      </c>
      <c r="N141" s="385" t="str">
        <f t="shared" si="78"/>
        <v/>
      </c>
      <c r="O141" s="400" t="str">
        <f t="shared" si="78"/>
        <v/>
      </c>
    </row>
    <row r="142" spans="1:18" x14ac:dyDescent="0.2">
      <c r="A142" s="908"/>
      <c r="B142" s="394"/>
      <c r="C142" s="394"/>
      <c r="D142" s="381"/>
      <c r="E142" s="388"/>
      <c r="F142" s="381"/>
      <c r="G142" s="383"/>
      <c r="H142" s="388"/>
      <c r="I142" s="381"/>
      <c r="J142" s="383"/>
      <c r="K142" s="388"/>
      <c r="L142" s="381"/>
      <c r="M142" s="383"/>
      <c r="N142" s="383"/>
      <c r="O142" s="394"/>
    </row>
    <row r="143" spans="1:18" x14ac:dyDescent="0.2">
      <c r="A143" s="908">
        <v>41</v>
      </c>
      <c r="B143" s="909"/>
      <c r="C143" s="420"/>
      <c r="D143" s="421"/>
      <c r="E143" s="422"/>
      <c r="F143" s="421"/>
      <c r="G143" s="423"/>
      <c r="H143" s="424"/>
      <c r="I143" s="421"/>
      <c r="J143" s="425"/>
      <c r="K143" s="424"/>
      <c r="L143" s="421"/>
      <c r="M143" s="423"/>
      <c r="N143" s="425"/>
      <c r="O143" s="426"/>
      <c r="Q143" t="str">
        <f t="shared" ref="Q143" si="79">IF(AND(ISBLANK(B143), ISBLANK(C143)), "X", "")</f>
        <v>X</v>
      </c>
    </row>
    <row r="144" spans="1:18" x14ac:dyDescent="0.2">
      <c r="A144" s="908"/>
      <c r="B144" s="910"/>
      <c r="C144" s="404" t="s">
        <v>271</v>
      </c>
      <c r="D144" s="387" t="str">
        <f t="shared" ref="D144:O144" si="80">IF(D143="","",D143-D140)</f>
        <v/>
      </c>
      <c r="E144" s="392" t="str">
        <f t="shared" si="80"/>
        <v/>
      </c>
      <c r="F144" s="387" t="str">
        <f t="shared" si="80"/>
        <v/>
      </c>
      <c r="G144" s="385" t="str">
        <f t="shared" si="80"/>
        <v/>
      </c>
      <c r="H144" s="389" t="str">
        <f t="shared" si="80"/>
        <v/>
      </c>
      <c r="I144" s="387" t="str">
        <f t="shared" si="80"/>
        <v/>
      </c>
      <c r="J144" s="385" t="str">
        <f t="shared" si="80"/>
        <v/>
      </c>
      <c r="K144" s="390" t="str">
        <f t="shared" si="80"/>
        <v/>
      </c>
      <c r="L144" s="387" t="str">
        <f t="shared" si="80"/>
        <v/>
      </c>
      <c r="M144" s="385" t="str">
        <f t="shared" si="80"/>
        <v/>
      </c>
      <c r="N144" s="385" t="str">
        <f t="shared" si="80"/>
        <v/>
      </c>
      <c r="O144" s="400" t="str">
        <f t="shared" si="80"/>
        <v/>
      </c>
    </row>
    <row r="145" spans="1:17" x14ac:dyDescent="0.2">
      <c r="A145" s="908"/>
      <c r="B145" s="394"/>
      <c r="C145" s="394"/>
      <c r="D145" s="381"/>
      <c r="E145" s="388"/>
      <c r="F145" s="381"/>
      <c r="G145" s="383"/>
      <c r="H145" s="388"/>
      <c r="I145" s="381"/>
      <c r="J145" s="383"/>
      <c r="K145" s="388"/>
      <c r="L145" s="381"/>
      <c r="M145" s="383"/>
      <c r="N145" s="383"/>
      <c r="O145" s="394"/>
    </row>
    <row r="146" spans="1:17" x14ac:dyDescent="0.2">
      <c r="A146" s="908">
        <v>42</v>
      </c>
      <c r="B146" s="909"/>
      <c r="C146" s="420"/>
      <c r="D146" s="421"/>
      <c r="E146" s="422"/>
      <c r="F146" s="421"/>
      <c r="G146" s="423"/>
      <c r="H146" s="424"/>
      <c r="I146" s="421"/>
      <c r="J146" s="425"/>
      <c r="K146" s="424"/>
      <c r="L146" s="421"/>
      <c r="M146" s="423"/>
      <c r="N146" s="425"/>
      <c r="O146" s="426"/>
      <c r="Q146" t="str">
        <f t="shared" ref="Q146" si="81">IF(AND(ISBLANK(B146), ISBLANK(C146)), "X", "")</f>
        <v>X</v>
      </c>
    </row>
    <row r="147" spans="1:17" x14ac:dyDescent="0.2">
      <c r="A147" s="908"/>
      <c r="B147" s="910"/>
      <c r="C147" s="404" t="s">
        <v>271</v>
      </c>
      <c r="D147" s="387" t="str">
        <f t="shared" ref="D147:O147" si="82">IF(D146="","",D146-D143)</f>
        <v/>
      </c>
      <c r="E147" s="392" t="str">
        <f t="shared" si="82"/>
        <v/>
      </c>
      <c r="F147" s="387" t="str">
        <f t="shared" si="82"/>
        <v/>
      </c>
      <c r="G147" s="385" t="str">
        <f t="shared" si="82"/>
        <v/>
      </c>
      <c r="H147" s="389" t="str">
        <f t="shared" si="82"/>
        <v/>
      </c>
      <c r="I147" s="387" t="str">
        <f t="shared" si="82"/>
        <v/>
      </c>
      <c r="J147" s="385" t="str">
        <f t="shared" si="82"/>
        <v/>
      </c>
      <c r="K147" s="390" t="str">
        <f t="shared" si="82"/>
        <v/>
      </c>
      <c r="L147" s="387" t="str">
        <f t="shared" si="82"/>
        <v/>
      </c>
      <c r="M147" s="385" t="str">
        <f t="shared" si="82"/>
        <v/>
      </c>
      <c r="N147" s="385" t="str">
        <f t="shared" si="82"/>
        <v/>
      </c>
      <c r="O147" s="400" t="str">
        <f t="shared" si="82"/>
        <v/>
      </c>
    </row>
    <row r="148" spans="1:17" x14ac:dyDescent="0.2">
      <c r="A148" s="908"/>
      <c r="B148" s="394"/>
      <c r="C148" s="394"/>
      <c r="D148" s="381"/>
      <c r="E148" s="388"/>
      <c r="F148" s="381"/>
      <c r="G148" s="383"/>
      <c r="H148" s="388"/>
      <c r="I148" s="381"/>
      <c r="J148" s="383"/>
      <c r="K148" s="388"/>
      <c r="L148" s="381"/>
      <c r="M148" s="383"/>
      <c r="N148" s="383"/>
      <c r="O148" s="394"/>
    </row>
    <row r="149" spans="1:17" x14ac:dyDescent="0.2">
      <c r="A149" s="908">
        <v>43</v>
      </c>
      <c r="B149" s="909"/>
      <c r="C149" s="420"/>
      <c r="D149" s="421"/>
      <c r="E149" s="422"/>
      <c r="F149" s="421"/>
      <c r="G149" s="423"/>
      <c r="H149" s="424"/>
      <c r="I149" s="421"/>
      <c r="J149" s="425"/>
      <c r="K149" s="424"/>
      <c r="L149" s="421"/>
      <c r="M149" s="423"/>
      <c r="N149" s="425"/>
      <c r="O149" s="426"/>
      <c r="Q149" t="str">
        <f t="shared" ref="Q149" si="83">IF(AND(ISBLANK(B149), ISBLANK(C149)), "X", "")</f>
        <v>X</v>
      </c>
    </row>
    <row r="150" spans="1:17" x14ac:dyDescent="0.2">
      <c r="A150" s="908"/>
      <c r="B150" s="910"/>
      <c r="C150" s="404" t="s">
        <v>271</v>
      </c>
      <c r="D150" s="387" t="str">
        <f t="shared" ref="D150:O150" si="84">IF(D149="","",D149-D146)</f>
        <v/>
      </c>
      <c r="E150" s="392" t="str">
        <f t="shared" si="84"/>
        <v/>
      </c>
      <c r="F150" s="387" t="str">
        <f t="shared" si="84"/>
        <v/>
      </c>
      <c r="G150" s="385" t="str">
        <f t="shared" si="84"/>
        <v/>
      </c>
      <c r="H150" s="389" t="str">
        <f t="shared" si="84"/>
        <v/>
      </c>
      <c r="I150" s="387" t="str">
        <f t="shared" si="84"/>
        <v/>
      </c>
      <c r="J150" s="385" t="str">
        <f t="shared" si="84"/>
        <v/>
      </c>
      <c r="K150" s="390" t="str">
        <f t="shared" si="84"/>
        <v/>
      </c>
      <c r="L150" s="387" t="str">
        <f t="shared" si="84"/>
        <v/>
      </c>
      <c r="M150" s="385" t="str">
        <f t="shared" si="84"/>
        <v/>
      </c>
      <c r="N150" s="385" t="str">
        <f t="shared" si="84"/>
        <v/>
      </c>
      <c r="O150" s="400" t="str">
        <f t="shared" si="84"/>
        <v/>
      </c>
    </row>
    <row r="151" spans="1:17" x14ac:dyDescent="0.2">
      <c r="A151" s="908"/>
      <c r="B151" s="394"/>
      <c r="C151" s="394"/>
      <c r="D151" s="381"/>
      <c r="E151" s="388"/>
      <c r="F151" s="381"/>
      <c r="G151" s="383"/>
      <c r="H151" s="388"/>
      <c r="I151" s="381"/>
      <c r="J151" s="383"/>
      <c r="K151" s="388"/>
      <c r="L151" s="381"/>
      <c r="M151" s="383"/>
      <c r="N151" s="383"/>
      <c r="O151" s="394"/>
    </row>
    <row r="152" spans="1:17" x14ac:dyDescent="0.2">
      <c r="A152" s="908">
        <v>44</v>
      </c>
      <c r="B152" s="909"/>
      <c r="C152" s="420"/>
      <c r="D152" s="421"/>
      <c r="E152" s="422"/>
      <c r="F152" s="421"/>
      <c r="G152" s="423"/>
      <c r="H152" s="424"/>
      <c r="I152" s="421"/>
      <c r="J152" s="425"/>
      <c r="K152" s="424"/>
      <c r="L152" s="421"/>
      <c r="M152" s="423"/>
      <c r="N152" s="425"/>
      <c r="O152" s="426"/>
      <c r="Q152" t="str">
        <f t="shared" ref="Q152" si="85">IF(AND(ISBLANK(B152), ISBLANK(C152)), "X", "")</f>
        <v>X</v>
      </c>
    </row>
    <row r="153" spans="1:17" x14ac:dyDescent="0.2">
      <c r="A153" s="908"/>
      <c r="B153" s="910"/>
      <c r="C153" s="404" t="s">
        <v>271</v>
      </c>
      <c r="D153" s="387" t="str">
        <f t="shared" ref="D153:O153" si="86">IF(D152="","",D152-D149)</f>
        <v/>
      </c>
      <c r="E153" s="392" t="str">
        <f t="shared" si="86"/>
        <v/>
      </c>
      <c r="F153" s="387" t="str">
        <f t="shared" si="86"/>
        <v/>
      </c>
      <c r="G153" s="385" t="str">
        <f t="shared" si="86"/>
        <v/>
      </c>
      <c r="H153" s="389" t="str">
        <f t="shared" si="86"/>
        <v/>
      </c>
      <c r="I153" s="387" t="str">
        <f t="shared" si="86"/>
        <v/>
      </c>
      <c r="J153" s="385" t="str">
        <f t="shared" si="86"/>
        <v/>
      </c>
      <c r="K153" s="390" t="str">
        <f t="shared" si="86"/>
        <v/>
      </c>
      <c r="L153" s="387" t="str">
        <f t="shared" si="86"/>
        <v/>
      </c>
      <c r="M153" s="385" t="str">
        <f t="shared" si="86"/>
        <v/>
      </c>
      <c r="N153" s="385" t="str">
        <f t="shared" si="86"/>
        <v/>
      </c>
      <c r="O153" s="400" t="str">
        <f t="shared" si="86"/>
        <v/>
      </c>
    </row>
    <row r="154" spans="1:17" x14ac:dyDescent="0.2">
      <c r="A154" s="908"/>
      <c r="B154" s="394"/>
      <c r="C154" s="394"/>
      <c r="D154" s="381"/>
      <c r="E154" s="388"/>
      <c r="F154" s="381"/>
      <c r="G154" s="383"/>
      <c r="H154" s="388"/>
      <c r="I154" s="381"/>
      <c r="J154" s="383"/>
      <c r="K154" s="388"/>
      <c r="L154" s="381"/>
      <c r="M154" s="383"/>
      <c r="N154" s="383"/>
      <c r="O154" s="394"/>
    </row>
    <row r="155" spans="1:17" x14ac:dyDescent="0.2">
      <c r="A155" s="908">
        <v>45</v>
      </c>
      <c r="B155" s="909"/>
      <c r="C155" s="420"/>
      <c r="D155" s="421"/>
      <c r="E155" s="422"/>
      <c r="F155" s="421"/>
      <c r="G155" s="423"/>
      <c r="H155" s="424"/>
      <c r="I155" s="421"/>
      <c r="J155" s="425"/>
      <c r="K155" s="424"/>
      <c r="L155" s="421"/>
      <c r="M155" s="423"/>
      <c r="N155" s="425"/>
      <c r="O155" s="426"/>
      <c r="Q155" t="str">
        <f t="shared" ref="Q155" si="87">IF(AND(ISBLANK(B155), ISBLANK(C155)), "X", "")</f>
        <v>X</v>
      </c>
    </row>
    <row r="156" spans="1:17" x14ac:dyDescent="0.2">
      <c r="A156" s="908"/>
      <c r="B156" s="910"/>
      <c r="C156" s="404" t="s">
        <v>271</v>
      </c>
      <c r="D156" s="387" t="str">
        <f t="shared" ref="D156:O156" si="88">IF(D155="","",D155-D152)</f>
        <v/>
      </c>
      <c r="E156" s="392" t="str">
        <f t="shared" si="88"/>
        <v/>
      </c>
      <c r="F156" s="387" t="str">
        <f t="shared" si="88"/>
        <v/>
      </c>
      <c r="G156" s="385" t="str">
        <f t="shared" si="88"/>
        <v/>
      </c>
      <c r="H156" s="389" t="str">
        <f t="shared" si="88"/>
        <v/>
      </c>
      <c r="I156" s="387" t="str">
        <f t="shared" si="88"/>
        <v/>
      </c>
      <c r="J156" s="385" t="str">
        <f t="shared" si="88"/>
        <v/>
      </c>
      <c r="K156" s="390" t="str">
        <f t="shared" si="88"/>
        <v/>
      </c>
      <c r="L156" s="387" t="str">
        <f t="shared" si="88"/>
        <v/>
      </c>
      <c r="M156" s="385" t="str">
        <f t="shared" si="88"/>
        <v/>
      </c>
      <c r="N156" s="385" t="str">
        <f t="shared" si="88"/>
        <v/>
      </c>
      <c r="O156" s="400" t="str">
        <f t="shared" si="88"/>
        <v/>
      </c>
    </row>
    <row r="157" spans="1:17" x14ac:dyDescent="0.2">
      <c r="A157" s="908"/>
      <c r="B157" s="394"/>
      <c r="C157" s="394"/>
      <c r="D157" s="381"/>
      <c r="E157" s="388"/>
      <c r="F157" s="381"/>
      <c r="G157" s="383"/>
      <c r="H157" s="388"/>
      <c r="I157" s="381"/>
      <c r="J157" s="383"/>
      <c r="K157" s="388"/>
      <c r="L157" s="381"/>
      <c r="M157" s="383"/>
      <c r="N157" s="383"/>
      <c r="O157" s="394"/>
    </row>
    <row r="158" spans="1:17" x14ac:dyDescent="0.2">
      <c r="A158" s="908">
        <v>46</v>
      </c>
      <c r="B158" s="909"/>
      <c r="C158" s="420"/>
      <c r="D158" s="421"/>
      <c r="E158" s="422"/>
      <c r="F158" s="421"/>
      <c r="G158" s="423"/>
      <c r="H158" s="424"/>
      <c r="I158" s="421"/>
      <c r="J158" s="425"/>
      <c r="K158" s="424"/>
      <c r="L158" s="421"/>
      <c r="M158" s="423"/>
      <c r="N158" s="425"/>
      <c r="O158" s="426"/>
      <c r="Q158" t="str">
        <f t="shared" ref="Q158" si="89">IF(AND(ISBLANK(B158), ISBLANK(C158)), "X", "")</f>
        <v>X</v>
      </c>
    </row>
    <row r="159" spans="1:17" x14ac:dyDescent="0.2">
      <c r="A159" s="908"/>
      <c r="B159" s="910"/>
      <c r="C159" s="404" t="s">
        <v>271</v>
      </c>
      <c r="D159" s="387" t="str">
        <f t="shared" ref="D159:O159" si="90">IF(D158="","",D158-D155)</f>
        <v/>
      </c>
      <c r="E159" s="392" t="str">
        <f t="shared" si="90"/>
        <v/>
      </c>
      <c r="F159" s="387" t="str">
        <f t="shared" si="90"/>
        <v/>
      </c>
      <c r="G159" s="385" t="str">
        <f t="shared" si="90"/>
        <v/>
      </c>
      <c r="H159" s="389" t="str">
        <f t="shared" si="90"/>
        <v/>
      </c>
      <c r="I159" s="387" t="str">
        <f t="shared" si="90"/>
        <v/>
      </c>
      <c r="J159" s="385" t="str">
        <f t="shared" si="90"/>
        <v/>
      </c>
      <c r="K159" s="390" t="str">
        <f t="shared" si="90"/>
        <v/>
      </c>
      <c r="L159" s="387" t="str">
        <f t="shared" si="90"/>
        <v/>
      </c>
      <c r="M159" s="385" t="str">
        <f t="shared" si="90"/>
        <v/>
      </c>
      <c r="N159" s="385" t="str">
        <f t="shared" si="90"/>
        <v/>
      </c>
      <c r="O159" s="400" t="str">
        <f t="shared" si="90"/>
        <v/>
      </c>
    </row>
    <row r="160" spans="1:17" x14ac:dyDescent="0.2">
      <c r="A160" s="908"/>
      <c r="B160" s="394"/>
      <c r="C160" s="394"/>
      <c r="D160" s="381"/>
      <c r="E160" s="388"/>
      <c r="F160" s="381"/>
      <c r="G160" s="383"/>
      <c r="H160" s="388"/>
      <c r="I160" s="381"/>
      <c r="J160" s="383"/>
      <c r="K160" s="388"/>
      <c r="L160" s="381"/>
      <c r="M160" s="383"/>
      <c r="N160" s="383"/>
      <c r="O160" s="394"/>
    </row>
    <row r="161" spans="1:17" x14ac:dyDescent="0.2">
      <c r="A161" s="908">
        <v>47</v>
      </c>
      <c r="B161" s="909"/>
      <c r="C161" s="420"/>
      <c r="D161" s="421"/>
      <c r="E161" s="422"/>
      <c r="F161" s="421"/>
      <c r="G161" s="423"/>
      <c r="H161" s="424"/>
      <c r="I161" s="421"/>
      <c r="J161" s="425"/>
      <c r="K161" s="424"/>
      <c r="L161" s="421"/>
      <c r="M161" s="423"/>
      <c r="N161" s="425"/>
      <c r="O161" s="426"/>
      <c r="Q161" t="str">
        <f t="shared" ref="Q161" si="91">IF(AND(ISBLANK(B161), ISBLANK(C161)), "X", "")</f>
        <v>X</v>
      </c>
    </row>
    <row r="162" spans="1:17" x14ac:dyDescent="0.2">
      <c r="A162" s="908"/>
      <c r="B162" s="910"/>
      <c r="C162" s="404" t="s">
        <v>271</v>
      </c>
      <c r="D162" s="387" t="str">
        <f t="shared" ref="D162:O162" si="92">IF(D161="","",D161-D158)</f>
        <v/>
      </c>
      <c r="E162" s="392" t="str">
        <f t="shared" si="92"/>
        <v/>
      </c>
      <c r="F162" s="387" t="str">
        <f t="shared" si="92"/>
        <v/>
      </c>
      <c r="G162" s="385" t="str">
        <f t="shared" si="92"/>
        <v/>
      </c>
      <c r="H162" s="389" t="str">
        <f t="shared" si="92"/>
        <v/>
      </c>
      <c r="I162" s="387" t="str">
        <f t="shared" si="92"/>
        <v/>
      </c>
      <c r="J162" s="385" t="str">
        <f t="shared" si="92"/>
        <v/>
      </c>
      <c r="K162" s="390" t="str">
        <f t="shared" si="92"/>
        <v/>
      </c>
      <c r="L162" s="387" t="str">
        <f t="shared" si="92"/>
        <v/>
      </c>
      <c r="M162" s="385" t="str">
        <f t="shared" si="92"/>
        <v/>
      </c>
      <c r="N162" s="385" t="str">
        <f t="shared" si="92"/>
        <v/>
      </c>
      <c r="O162" s="400" t="str">
        <f t="shared" si="92"/>
        <v/>
      </c>
    </row>
    <row r="163" spans="1:17" x14ac:dyDescent="0.2">
      <c r="A163" s="908"/>
      <c r="B163" s="394"/>
      <c r="C163" s="394"/>
      <c r="D163" s="381"/>
      <c r="E163" s="388"/>
      <c r="F163" s="381"/>
      <c r="G163" s="383"/>
      <c r="H163" s="388"/>
      <c r="I163" s="381"/>
      <c r="J163" s="383"/>
      <c r="K163" s="388"/>
      <c r="L163" s="381"/>
      <c r="M163" s="383"/>
      <c r="N163" s="383"/>
      <c r="O163" s="394"/>
    </row>
    <row r="164" spans="1:17" x14ac:dyDescent="0.2">
      <c r="A164" s="908">
        <v>48</v>
      </c>
      <c r="B164" s="909"/>
      <c r="C164" s="420"/>
      <c r="D164" s="421"/>
      <c r="E164" s="422"/>
      <c r="F164" s="421"/>
      <c r="G164" s="423"/>
      <c r="H164" s="424"/>
      <c r="I164" s="421"/>
      <c r="J164" s="425"/>
      <c r="K164" s="424"/>
      <c r="L164" s="421"/>
      <c r="M164" s="423"/>
      <c r="N164" s="425"/>
      <c r="O164" s="426"/>
      <c r="Q164" t="str">
        <f t="shared" ref="Q164" si="93">IF(AND(ISBLANK(B164), ISBLANK(C164)), "X", "")</f>
        <v>X</v>
      </c>
    </row>
    <row r="165" spans="1:17" x14ac:dyDescent="0.2">
      <c r="A165" s="908"/>
      <c r="B165" s="910"/>
      <c r="C165" s="404" t="s">
        <v>271</v>
      </c>
      <c r="D165" s="387" t="str">
        <f t="shared" ref="D165:O165" si="94">IF(D164="","",D164-D161)</f>
        <v/>
      </c>
      <c r="E165" s="392" t="str">
        <f t="shared" si="94"/>
        <v/>
      </c>
      <c r="F165" s="387" t="str">
        <f t="shared" si="94"/>
        <v/>
      </c>
      <c r="G165" s="385" t="str">
        <f t="shared" si="94"/>
        <v/>
      </c>
      <c r="H165" s="389" t="str">
        <f t="shared" si="94"/>
        <v/>
      </c>
      <c r="I165" s="387" t="str">
        <f t="shared" si="94"/>
        <v/>
      </c>
      <c r="J165" s="385" t="str">
        <f t="shared" si="94"/>
        <v/>
      </c>
      <c r="K165" s="390" t="str">
        <f t="shared" si="94"/>
        <v/>
      </c>
      <c r="L165" s="387" t="str">
        <f t="shared" si="94"/>
        <v/>
      </c>
      <c r="M165" s="385" t="str">
        <f t="shared" si="94"/>
        <v/>
      </c>
      <c r="N165" s="385" t="str">
        <f t="shared" si="94"/>
        <v/>
      </c>
      <c r="O165" s="400" t="str">
        <f t="shared" si="94"/>
        <v/>
      </c>
    </row>
    <row r="166" spans="1:17" x14ac:dyDescent="0.2">
      <c r="A166" s="908"/>
      <c r="B166" s="394"/>
      <c r="C166" s="394"/>
      <c r="D166" s="381"/>
      <c r="E166" s="388"/>
      <c r="F166" s="381"/>
      <c r="G166" s="383"/>
      <c r="H166" s="388"/>
      <c r="I166" s="381"/>
      <c r="J166" s="383"/>
      <c r="K166" s="388"/>
      <c r="L166" s="381"/>
      <c r="M166" s="383"/>
      <c r="N166" s="383"/>
      <c r="O166" s="394"/>
    </row>
    <row r="167" spans="1:17" x14ac:dyDescent="0.2">
      <c r="A167" s="908">
        <v>49</v>
      </c>
      <c r="B167" s="909"/>
      <c r="C167" s="420"/>
      <c r="D167" s="421"/>
      <c r="E167" s="422"/>
      <c r="F167" s="421"/>
      <c r="G167" s="423"/>
      <c r="H167" s="424"/>
      <c r="I167" s="421"/>
      <c r="J167" s="425"/>
      <c r="K167" s="424"/>
      <c r="L167" s="421"/>
      <c r="M167" s="423"/>
      <c r="N167" s="425"/>
      <c r="O167" s="426"/>
      <c r="Q167" t="str">
        <f t="shared" ref="Q167" si="95">IF(AND(ISBLANK(B167), ISBLANK(C167)), "X", "")</f>
        <v>X</v>
      </c>
    </row>
    <row r="168" spans="1:17" x14ac:dyDescent="0.2">
      <c r="A168" s="908"/>
      <c r="B168" s="910"/>
      <c r="C168" s="404" t="s">
        <v>271</v>
      </c>
      <c r="D168" s="387" t="str">
        <f t="shared" ref="D168:O168" si="96">IF(D167="","",D167-D164)</f>
        <v/>
      </c>
      <c r="E168" s="392" t="str">
        <f t="shared" si="96"/>
        <v/>
      </c>
      <c r="F168" s="387" t="str">
        <f t="shared" si="96"/>
        <v/>
      </c>
      <c r="G168" s="385" t="str">
        <f t="shared" si="96"/>
        <v/>
      </c>
      <c r="H168" s="389" t="str">
        <f t="shared" si="96"/>
        <v/>
      </c>
      <c r="I168" s="387" t="str">
        <f t="shared" si="96"/>
        <v/>
      </c>
      <c r="J168" s="385" t="str">
        <f t="shared" si="96"/>
        <v/>
      </c>
      <c r="K168" s="390" t="str">
        <f t="shared" si="96"/>
        <v/>
      </c>
      <c r="L168" s="387" t="str">
        <f t="shared" si="96"/>
        <v/>
      </c>
      <c r="M168" s="385" t="str">
        <f t="shared" si="96"/>
        <v/>
      </c>
      <c r="N168" s="385" t="str">
        <f t="shared" si="96"/>
        <v/>
      </c>
      <c r="O168" s="400" t="str">
        <f t="shared" si="96"/>
        <v/>
      </c>
    </row>
    <row r="169" spans="1:17" x14ac:dyDescent="0.2">
      <c r="A169" s="908"/>
      <c r="B169" s="394"/>
      <c r="C169" s="394"/>
      <c r="D169" s="381"/>
      <c r="E169" s="388"/>
      <c r="F169" s="381"/>
      <c r="G169" s="383"/>
      <c r="H169" s="388"/>
      <c r="I169" s="381"/>
      <c r="J169" s="383"/>
      <c r="K169" s="388"/>
      <c r="L169" s="381"/>
      <c r="M169" s="383"/>
      <c r="N169" s="383"/>
      <c r="O169" s="394"/>
    </row>
    <row r="170" spans="1:17" x14ac:dyDescent="0.2">
      <c r="A170" s="908">
        <v>50</v>
      </c>
      <c r="B170" s="909"/>
      <c r="C170" s="420"/>
      <c r="D170" s="421"/>
      <c r="E170" s="422"/>
      <c r="F170" s="421"/>
      <c r="G170" s="423"/>
      <c r="H170" s="424"/>
      <c r="I170" s="421"/>
      <c r="J170" s="425"/>
      <c r="K170" s="424"/>
      <c r="L170" s="421"/>
      <c r="M170" s="423"/>
      <c r="N170" s="425"/>
      <c r="O170" s="426"/>
      <c r="Q170" t="str">
        <f t="shared" ref="Q170" si="97">IF(AND(ISBLANK(B170), ISBLANK(C170)), "X", "")</f>
        <v>X</v>
      </c>
    </row>
    <row r="171" spans="1:17" x14ac:dyDescent="0.2">
      <c r="A171" s="908"/>
      <c r="B171" s="910"/>
      <c r="C171" s="404" t="s">
        <v>271</v>
      </c>
      <c r="D171" s="387" t="str">
        <f t="shared" ref="D171:O171" si="98">IF(D170="","",D170-D167)</f>
        <v/>
      </c>
      <c r="E171" s="392" t="str">
        <f t="shared" si="98"/>
        <v/>
      </c>
      <c r="F171" s="387" t="str">
        <f t="shared" si="98"/>
        <v/>
      </c>
      <c r="G171" s="385" t="str">
        <f t="shared" si="98"/>
        <v/>
      </c>
      <c r="H171" s="389" t="str">
        <f t="shared" si="98"/>
        <v/>
      </c>
      <c r="I171" s="387" t="str">
        <f t="shared" si="98"/>
        <v/>
      </c>
      <c r="J171" s="385" t="str">
        <f t="shared" si="98"/>
        <v/>
      </c>
      <c r="K171" s="390" t="str">
        <f t="shared" si="98"/>
        <v/>
      </c>
      <c r="L171" s="387" t="str">
        <f t="shared" si="98"/>
        <v/>
      </c>
      <c r="M171" s="385" t="str">
        <f t="shared" si="98"/>
        <v/>
      </c>
      <c r="N171" s="385" t="str">
        <f t="shared" si="98"/>
        <v/>
      </c>
      <c r="O171" s="400" t="str">
        <f t="shared" si="98"/>
        <v/>
      </c>
    </row>
    <row r="172" spans="1:17" x14ac:dyDescent="0.2">
      <c r="A172" s="908"/>
      <c r="B172" s="394"/>
      <c r="C172" s="394"/>
      <c r="D172" s="381"/>
      <c r="E172" s="388"/>
      <c r="F172" s="381"/>
      <c r="G172" s="383"/>
      <c r="H172" s="388"/>
      <c r="I172" s="381"/>
      <c r="J172" s="383"/>
      <c r="K172" s="388"/>
      <c r="L172" s="381"/>
      <c r="M172" s="383"/>
      <c r="N172" s="383"/>
      <c r="O172" s="394"/>
    </row>
    <row r="173" spans="1:17" x14ac:dyDescent="0.2">
      <c r="A173" s="908">
        <v>51</v>
      </c>
      <c r="B173" s="909"/>
      <c r="C173" s="420"/>
      <c r="D173" s="421"/>
      <c r="E173" s="422"/>
      <c r="F173" s="421"/>
      <c r="G173" s="423"/>
      <c r="H173" s="424"/>
      <c r="I173" s="421"/>
      <c r="J173" s="425"/>
      <c r="K173" s="424"/>
      <c r="L173" s="421"/>
      <c r="M173" s="423"/>
      <c r="N173" s="425"/>
      <c r="O173" s="426"/>
      <c r="Q173" t="str">
        <f t="shared" ref="Q173" si="99">IF(AND(ISBLANK(B173), ISBLANK(C173)), "X", "")</f>
        <v>X</v>
      </c>
    </row>
    <row r="174" spans="1:17" x14ac:dyDescent="0.2">
      <c r="A174" s="908"/>
      <c r="B174" s="910"/>
      <c r="C174" s="404" t="s">
        <v>271</v>
      </c>
      <c r="D174" s="387" t="str">
        <f t="shared" ref="D174:O174" si="100">IF(D173="","",D173-D170)</f>
        <v/>
      </c>
      <c r="E174" s="392" t="str">
        <f t="shared" si="100"/>
        <v/>
      </c>
      <c r="F174" s="387" t="str">
        <f t="shared" si="100"/>
        <v/>
      </c>
      <c r="G174" s="385" t="str">
        <f t="shared" si="100"/>
        <v/>
      </c>
      <c r="H174" s="389" t="str">
        <f t="shared" si="100"/>
        <v/>
      </c>
      <c r="I174" s="387" t="str">
        <f t="shared" si="100"/>
        <v/>
      </c>
      <c r="J174" s="385" t="str">
        <f t="shared" si="100"/>
        <v/>
      </c>
      <c r="K174" s="390" t="str">
        <f t="shared" si="100"/>
        <v/>
      </c>
      <c r="L174" s="387" t="str">
        <f t="shared" si="100"/>
        <v/>
      </c>
      <c r="M174" s="385" t="str">
        <f t="shared" si="100"/>
        <v/>
      </c>
      <c r="N174" s="385" t="str">
        <f t="shared" si="100"/>
        <v/>
      </c>
      <c r="O174" s="400" t="str">
        <f t="shared" si="100"/>
        <v/>
      </c>
    </row>
    <row r="175" spans="1:17" x14ac:dyDescent="0.2">
      <c r="A175" s="908"/>
      <c r="B175" s="394"/>
      <c r="C175" s="394"/>
      <c r="D175" s="381"/>
      <c r="E175" s="388"/>
      <c r="F175" s="381"/>
      <c r="G175" s="383"/>
      <c r="H175" s="388"/>
      <c r="I175" s="381"/>
      <c r="J175" s="383"/>
      <c r="K175" s="388"/>
      <c r="L175" s="381"/>
      <c r="M175" s="383"/>
      <c r="N175" s="383"/>
      <c r="O175" s="394"/>
    </row>
    <row r="176" spans="1:17" x14ac:dyDescent="0.2">
      <c r="A176" s="908">
        <v>52</v>
      </c>
      <c r="B176" s="909"/>
      <c r="C176" s="420"/>
      <c r="D176" s="421"/>
      <c r="E176" s="422"/>
      <c r="F176" s="421"/>
      <c r="G176" s="423"/>
      <c r="H176" s="424"/>
      <c r="I176" s="421"/>
      <c r="J176" s="425"/>
      <c r="K176" s="424"/>
      <c r="L176" s="421"/>
      <c r="M176" s="423"/>
      <c r="N176" s="425"/>
      <c r="O176" s="426"/>
      <c r="Q176" t="str">
        <f t="shared" ref="Q176" si="101">IF(AND(ISBLANK(B176), ISBLANK(C176)), "X", "")</f>
        <v>X</v>
      </c>
    </row>
    <row r="177" spans="1:18" x14ac:dyDescent="0.2">
      <c r="A177" s="908"/>
      <c r="B177" s="910"/>
      <c r="C177" s="404" t="s">
        <v>271</v>
      </c>
      <c r="D177" s="387" t="str">
        <f t="shared" ref="D177:O177" si="102">IF(D176="","",D176-D173)</f>
        <v/>
      </c>
      <c r="E177" s="392" t="str">
        <f t="shared" si="102"/>
        <v/>
      </c>
      <c r="F177" s="387" t="str">
        <f t="shared" si="102"/>
        <v/>
      </c>
      <c r="G177" s="385" t="str">
        <f t="shared" si="102"/>
        <v/>
      </c>
      <c r="H177" s="389" t="str">
        <f t="shared" si="102"/>
        <v/>
      </c>
      <c r="I177" s="387" t="str">
        <f t="shared" si="102"/>
        <v/>
      </c>
      <c r="J177" s="385" t="str">
        <f t="shared" si="102"/>
        <v/>
      </c>
      <c r="K177" s="390" t="str">
        <f t="shared" si="102"/>
        <v/>
      </c>
      <c r="L177" s="387" t="str">
        <f t="shared" si="102"/>
        <v/>
      </c>
      <c r="M177" s="385" t="str">
        <f t="shared" si="102"/>
        <v/>
      </c>
      <c r="N177" s="385" t="str">
        <f t="shared" si="102"/>
        <v/>
      </c>
      <c r="O177" s="400" t="str">
        <f t="shared" si="102"/>
        <v/>
      </c>
    </row>
    <row r="178" spans="1:18" x14ac:dyDescent="0.2">
      <c r="A178" s="908"/>
      <c r="B178" s="394"/>
      <c r="C178" s="394"/>
      <c r="D178" s="381"/>
      <c r="E178" s="388"/>
      <c r="F178" s="381"/>
      <c r="G178" s="383"/>
      <c r="H178" s="388"/>
      <c r="I178" s="381"/>
      <c r="J178" s="383"/>
      <c r="K178" s="388"/>
      <c r="L178" s="381"/>
      <c r="M178" s="383"/>
      <c r="N178" s="383"/>
      <c r="O178" s="394"/>
    </row>
    <row r="179" spans="1:18" x14ac:dyDescent="0.2">
      <c r="A179" s="908">
        <v>53</v>
      </c>
      <c r="B179" s="909"/>
      <c r="C179" s="420"/>
      <c r="D179" s="421"/>
      <c r="E179" s="422"/>
      <c r="F179" s="421"/>
      <c r="G179" s="423"/>
      <c r="H179" s="424"/>
      <c r="I179" s="421"/>
      <c r="J179" s="425"/>
      <c r="K179" s="424"/>
      <c r="L179" s="421"/>
      <c r="M179" s="423"/>
      <c r="N179" s="425"/>
      <c r="O179" s="426"/>
      <c r="Q179" t="str">
        <f t="shared" ref="Q179" si="103">IF(AND(ISBLANK(B179), ISBLANK(C179)), "X", "")</f>
        <v>X</v>
      </c>
    </row>
    <row r="180" spans="1:18" x14ac:dyDescent="0.2">
      <c r="A180" s="908"/>
      <c r="B180" s="910"/>
      <c r="C180" s="404" t="s">
        <v>271</v>
      </c>
      <c r="D180" s="387" t="str">
        <f t="shared" ref="D180:O180" si="104">IF(D179="","",D179-D176)</f>
        <v/>
      </c>
      <c r="E180" s="392" t="str">
        <f t="shared" si="104"/>
        <v/>
      </c>
      <c r="F180" s="387" t="str">
        <f t="shared" si="104"/>
        <v/>
      </c>
      <c r="G180" s="385" t="str">
        <f t="shared" si="104"/>
        <v/>
      </c>
      <c r="H180" s="389" t="str">
        <f t="shared" si="104"/>
        <v/>
      </c>
      <c r="I180" s="387" t="str">
        <f t="shared" si="104"/>
        <v/>
      </c>
      <c r="J180" s="385" t="str">
        <f t="shared" si="104"/>
        <v/>
      </c>
      <c r="K180" s="390" t="str">
        <f t="shared" si="104"/>
        <v/>
      </c>
      <c r="L180" s="387" t="str">
        <f t="shared" si="104"/>
        <v/>
      </c>
      <c r="M180" s="385" t="str">
        <f t="shared" si="104"/>
        <v/>
      </c>
      <c r="N180" s="385" t="str">
        <f t="shared" si="104"/>
        <v/>
      </c>
      <c r="O180" s="400" t="str">
        <f t="shared" si="104"/>
        <v/>
      </c>
    </row>
    <row r="181" spans="1:18" x14ac:dyDescent="0.2">
      <c r="A181" s="908"/>
      <c r="B181" s="394"/>
      <c r="C181" s="394"/>
      <c r="D181" s="381"/>
      <c r="E181" s="388"/>
      <c r="F181" s="381"/>
      <c r="G181" s="383"/>
      <c r="H181" s="388"/>
      <c r="I181" s="381"/>
      <c r="J181" s="383"/>
      <c r="K181" s="388"/>
      <c r="L181" s="381"/>
      <c r="M181" s="383"/>
      <c r="N181" s="383"/>
      <c r="O181" s="394"/>
      <c r="R181" t="s">
        <v>275</v>
      </c>
    </row>
    <row r="182" spans="1:18" x14ac:dyDescent="0.2">
      <c r="A182" s="908">
        <v>54</v>
      </c>
      <c r="B182" s="909"/>
      <c r="C182" s="420"/>
      <c r="D182" s="421"/>
      <c r="E182" s="422"/>
      <c r="F182" s="421"/>
      <c r="G182" s="423"/>
      <c r="H182" s="424"/>
      <c r="I182" s="421"/>
      <c r="J182" s="425"/>
      <c r="K182" s="424"/>
      <c r="L182" s="421"/>
      <c r="M182" s="423"/>
      <c r="N182" s="425"/>
      <c r="O182" s="426"/>
      <c r="Q182" t="str">
        <f t="shared" ref="Q182" si="105">IF(AND(ISBLANK(B182), ISBLANK(C182)), "X", "")</f>
        <v>X</v>
      </c>
    </row>
    <row r="183" spans="1:18" x14ac:dyDescent="0.2">
      <c r="A183" s="908"/>
      <c r="B183" s="910"/>
      <c r="C183" s="404" t="s">
        <v>271</v>
      </c>
      <c r="D183" s="387" t="str">
        <f t="shared" ref="D183:O183" si="106">IF(D182="","",D182-D179)</f>
        <v/>
      </c>
      <c r="E183" s="392" t="str">
        <f t="shared" si="106"/>
        <v/>
      </c>
      <c r="F183" s="387" t="str">
        <f t="shared" si="106"/>
        <v/>
      </c>
      <c r="G183" s="385" t="str">
        <f t="shared" si="106"/>
        <v/>
      </c>
      <c r="H183" s="389" t="str">
        <f t="shared" si="106"/>
        <v/>
      </c>
      <c r="I183" s="387" t="str">
        <f t="shared" si="106"/>
        <v/>
      </c>
      <c r="J183" s="385" t="str">
        <f t="shared" si="106"/>
        <v/>
      </c>
      <c r="K183" s="390" t="str">
        <f t="shared" si="106"/>
        <v/>
      </c>
      <c r="L183" s="387" t="str">
        <f t="shared" si="106"/>
        <v/>
      </c>
      <c r="M183" s="385" t="str">
        <f t="shared" si="106"/>
        <v/>
      </c>
      <c r="N183" s="385" t="str">
        <f t="shared" si="106"/>
        <v/>
      </c>
      <c r="O183" s="400" t="str">
        <f t="shared" si="106"/>
        <v/>
      </c>
    </row>
    <row r="184" spans="1:18" x14ac:dyDescent="0.2">
      <c r="A184" s="908"/>
      <c r="B184" s="394"/>
      <c r="C184" s="394"/>
      <c r="D184" s="381"/>
      <c r="E184" s="388"/>
      <c r="F184" s="381"/>
      <c r="G184" s="383"/>
      <c r="H184" s="388"/>
      <c r="I184" s="381"/>
      <c r="J184" s="383"/>
      <c r="K184" s="388"/>
      <c r="L184" s="381"/>
      <c r="M184" s="383"/>
      <c r="N184" s="383"/>
      <c r="O184" s="394"/>
    </row>
    <row r="185" spans="1:18" x14ac:dyDescent="0.2">
      <c r="A185" s="908">
        <v>55</v>
      </c>
      <c r="B185" s="909"/>
      <c r="C185" s="420"/>
      <c r="D185" s="421"/>
      <c r="E185" s="422"/>
      <c r="F185" s="421"/>
      <c r="G185" s="423"/>
      <c r="H185" s="424"/>
      <c r="I185" s="421"/>
      <c r="J185" s="425"/>
      <c r="K185" s="424"/>
      <c r="L185" s="421"/>
      <c r="M185" s="423"/>
      <c r="N185" s="425"/>
      <c r="O185" s="426"/>
      <c r="Q185" t="str">
        <f t="shared" ref="Q185" si="107">IF(AND(ISBLANK(B185), ISBLANK(C185)), "X", "")</f>
        <v>X</v>
      </c>
    </row>
    <row r="186" spans="1:18" x14ac:dyDescent="0.2">
      <c r="A186" s="908"/>
      <c r="B186" s="910"/>
      <c r="C186" s="404" t="s">
        <v>271</v>
      </c>
      <c r="D186" s="387" t="str">
        <f t="shared" ref="D186:O186" si="108">IF(D185="","",D185-D182)</f>
        <v/>
      </c>
      <c r="E186" s="392" t="str">
        <f t="shared" si="108"/>
        <v/>
      </c>
      <c r="F186" s="387" t="str">
        <f t="shared" si="108"/>
        <v/>
      </c>
      <c r="G186" s="385" t="str">
        <f t="shared" si="108"/>
        <v/>
      </c>
      <c r="H186" s="389" t="str">
        <f t="shared" si="108"/>
        <v/>
      </c>
      <c r="I186" s="387" t="str">
        <f t="shared" si="108"/>
        <v/>
      </c>
      <c r="J186" s="385" t="str">
        <f t="shared" si="108"/>
        <v/>
      </c>
      <c r="K186" s="390" t="str">
        <f t="shared" si="108"/>
        <v/>
      </c>
      <c r="L186" s="387" t="str">
        <f t="shared" si="108"/>
        <v/>
      </c>
      <c r="M186" s="385" t="str">
        <f t="shared" si="108"/>
        <v/>
      </c>
      <c r="N186" s="385" t="str">
        <f t="shared" si="108"/>
        <v/>
      </c>
      <c r="O186" s="400" t="str">
        <f t="shared" si="108"/>
        <v/>
      </c>
    </row>
    <row r="187" spans="1:18" x14ac:dyDescent="0.2">
      <c r="A187" s="908"/>
      <c r="B187" s="394"/>
      <c r="C187" s="394"/>
      <c r="D187" s="381"/>
      <c r="E187" s="388"/>
      <c r="F187" s="381"/>
      <c r="G187" s="383"/>
      <c r="H187" s="388"/>
      <c r="I187" s="381"/>
      <c r="J187" s="383"/>
      <c r="K187" s="388"/>
      <c r="L187" s="381"/>
      <c r="M187" s="383"/>
      <c r="N187" s="383"/>
      <c r="O187" s="394"/>
    </row>
    <row r="188" spans="1:18" x14ac:dyDescent="0.2">
      <c r="A188" s="908">
        <v>56</v>
      </c>
      <c r="B188" s="909"/>
      <c r="C188" s="420"/>
      <c r="D188" s="421"/>
      <c r="E188" s="422"/>
      <c r="F188" s="421"/>
      <c r="G188" s="423"/>
      <c r="H188" s="424"/>
      <c r="I188" s="421"/>
      <c r="J188" s="425"/>
      <c r="K188" s="424"/>
      <c r="L188" s="421"/>
      <c r="M188" s="423"/>
      <c r="N188" s="425"/>
      <c r="O188" s="426"/>
      <c r="Q188" t="str">
        <f t="shared" ref="Q188" si="109">IF(AND(ISBLANK(B188), ISBLANK(C188)), "X", "")</f>
        <v>X</v>
      </c>
    </row>
    <row r="189" spans="1:18" x14ac:dyDescent="0.2">
      <c r="A189" s="908"/>
      <c r="B189" s="910"/>
      <c r="C189" s="404" t="s">
        <v>271</v>
      </c>
      <c r="D189" s="387" t="str">
        <f t="shared" ref="D189:O189" si="110">IF(D188="","",D188-D185)</f>
        <v/>
      </c>
      <c r="E189" s="392" t="str">
        <f t="shared" si="110"/>
        <v/>
      </c>
      <c r="F189" s="387" t="str">
        <f t="shared" si="110"/>
        <v/>
      </c>
      <c r="G189" s="385" t="str">
        <f t="shared" si="110"/>
        <v/>
      </c>
      <c r="H189" s="389" t="str">
        <f t="shared" si="110"/>
        <v/>
      </c>
      <c r="I189" s="387" t="str">
        <f t="shared" si="110"/>
        <v/>
      </c>
      <c r="J189" s="385" t="str">
        <f t="shared" si="110"/>
        <v/>
      </c>
      <c r="K189" s="390" t="str">
        <f t="shared" si="110"/>
        <v/>
      </c>
      <c r="L189" s="387" t="str">
        <f t="shared" si="110"/>
        <v/>
      </c>
      <c r="M189" s="385" t="str">
        <f t="shared" si="110"/>
        <v/>
      </c>
      <c r="N189" s="385" t="str">
        <f t="shared" si="110"/>
        <v/>
      </c>
      <c r="O189" s="400" t="str">
        <f t="shared" si="110"/>
        <v/>
      </c>
    </row>
    <row r="190" spans="1:18" x14ac:dyDescent="0.2">
      <c r="A190" s="908"/>
      <c r="B190" s="394"/>
      <c r="C190" s="394"/>
      <c r="D190" s="381"/>
      <c r="E190" s="388"/>
      <c r="F190" s="381"/>
      <c r="G190" s="383"/>
      <c r="H190" s="388"/>
      <c r="I190" s="381"/>
      <c r="J190" s="383"/>
      <c r="K190" s="388"/>
      <c r="L190" s="381"/>
      <c r="M190" s="383"/>
      <c r="N190" s="383"/>
      <c r="O190" s="394"/>
    </row>
    <row r="191" spans="1:18" x14ac:dyDescent="0.2">
      <c r="A191" s="908">
        <v>57</v>
      </c>
      <c r="B191" s="909"/>
      <c r="C191" s="420"/>
      <c r="D191" s="421"/>
      <c r="E191" s="422"/>
      <c r="F191" s="421"/>
      <c r="G191" s="423"/>
      <c r="H191" s="424"/>
      <c r="I191" s="421"/>
      <c r="J191" s="425"/>
      <c r="K191" s="424"/>
      <c r="L191" s="421"/>
      <c r="M191" s="423"/>
      <c r="N191" s="425"/>
      <c r="O191" s="426"/>
      <c r="Q191" t="str">
        <f t="shared" ref="Q191" si="111">IF(AND(ISBLANK(B191), ISBLANK(C191)), "X", "")</f>
        <v>X</v>
      </c>
    </row>
    <row r="192" spans="1:18" x14ac:dyDescent="0.2">
      <c r="A192" s="908"/>
      <c r="B192" s="910"/>
      <c r="C192" s="404" t="s">
        <v>271</v>
      </c>
      <c r="D192" s="387" t="str">
        <f t="shared" ref="D192:O192" si="112">IF(D191="","",D191-D188)</f>
        <v/>
      </c>
      <c r="E192" s="392" t="str">
        <f t="shared" si="112"/>
        <v/>
      </c>
      <c r="F192" s="387" t="str">
        <f t="shared" si="112"/>
        <v/>
      </c>
      <c r="G192" s="385" t="str">
        <f t="shared" si="112"/>
        <v/>
      </c>
      <c r="H192" s="389" t="str">
        <f t="shared" si="112"/>
        <v/>
      </c>
      <c r="I192" s="387" t="str">
        <f t="shared" si="112"/>
        <v/>
      </c>
      <c r="J192" s="385" t="str">
        <f t="shared" si="112"/>
        <v/>
      </c>
      <c r="K192" s="390" t="str">
        <f t="shared" si="112"/>
        <v/>
      </c>
      <c r="L192" s="387" t="str">
        <f t="shared" si="112"/>
        <v/>
      </c>
      <c r="M192" s="385" t="str">
        <f t="shared" si="112"/>
        <v/>
      </c>
      <c r="N192" s="385" t="str">
        <f t="shared" si="112"/>
        <v/>
      </c>
      <c r="O192" s="400" t="str">
        <f t="shared" si="112"/>
        <v/>
      </c>
    </row>
    <row r="193" spans="1:18" x14ac:dyDescent="0.2">
      <c r="A193" s="908"/>
      <c r="B193" s="394"/>
      <c r="C193" s="394"/>
      <c r="D193" s="381"/>
      <c r="E193" s="388"/>
      <c r="F193" s="381"/>
      <c r="G193" s="383"/>
      <c r="H193" s="388"/>
      <c r="I193" s="381"/>
      <c r="J193" s="383"/>
      <c r="K193" s="388"/>
      <c r="L193" s="381"/>
      <c r="M193" s="383"/>
      <c r="N193" s="383"/>
      <c r="O193" s="394"/>
    </row>
    <row r="194" spans="1:18" x14ac:dyDescent="0.2">
      <c r="A194" s="908">
        <v>58</v>
      </c>
      <c r="B194" s="909"/>
      <c r="C194" s="420"/>
      <c r="D194" s="421"/>
      <c r="E194" s="422"/>
      <c r="F194" s="421"/>
      <c r="G194" s="423"/>
      <c r="H194" s="424"/>
      <c r="I194" s="421"/>
      <c r="J194" s="425"/>
      <c r="K194" s="424"/>
      <c r="L194" s="421"/>
      <c r="M194" s="423"/>
      <c r="N194" s="425"/>
      <c r="O194" s="426"/>
      <c r="Q194" t="str">
        <f t="shared" ref="Q194" si="113">IF(AND(ISBLANK(B194), ISBLANK(C194)), "X", "")</f>
        <v>X</v>
      </c>
    </row>
    <row r="195" spans="1:18" x14ac:dyDescent="0.2">
      <c r="A195" s="908"/>
      <c r="B195" s="910"/>
      <c r="C195" s="404" t="s">
        <v>271</v>
      </c>
      <c r="D195" s="387" t="str">
        <f t="shared" ref="D195:O195" si="114">IF(D194="","",D194-D191)</f>
        <v/>
      </c>
      <c r="E195" s="392" t="str">
        <f t="shared" si="114"/>
        <v/>
      </c>
      <c r="F195" s="387" t="str">
        <f t="shared" si="114"/>
        <v/>
      </c>
      <c r="G195" s="385" t="str">
        <f t="shared" si="114"/>
        <v/>
      </c>
      <c r="H195" s="389" t="str">
        <f t="shared" si="114"/>
        <v/>
      </c>
      <c r="I195" s="387" t="str">
        <f t="shared" si="114"/>
        <v/>
      </c>
      <c r="J195" s="385" t="str">
        <f t="shared" si="114"/>
        <v/>
      </c>
      <c r="K195" s="390" t="str">
        <f t="shared" si="114"/>
        <v/>
      </c>
      <c r="L195" s="387" t="str">
        <f t="shared" si="114"/>
        <v/>
      </c>
      <c r="M195" s="385" t="str">
        <f t="shared" si="114"/>
        <v/>
      </c>
      <c r="N195" s="385" t="str">
        <f t="shared" si="114"/>
        <v/>
      </c>
      <c r="O195" s="400" t="str">
        <f t="shared" si="114"/>
        <v/>
      </c>
    </row>
    <row r="196" spans="1:18" x14ac:dyDescent="0.2">
      <c r="A196" s="908"/>
      <c r="B196" s="394"/>
      <c r="C196" s="394"/>
      <c r="D196" s="381"/>
      <c r="E196" s="388"/>
      <c r="F196" s="381"/>
      <c r="G196" s="383"/>
      <c r="H196" s="388"/>
      <c r="I196" s="381"/>
      <c r="J196" s="383"/>
      <c r="K196" s="388"/>
      <c r="L196" s="381"/>
      <c r="M196" s="383"/>
      <c r="N196" s="383"/>
      <c r="O196" s="394"/>
    </row>
    <row r="197" spans="1:18" x14ac:dyDescent="0.2">
      <c r="A197" s="908">
        <v>59</v>
      </c>
      <c r="B197" s="909"/>
      <c r="C197" s="420"/>
      <c r="D197" s="421"/>
      <c r="E197" s="422"/>
      <c r="F197" s="421"/>
      <c r="G197" s="423"/>
      <c r="H197" s="424"/>
      <c r="I197" s="421"/>
      <c r="J197" s="425"/>
      <c r="K197" s="424"/>
      <c r="L197" s="421"/>
      <c r="M197" s="423"/>
      <c r="N197" s="425"/>
      <c r="O197" s="426"/>
      <c r="Q197" t="str">
        <f t="shared" ref="Q197" si="115">IF(AND(ISBLANK(B197), ISBLANK(C197)), "X", "")</f>
        <v>X</v>
      </c>
    </row>
    <row r="198" spans="1:18" x14ac:dyDescent="0.2">
      <c r="A198" s="908"/>
      <c r="B198" s="910"/>
      <c r="C198" s="404" t="s">
        <v>271</v>
      </c>
      <c r="D198" s="387" t="str">
        <f t="shared" ref="D198:O198" si="116">IF(D197="","",D197-D194)</f>
        <v/>
      </c>
      <c r="E198" s="392" t="str">
        <f t="shared" si="116"/>
        <v/>
      </c>
      <c r="F198" s="387" t="str">
        <f t="shared" si="116"/>
        <v/>
      </c>
      <c r="G198" s="385" t="str">
        <f t="shared" si="116"/>
        <v/>
      </c>
      <c r="H198" s="389" t="str">
        <f t="shared" si="116"/>
        <v/>
      </c>
      <c r="I198" s="387" t="str">
        <f t="shared" si="116"/>
        <v/>
      </c>
      <c r="J198" s="385" t="str">
        <f t="shared" si="116"/>
        <v/>
      </c>
      <c r="K198" s="390" t="str">
        <f t="shared" si="116"/>
        <v/>
      </c>
      <c r="L198" s="387" t="str">
        <f t="shared" si="116"/>
        <v/>
      </c>
      <c r="M198" s="385" t="str">
        <f t="shared" si="116"/>
        <v/>
      </c>
      <c r="N198" s="385" t="str">
        <f t="shared" si="116"/>
        <v/>
      </c>
      <c r="O198" s="400" t="str">
        <f t="shared" si="116"/>
        <v/>
      </c>
    </row>
    <row r="199" spans="1:18" x14ac:dyDescent="0.2">
      <c r="A199" s="908"/>
      <c r="B199" s="394"/>
      <c r="C199" s="394"/>
      <c r="D199" s="381"/>
      <c r="E199" s="388"/>
      <c r="F199" s="381"/>
      <c r="G199" s="383"/>
      <c r="H199" s="388"/>
      <c r="I199" s="381"/>
      <c r="J199" s="383"/>
      <c r="K199" s="388"/>
      <c r="L199" s="381"/>
      <c r="M199" s="383"/>
      <c r="N199" s="383"/>
      <c r="O199" s="394"/>
    </row>
    <row r="200" spans="1:18" x14ac:dyDescent="0.2">
      <c r="A200" s="908">
        <v>60</v>
      </c>
      <c r="B200" s="909"/>
      <c r="C200" s="420"/>
      <c r="D200" s="421"/>
      <c r="E200" s="422"/>
      <c r="F200" s="421"/>
      <c r="G200" s="423"/>
      <c r="H200" s="424"/>
      <c r="I200" s="421"/>
      <c r="J200" s="425"/>
      <c r="K200" s="424"/>
      <c r="L200" s="421"/>
      <c r="M200" s="423"/>
      <c r="N200" s="425"/>
      <c r="O200" s="426"/>
      <c r="Q200" t="str">
        <f t="shared" ref="Q200" si="117">IF(AND(ISBLANK(B200), ISBLANK(C200)), "X", "")</f>
        <v>X</v>
      </c>
    </row>
    <row r="201" spans="1:18" x14ac:dyDescent="0.2">
      <c r="A201" s="908"/>
      <c r="B201" s="910"/>
      <c r="C201" s="404" t="s">
        <v>271</v>
      </c>
      <c r="D201" s="387" t="str">
        <f t="shared" ref="D201:O201" si="118">IF(D200="","",D200-D197)</f>
        <v/>
      </c>
      <c r="E201" s="392" t="str">
        <f t="shared" si="118"/>
        <v/>
      </c>
      <c r="F201" s="387" t="str">
        <f t="shared" si="118"/>
        <v/>
      </c>
      <c r="G201" s="385" t="str">
        <f t="shared" si="118"/>
        <v/>
      </c>
      <c r="H201" s="389" t="str">
        <f t="shared" si="118"/>
        <v/>
      </c>
      <c r="I201" s="387" t="str">
        <f t="shared" si="118"/>
        <v/>
      </c>
      <c r="J201" s="385" t="str">
        <f t="shared" si="118"/>
        <v/>
      </c>
      <c r="K201" s="390" t="str">
        <f t="shared" si="118"/>
        <v/>
      </c>
      <c r="L201" s="387" t="str">
        <f t="shared" si="118"/>
        <v/>
      </c>
      <c r="M201" s="385" t="str">
        <f t="shared" si="118"/>
        <v/>
      </c>
      <c r="N201" s="385" t="str">
        <f t="shared" si="118"/>
        <v/>
      </c>
      <c r="O201" s="400" t="str">
        <f t="shared" si="118"/>
        <v/>
      </c>
    </row>
    <row r="202" spans="1:18" ht="13.5" thickBot="1" x14ac:dyDescent="0.25">
      <c r="A202" s="908"/>
      <c r="B202" s="416"/>
      <c r="C202" s="416"/>
      <c r="D202" s="416"/>
      <c r="E202" s="416"/>
      <c r="F202" s="416"/>
      <c r="G202" s="416"/>
      <c r="H202" s="416"/>
      <c r="I202" s="416"/>
      <c r="J202" s="416"/>
      <c r="K202" s="416"/>
      <c r="L202" s="416"/>
      <c r="M202" s="416"/>
      <c r="N202" s="416"/>
      <c r="O202" s="416"/>
      <c r="P202" s="416"/>
      <c r="Q202" s="416"/>
      <c r="R202" s="416"/>
    </row>
    <row r="203" spans="1:18" ht="13.5" thickTop="1" x14ac:dyDescent="0.2">
      <c r="R203" t="s">
        <v>274</v>
      </c>
    </row>
    <row r="209" spans="2:15" x14ac:dyDescent="0.2">
      <c r="B209" s="911"/>
      <c r="C209" s="911"/>
      <c r="D209" s="911"/>
      <c r="E209" s="911"/>
      <c r="F209" s="911"/>
      <c r="G209" s="911"/>
      <c r="H209" s="911"/>
      <c r="I209" s="911"/>
      <c r="J209" s="911"/>
      <c r="K209" s="911"/>
      <c r="L209" s="911"/>
      <c r="M209" s="911"/>
      <c r="N209" s="911"/>
      <c r="O209" s="911"/>
    </row>
    <row r="211" spans="2:15" x14ac:dyDescent="0.2">
      <c r="B211" s="906"/>
      <c r="C211" s="906"/>
      <c r="D211" s="906"/>
      <c r="E211" s="906"/>
      <c r="F211" s="906"/>
      <c r="G211" s="906"/>
      <c r="H211" s="906"/>
      <c r="I211" s="906"/>
      <c r="J211" s="906"/>
      <c r="K211" s="906"/>
      <c r="L211" s="906"/>
      <c r="M211" s="906"/>
      <c r="N211" s="906"/>
      <c r="O211" s="906"/>
    </row>
    <row r="212" spans="2:15" x14ac:dyDescent="0.2">
      <c r="B212" s="867"/>
      <c r="C212" s="867"/>
      <c r="D212" s="867"/>
      <c r="E212" s="867"/>
      <c r="F212" s="867"/>
      <c r="G212" s="867"/>
      <c r="H212" s="867"/>
      <c r="I212" s="867"/>
      <c r="J212" s="867"/>
      <c r="K212" s="867"/>
      <c r="L212" s="867"/>
      <c r="M212" s="867"/>
      <c r="N212" s="867"/>
      <c r="O212" s="867"/>
    </row>
  </sheetData>
  <sheetProtection algorithmName="SHA-512" hashValue="Cbn6e9t8H536+14v5uG5khIYR1cQ5qSrbIgqy1VketFPMTm1s59964rwxKFNOQGhdmfYi0TCGvIfOz5cWMNvXg==" saltValue="GJ8nsocb6i53eTINYa0Wkg==" spinCount="100000" sheet="1" objects="1" scenarios="1"/>
  <mergeCells count="129">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 ref="B167:B168"/>
    <mergeCell ref="A170:A172"/>
    <mergeCell ref="B170:B171"/>
    <mergeCell ref="A155:A157"/>
    <mergeCell ref="B155:B156"/>
    <mergeCell ref="A158:A160"/>
    <mergeCell ref="B158:B159"/>
    <mergeCell ref="A161:A163"/>
    <mergeCell ref="B161:B162"/>
    <mergeCell ref="A146:A148"/>
    <mergeCell ref="B146:B147"/>
    <mergeCell ref="A149:A151"/>
    <mergeCell ref="B149:B150"/>
    <mergeCell ref="A152:A154"/>
    <mergeCell ref="B152:B153"/>
    <mergeCell ref="A137:A139"/>
    <mergeCell ref="B137:B138"/>
    <mergeCell ref="A140:A142"/>
    <mergeCell ref="B140:B141"/>
    <mergeCell ref="A143:A145"/>
    <mergeCell ref="B143:B144"/>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10:A112"/>
    <mergeCell ref="B110:B111"/>
    <mergeCell ref="A113:A115"/>
    <mergeCell ref="B113:B114"/>
    <mergeCell ref="A116:A118"/>
    <mergeCell ref="B116:B117"/>
    <mergeCell ref="A101:A103"/>
    <mergeCell ref="B101:B102"/>
    <mergeCell ref="A104:A106"/>
    <mergeCell ref="B104:B105"/>
    <mergeCell ref="A107:A109"/>
    <mergeCell ref="B107:B108"/>
    <mergeCell ref="A92:A94"/>
    <mergeCell ref="B92:B93"/>
    <mergeCell ref="A95:A97"/>
    <mergeCell ref="B95:B96"/>
    <mergeCell ref="A98:A100"/>
    <mergeCell ref="B98:B99"/>
    <mergeCell ref="A83:A85"/>
    <mergeCell ref="B83:B84"/>
    <mergeCell ref="A86:A88"/>
    <mergeCell ref="B86:B87"/>
    <mergeCell ref="A89:A91"/>
    <mergeCell ref="B89:B90"/>
    <mergeCell ref="D18:E18"/>
    <mergeCell ref="I18:K18"/>
    <mergeCell ref="F18:H18"/>
    <mergeCell ref="L18:O18"/>
    <mergeCell ref="B23:B24"/>
    <mergeCell ref="B26:B27"/>
    <mergeCell ref="A23:A25"/>
    <mergeCell ref="A26:A28"/>
    <mergeCell ref="A29:A31"/>
    <mergeCell ref="B29:B30"/>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s>
  <pageMargins left="0.70866141732283472" right="0.70866141732283472" top="0.74803149606299213" bottom="0.74803149606299213" header="0.31496062992125984" footer="0.31496062992125984"/>
  <pageSetup scale="50" fitToHeight="0" orientation="landscape" verticalDpi="0"/>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hq5ZTBL5IkjbUdvUzJEJSzvX/kYY17eKBHOrUkxl8Lg2pP6/uZWsvIdNqrIvCAwOMlta25x3Kk+1ZcHq49TFQw==" saltValue="13SHKvhz8Ftix8+ms1c92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47"/>
  <sheetViews>
    <sheetView showGridLines="0" zoomScaleNormal="100" zoomScaleSheetLayoutView="100" workbookViewId="0">
      <selection activeCell="B30" sqref="B30:N30"/>
    </sheetView>
  </sheetViews>
  <sheetFormatPr defaultColWidth="9.140625" defaultRowHeight="12.75" x14ac:dyDescent="0.2"/>
  <cols>
    <col min="1" max="7" width="9.140625" style="5"/>
    <col min="8" max="8" width="7" style="5" customWidth="1"/>
    <col min="9" max="9" width="11.28515625" style="5" customWidth="1"/>
    <col min="10" max="13" width="9.140625" style="5"/>
    <col min="14" max="14" width="8.7109375" customWidth="1"/>
    <col min="15" max="16384" width="9.140625" style="5"/>
  </cols>
  <sheetData>
    <row r="1" spans="3:11" s="2" customFormat="1" ht="21.75" x14ac:dyDescent="0.2">
      <c r="C1" s="756"/>
      <c r="D1" s="756"/>
      <c r="E1" s="756"/>
      <c r="F1" s="272"/>
      <c r="G1" s="272"/>
      <c r="H1" s="272"/>
      <c r="I1" s="1"/>
    </row>
    <row r="2" spans="3:11" s="2" customFormat="1" ht="18" x14ac:dyDescent="0.25">
      <c r="C2" s="265"/>
      <c r="D2" s="757"/>
      <c r="E2" s="757"/>
      <c r="F2" s="757"/>
      <c r="G2" s="757"/>
      <c r="H2" s="266"/>
    </row>
    <row r="3" spans="3:11" s="2" customFormat="1" ht="18" x14ac:dyDescent="0.25">
      <c r="C3" s="265"/>
      <c r="D3" s="267"/>
      <c r="E3" s="267"/>
      <c r="F3" s="267"/>
      <c r="G3" s="267"/>
      <c r="H3" s="268"/>
    </row>
    <row r="4" spans="3:11" s="2" customFormat="1" ht="18" x14ac:dyDescent="0.25">
      <c r="C4" s="269"/>
      <c r="D4" s="757"/>
      <c r="E4" s="757"/>
      <c r="F4" s="269"/>
      <c r="G4" s="269"/>
      <c r="H4" s="29"/>
      <c r="I4" s="9"/>
    </row>
    <row r="5" spans="3:11" s="2" customFormat="1" ht="18" x14ac:dyDescent="0.25">
      <c r="C5" s="269"/>
      <c r="D5" s="267"/>
      <c r="E5" s="267"/>
      <c r="F5" s="269"/>
      <c r="G5" s="269"/>
      <c r="H5" s="29"/>
      <c r="I5" s="9"/>
    </row>
    <row r="6" spans="3:11" s="2" customFormat="1" ht="18" x14ac:dyDescent="0.25">
      <c r="C6" s="269"/>
      <c r="D6" s="273"/>
      <c r="E6" s="269"/>
      <c r="F6" s="270"/>
      <c r="G6" s="271"/>
      <c r="H6" s="29"/>
    </row>
    <row r="7" spans="3:11" s="2" customFormat="1" ht="15.75" x14ac:dyDescent="0.25">
      <c r="F7" s="3"/>
      <c r="G7" s="3"/>
      <c r="J7" s="7"/>
    </row>
    <row r="8" spans="3:11" s="2" customFormat="1" x14ac:dyDescent="0.2"/>
    <row r="9" spans="3:11" s="2" customFormat="1" ht="18" x14ac:dyDescent="0.25">
      <c r="C9" s="329"/>
    </row>
    <row r="10" spans="3:11" s="2" customFormat="1" ht="18" x14ac:dyDescent="0.25">
      <c r="C10" s="329"/>
    </row>
    <row r="11" spans="3:11" s="2" customFormat="1" ht="15" x14ac:dyDescent="0.2">
      <c r="D11" s="328" t="s">
        <v>213</v>
      </c>
      <c r="E11" s="330"/>
      <c r="F11" s="331"/>
      <c r="G11" s="331"/>
      <c r="H11" s="331"/>
      <c r="I11" s="328" t="s">
        <v>227</v>
      </c>
      <c r="J11" s="332"/>
      <c r="K11" s="285"/>
    </row>
    <row r="12" spans="3:11" s="2" customFormat="1" ht="15" x14ac:dyDescent="0.2">
      <c r="D12" s="286"/>
      <c r="E12" s="331"/>
      <c r="F12" s="331"/>
      <c r="G12" s="331"/>
      <c r="H12" s="331"/>
      <c r="J12" s="332"/>
      <c r="K12" s="285"/>
    </row>
    <row r="13" spans="3:11" s="2" customFormat="1" ht="15.75" x14ac:dyDescent="0.25">
      <c r="D13" s="328" t="s">
        <v>228</v>
      </c>
      <c r="E13" s="331"/>
      <c r="F13" s="331"/>
      <c r="G13" s="331"/>
      <c r="H13" s="331"/>
      <c r="I13" s="328" t="s">
        <v>219</v>
      </c>
      <c r="J13" s="333"/>
      <c r="K13" s="285"/>
    </row>
    <row r="14" spans="3:11" s="2" customFormat="1" ht="15.75" x14ac:dyDescent="0.25">
      <c r="D14" s="286"/>
      <c r="E14" s="331"/>
      <c r="F14" s="331"/>
      <c r="G14" s="331"/>
      <c r="H14" s="331"/>
      <c r="I14" s="287"/>
      <c r="J14" s="334"/>
      <c r="K14" s="285"/>
    </row>
    <row r="15" spans="3:11" s="2" customFormat="1" ht="15.75" x14ac:dyDescent="0.25">
      <c r="D15" s="328" t="s">
        <v>214</v>
      </c>
      <c r="E15" s="331"/>
      <c r="F15" s="331"/>
      <c r="G15" s="331"/>
      <c r="H15" s="331"/>
      <c r="I15" s="328" t="s">
        <v>324</v>
      </c>
      <c r="J15" s="333"/>
      <c r="K15" s="285"/>
    </row>
    <row r="16" spans="3:11" s="2" customFormat="1" ht="15.75" x14ac:dyDescent="0.25">
      <c r="D16" s="286"/>
      <c r="E16" s="331"/>
      <c r="F16" s="331"/>
      <c r="G16" s="331"/>
      <c r="H16" s="331"/>
      <c r="I16" s="288"/>
      <c r="J16" s="334"/>
      <c r="K16" s="285"/>
    </row>
    <row r="17" spans="1:15" s="2" customFormat="1" ht="15.75" x14ac:dyDescent="0.25">
      <c r="D17" s="328" t="s">
        <v>215</v>
      </c>
      <c r="E17" s="331"/>
      <c r="F17" s="331"/>
      <c r="G17" s="331"/>
      <c r="H17" s="331"/>
      <c r="I17" s="328" t="s">
        <v>325</v>
      </c>
      <c r="J17" s="333"/>
      <c r="K17" s="285"/>
    </row>
    <row r="18" spans="1:15" s="2" customFormat="1" ht="15.75" x14ac:dyDescent="0.25">
      <c r="D18" s="286"/>
      <c r="E18" s="331"/>
      <c r="F18" s="331"/>
      <c r="G18" s="331"/>
      <c r="H18" s="331"/>
      <c r="I18" s="328"/>
      <c r="J18" s="333"/>
      <c r="K18" s="285"/>
    </row>
    <row r="19" spans="1:15" s="2" customFormat="1" ht="15.75" customHeight="1" x14ac:dyDescent="0.25">
      <c r="D19" s="328" t="s">
        <v>216</v>
      </c>
      <c r="E19" s="331"/>
      <c r="F19" s="331"/>
      <c r="G19" s="331"/>
      <c r="H19" s="331"/>
      <c r="I19" s="328" t="s">
        <v>415</v>
      </c>
      <c r="J19" s="333"/>
      <c r="K19" s="285"/>
      <c r="L19" s="570"/>
      <c r="M19" s="570"/>
      <c r="N19" s="570"/>
    </row>
    <row r="20" spans="1:15" s="2" customFormat="1" ht="15.75" x14ac:dyDescent="0.25">
      <c r="D20" s="289"/>
      <c r="E20" s="331"/>
      <c r="F20" s="331"/>
      <c r="G20" s="331"/>
      <c r="H20" s="335"/>
      <c r="I20" s="328"/>
      <c r="J20" s="334"/>
      <c r="K20" s="285"/>
    </row>
    <row r="21" spans="1:15" s="2" customFormat="1" ht="15" x14ac:dyDescent="0.2">
      <c r="D21" s="328" t="s">
        <v>217</v>
      </c>
      <c r="E21" s="331"/>
      <c r="F21" s="331"/>
      <c r="G21" s="331"/>
      <c r="H21" s="335"/>
      <c r="I21" s="328" t="s">
        <v>416</v>
      </c>
      <c r="J21"/>
      <c r="K21" s="285"/>
    </row>
    <row r="22" spans="1:15" s="2" customFormat="1" ht="15.75" x14ac:dyDescent="0.25">
      <c r="D22" s="289"/>
      <c r="E22" s="331"/>
      <c r="F22" s="331"/>
      <c r="G22" s="331"/>
      <c r="H22" s="336"/>
      <c r="I22" s="286"/>
      <c r="K22" s="285"/>
    </row>
    <row r="23" spans="1:15" s="2" customFormat="1" ht="15.75" x14ac:dyDescent="0.25">
      <c r="D23" s="328" t="s">
        <v>218</v>
      </c>
      <c r="E23" s="331"/>
      <c r="F23" s="331"/>
      <c r="G23" s="331"/>
      <c r="H23" s="336"/>
      <c r="I23" s="328" t="s">
        <v>417</v>
      </c>
      <c r="J23" s="333"/>
      <c r="K23" s="285"/>
    </row>
    <row r="24" spans="1:15" s="2" customFormat="1" ht="15.75" x14ac:dyDescent="0.25">
      <c r="C24" s="283"/>
      <c r="D24" s="337"/>
      <c r="E24" s="331"/>
      <c r="F24" s="334"/>
      <c r="G24" s="336"/>
      <c r="H24" s="336"/>
      <c r="I24" s="286"/>
      <c r="J24" s="334"/>
      <c r="K24" s="291"/>
    </row>
    <row r="25" spans="1:15" s="2" customFormat="1" ht="15.75" x14ac:dyDescent="0.25">
      <c r="A25" s="4" t="s">
        <v>42</v>
      </c>
      <c r="B25" s="5"/>
      <c r="C25" s="5"/>
      <c r="D25" s="338"/>
      <c r="E25" s="338"/>
      <c r="F25" s="334"/>
      <c r="G25" s="336"/>
      <c r="H25" s="336"/>
      <c r="I25" s="286"/>
      <c r="J25" s="334"/>
      <c r="K25" s="291"/>
    </row>
    <row r="26" spans="1:15" s="2" customFormat="1" ht="15" x14ac:dyDescent="0.2">
      <c r="A26" s="180" t="s">
        <v>2</v>
      </c>
      <c r="B26" s="758" t="s">
        <v>51</v>
      </c>
      <c r="C26" s="758"/>
      <c r="D26" s="758"/>
      <c r="E26" s="758"/>
      <c r="F26" s="758"/>
      <c r="G26" s="758"/>
      <c r="H26" s="758"/>
      <c r="I26" s="331"/>
      <c r="J26" s="331"/>
      <c r="K26" s="285"/>
    </row>
    <row r="27" spans="1:15" s="2" customFormat="1" ht="15" x14ac:dyDescent="0.2">
      <c r="A27" s="180" t="s">
        <v>3</v>
      </c>
      <c r="B27" s="758" t="s">
        <v>224</v>
      </c>
      <c r="C27" s="758"/>
      <c r="D27" s="758"/>
      <c r="E27" s="758"/>
      <c r="F27" s="758"/>
      <c r="G27" s="758"/>
      <c r="H27" s="758"/>
      <c r="I27" s="331"/>
      <c r="J27" s="331"/>
      <c r="K27" s="285"/>
    </row>
    <row r="28" spans="1:15" s="2" customFormat="1" x14ac:dyDescent="0.2">
      <c r="A28" s="180" t="s">
        <v>98</v>
      </c>
      <c r="B28" s="755" t="s">
        <v>223</v>
      </c>
      <c r="C28" s="755"/>
      <c r="D28" s="755"/>
      <c r="E28" s="755"/>
      <c r="F28" s="755"/>
      <c r="G28" s="755"/>
      <c r="H28" s="755"/>
    </row>
    <row r="29" spans="1:15" s="2" customFormat="1" ht="12.75" customHeight="1" x14ac:dyDescent="0.2">
      <c r="A29" s="11" t="s">
        <v>122</v>
      </c>
      <c r="B29" s="754" t="s">
        <v>141</v>
      </c>
      <c r="C29" s="754"/>
      <c r="D29" s="754"/>
      <c r="E29" s="754"/>
      <c r="F29" s="754"/>
      <c r="G29" s="754"/>
      <c r="H29" s="754"/>
      <c r="I29" s="754"/>
      <c r="J29" s="754"/>
      <c r="K29" s="754"/>
      <c r="L29" s="754"/>
      <c r="M29" s="754"/>
      <c r="N29" s="754"/>
    </row>
    <row r="30" spans="1:15" s="2" customFormat="1" ht="12.75" customHeight="1" x14ac:dyDescent="0.2">
      <c r="A30" s="11" t="s">
        <v>123</v>
      </c>
      <c r="B30" s="754" t="s">
        <v>159</v>
      </c>
      <c r="C30" s="754"/>
      <c r="D30" s="754"/>
      <c r="E30" s="754"/>
      <c r="F30" s="754"/>
      <c r="G30" s="754"/>
      <c r="H30" s="754"/>
      <c r="I30" s="754"/>
      <c r="J30" s="754"/>
      <c r="K30" s="754"/>
      <c r="L30" s="754"/>
      <c r="M30" s="754"/>
      <c r="N30" s="754"/>
    </row>
    <row r="31" spans="1:15" ht="15.75" x14ac:dyDescent="0.25">
      <c r="A31" s="142"/>
      <c r="B31" s="284"/>
      <c r="C31" s="284"/>
      <c r="D31" s="284"/>
      <c r="E31" s="284"/>
      <c r="F31" s="284"/>
      <c r="G31" s="284"/>
      <c r="H31" s="284"/>
      <c r="I31" s="554"/>
      <c r="J31" s="554"/>
      <c r="K31" s="554"/>
      <c r="L31" s="554"/>
      <c r="M31" s="2"/>
      <c r="N31" s="2"/>
      <c r="O31" s="2"/>
    </row>
    <row r="32" spans="1:15" x14ac:dyDescent="0.2">
      <c r="I32" s="554"/>
      <c r="J32" s="554"/>
      <c r="K32" s="554"/>
      <c r="L32" s="554"/>
      <c r="M32" s="284"/>
      <c r="N32" s="2"/>
      <c r="O32" s="2"/>
    </row>
    <row r="33" spans="1:256" x14ac:dyDescent="0.2">
      <c r="C33" s="12"/>
      <c r="I33" s="284"/>
      <c r="J33" s="284"/>
      <c r="K33" s="284"/>
      <c r="L33" s="284"/>
      <c r="M33" s="284"/>
    </row>
    <row r="34" spans="1:256" x14ac:dyDescent="0.2">
      <c r="H34" s="6"/>
    </row>
    <row r="35" spans="1:256" x14ac:dyDescent="0.2">
      <c r="F35" s="6"/>
      <c r="G35" s="6"/>
      <c r="H35" s="6"/>
    </row>
    <row r="36" spans="1:256" x14ac:dyDescent="0.2">
      <c r="F36" s="6"/>
      <c r="G36" s="6"/>
      <c r="H36" s="10"/>
    </row>
    <row r="37" spans="1:256" x14ac:dyDescent="0.2">
      <c r="F37" s="284"/>
      <c r="G37" s="284"/>
      <c r="H37" s="10"/>
    </row>
    <row r="38" spans="1:256" x14ac:dyDescent="0.2">
      <c r="F38" s="284"/>
      <c r="G38" s="284"/>
      <c r="H38" s="10"/>
      <c r="I38" s="10"/>
    </row>
    <row r="39" spans="1:256" ht="15.75" x14ac:dyDescent="0.2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
      <c r="F40" s="282"/>
      <c r="G40" s="282"/>
      <c r="I40" s="10"/>
    </row>
    <row r="41" spans="1:256" ht="15.75" x14ac:dyDescent="0.25">
      <c r="F41" s="282"/>
      <c r="G41" s="282"/>
      <c r="I41" s="142"/>
      <c r="J41" s="142"/>
      <c r="K41" s="142"/>
      <c r="L41" s="142"/>
      <c r="M41" s="142"/>
      <c r="O41" s="142"/>
    </row>
    <row r="42" spans="1:256" x14ac:dyDescent="0.2">
      <c r="F42" s="282"/>
      <c r="G42" s="282"/>
    </row>
    <row r="43" spans="1:256" x14ac:dyDescent="0.2">
      <c r="F43" s="282"/>
      <c r="G43" s="282"/>
    </row>
    <row r="44" spans="1:256" x14ac:dyDescent="0.2">
      <c r="F44" s="282"/>
      <c r="G44" s="282"/>
    </row>
    <row r="45" spans="1:256" x14ac:dyDescent="0.2">
      <c r="F45" s="282"/>
      <c r="G45" s="282"/>
    </row>
    <row r="46" spans="1:256" x14ac:dyDescent="0.2">
      <c r="F46" s="282"/>
      <c r="G46" s="282"/>
    </row>
    <row r="47" spans="1:256" x14ac:dyDescent="0.2">
      <c r="A47" s="282"/>
      <c r="B47" s="282"/>
      <c r="C47" s="282"/>
      <c r="D47" s="282"/>
      <c r="E47" s="282"/>
      <c r="F47" s="282"/>
      <c r="G47" s="282"/>
    </row>
  </sheetData>
  <sheetProtection algorithmName="SHA-512" hashValue="dMXcGPikCP0PRTbxMaXrnrBLJgCFlIzUQ0z4ZcUL1NYmDYrLzx7mf0iWEtHmpBCUB4Xs2FI7qry8kCPGq+N0AA==" saltValue="forSNpil6qGcxduj/LQHUQ==" spinCount="100000"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75" right="0.75" top="1" bottom="1" header="0.5" footer="0.5"/>
  <pageSetup scale="84" orientation="landscape" horizontalDpi="4294967293"/>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89"/>
  <sheetViews>
    <sheetView showGridLines="0" zoomScale="80" zoomScaleNormal="80" zoomScaleSheetLayoutView="100" workbookViewId="0">
      <selection activeCell="I19" sqref="I19:I20"/>
    </sheetView>
  </sheetViews>
  <sheetFormatPr defaultColWidth="9.140625"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763"/>
      <c r="D1" s="763"/>
      <c r="E1" s="763"/>
      <c r="F1" s="763"/>
      <c r="G1" s="763"/>
      <c r="H1" s="763"/>
      <c r="I1" s="763"/>
      <c r="J1" s="763"/>
      <c r="K1" s="763"/>
      <c r="L1" s="763"/>
      <c r="M1" s="763"/>
      <c r="N1" s="8"/>
      <c r="O1" s="8"/>
      <c r="P1" s="8"/>
      <c r="Q1" s="8"/>
      <c r="R1" s="8"/>
      <c r="S1" s="8"/>
      <c r="T1" s="8"/>
      <c r="U1" s="143" t="str">
        <f>CONCATENATE('2. Table of Contents'!$F$6," ",'2. Table of Contents'!$G$6)</f>
        <v xml:space="preserve"> </v>
      </c>
      <c r="V1" s="1"/>
    </row>
    <row r="2" spans="2:24" s="2" customFormat="1" ht="18" x14ac:dyDescent="0.25">
      <c r="C2" s="768"/>
      <c r="D2" s="768"/>
      <c r="E2" s="768"/>
      <c r="F2" s="768"/>
      <c r="G2" s="768"/>
      <c r="H2" s="768"/>
      <c r="I2" s="768"/>
      <c r="J2" s="768"/>
      <c r="K2" s="768"/>
      <c r="L2" s="35"/>
      <c r="N2" s="35"/>
      <c r="O2" s="35"/>
      <c r="P2" s="35"/>
      <c r="Q2" s="35"/>
      <c r="R2" s="35"/>
      <c r="S2" s="35"/>
      <c r="T2" s="35"/>
      <c r="U2" s="292"/>
    </row>
    <row r="3" spans="2:24" s="2" customFormat="1" ht="18" x14ac:dyDescent="0.25">
      <c r="C3" s="768"/>
      <c r="D3" s="768"/>
      <c r="E3" s="768"/>
      <c r="F3" s="768"/>
      <c r="G3" s="768"/>
      <c r="H3" s="768"/>
      <c r="I3" s="768"/>
      <c r="J3" s="768"/>
      <c r="K3" s="768"/>
      <c r="L3" s="35"/>
      <c r="N3" s="35"/>
      <c r="O3" s="35"/>
      <c r="P3" s="35"/>
      <c r="Q3" s="35"/>
      <c r="R3" s="35"/>
      <c r="S3" s="35"/>
      <c r="T3" s="35"/>
      <c r="U3" s="292"/>
    </row>
    <row r="4" spans="2:24" s="2" customFormat="1" ht="18" x14ac:dyDescent="0.25">
      <c r="C4" s="768"/>
      <c r="D4" s="768"/>
      <c r="E4" s="768"/>
      <c r="F4" s="768"/>
      <c r="G4" s="768"/>
      <c r="H4" s="768"/>
      <c r="I4" s="768"/>
      <c r="J4" s="768"/>
      <c r="K4" s="768"/>
      <c r="L4" s="35"/>
      <c r="N4" s="35"/>
      <c r="O4" s="35"/>
      <c r="P4" s="35"/>
      <c r="Q4" s="35"/>
      <c r="R4" s="35"/>
      <c r="S4" s="35"/>
      <c r="T4" s="35"/>
      <c r="U4" s="290"/>
    </row>
    <row r="5" spans="2:24" s="2" customFormat="1" ht="15.75" x14ac:dyDescent="0.25">
      <c r="G5" s="3"/>
      <c r="H5" s="3"/>
      <c r="I5" s="3"/>
      <c r="J5" s="3"/>
      <c r="U5" s="285"/>
    </row>
    <row r="6" spans="2:24" s="2" customFormat="1" ht="36.75" customHeight="1" x14ac:dyDescent="0.2">
      <c r="U6" s="285"/>
    </row>
    <row r="7" spans="2:24" ht="4.5" customHeight="1" x14ac:dyDescent="0.2"/>
    <row r="8" spans="2:24" ht="22.5" customHeight="1" x14ac:dyDescent="0.2">
      <c r="E8" s="764"/>
      <c r="F8" s="764"/>
      <c r="G8" s="764"/>
      <c r="H8" s="764"/>
      <c r="I8" s="764"/>
      <c r="J8" s="764"/>
      <c r="K8" s="764"/>
      <c r="L8" s="764"/>
      <c r="M8" s="764"/>
      <c r="N8" s="764"/>
      <c r="O8" s="764"/>
      <c r="P8" s="764"/>
      <c r="Q8" s="764"/>
      <c r="R8" s="764"/>
      <c r="S8" s="764"/>
      <c r="T8" s="764"/>
      <c r="U8" s="764"/>
      <c r="V8" s="140"/>
      <c r="W8" s="13"/>
      <c r="X8" s="14"/>
    </row>
    <row r="9" spans="2:24" ht="22.5" customHeight="1" x14ac:dyDescent="0.25">
      <c r="B9" s="369" t="s">
        <v>253</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
      <c r="V11" s="25"/>
    </row>
    <row r="12" spans="2:24" ht="12.75" customHeight="1" x14ac:dyDescent="0.2">
      <c r="E12" s="771" t="s">
        <v>155</v>
      </c>
      <c r="F12" s="68"/>
      <c r="G12" s="769" t="s">
        <v>3</v>
      </c>
      <c r="H12" s="25"/>
      <c r="I12" s="765" t="str">
        <f>IF(ISBLANK(M12),"","Adjustments")</f>
        <v>Adjustments</v>
      </c>
      <c r="J12" s="68"/>
      <c r="K12" s="298"/>
      <c r="L12" s="298"/>
      <c r="M12" s="773" t="s">
        <v>515</v>
      </c>
      <c r="N12" s="298"/>
      <c r="O12" s="769" t="s">
        <v>147</v>
      </c>
      <c r="P12" s="298"/>
      <c r="Q12" s="765" t="str">
        <f>IF(ISBLANK(M12),"","Adjustments")</f>
        <v>Adjustments</v>
      </c>
      <c r="R12" s="298"/>
      <c r="S12" s="298"/>
      <c r="T12" s="298"/>
      <c r="U12" s="771" t="s">
        <v>154</v>
      </c>
      <c r="V12" s="141"/>
    </row>
    <row r="13" spans="2:24" ht="27" customHeight="1" x14ac:dyDescent="0.2">
      <c r="E13" s="772"/>
      <c r="F13" s="68"/>
      <c r="G13" s="770"/>
      <c r="H13" s="25"/>
      <c r="I13" s="765"/>
      <c r="J13" s="68"/>
      <c r="K13" s="298"/>
      <c r="L13" s="298"/>
      <c r="M13" s="774"/>
      <c r="N13" s="298"/>
      <c r="O13" s="770"/>
      <c r="P13" s="298"/>
      <c r="Q13" s="765"/>
      <c r="R13" s="298"/>
      <c r="S13" s="298"/>
      <c r="T13" s="298"/>
      <c r="U13" s="772"/>
      <c r="V13" s="141"/>
    </row>
    <row r="14" spans="2:24" ht="10.5" customHeight="1" x14ac:dyDescent="0.2">
      <c r="J14" s="25"/>
      <c r="V14" s="25"/>
    </row>
    <row r="15" spans="2:24" x14ac:dyDescent="0.2">
      <c r="B15" s="295">
        <v>1</v>
      </c>
      <c r="C15" s="17" t="s">
        <v>7</v>
      </c>
      <c r="D15" s="17"/>
      <c r="J15" s="25"/>
      <c r="V15" s="25"/>
    </row>
    <row r="16" spans="2:24" x14ac:dyDescent="0.2">
      <c r="B16" s="296"/>
      <c r="C16" s="5" t="s">
        <v>100</v>
      </c>
      <c r="E16" s="347">
        <v>56132842.732500017</v>
      </c>
      <c r="F16" s="227"/>
      <c r="G16" s="352"/>
      <c r="H16" s="11"/>
      <c r="I16" s="347">
        <v>-982155.94750001281</v>
      </c>
      <c r="J16" s="227"/>
      <c r="K16" s="732" t="s">
        <v>509</v>
      </c>
      <c r="L16" s="193"/>
      <c r="M16" s="228">
        <f>IF(ISBLANK(E16),0,E16+I16)</f>
        <v>55150686.785000004</v>
      </c>
      <c r="N16" s="193"/>
      <c r="O16" s="353"/>
      <c r="P16" s="193"/>
      <c r="Q16" s="347"/>
      <c r="R16" s="227"/>
      <c r="S16" s="353"/>
      <c r="T16" s="193"/>
      <c r="U16" s="229">
        <f>IF(ISBLANK(E16),"",E16+I16+Q16)</f>
        <v>55150686.785000004</v>
      </c>
      <c r="V16" s="18"/>
    </row>
    <row r="17" spans="2:29" ht="14.25" x14ac:dyDescent="0.2">
      <c r="B17" s="296"/>
      <c r="C17" s="5" t="s">
        <v>101</v>
      </c>
      <c r="E17" s="347">
        <v>-27607193.203133006</v>
      </c>
      <c r="F17" s="227"/>
      <c r="G17" s="484" t="s">
        <v>123</v>
      </c>
      <c r="H17" s="11"/>
      <c r="I17" s="347">
        <v>830118.58328421414</v>
      </c>
      <c r="J17" s="227"/>
      <c r="K17" s="732" t="s">
        <v>509</v>
      </c>
      <c r="L17" s="193"/>
      <c r="M17" s="229">
        <f>IF(ISBLANK(E17),0,E17+I17)</f>
        <v>-26777074.619848792</v>
      </c>
      <c r="N17" s="193"/>
      <c r="O17" s="353"/>
      <c r="P17" s="193"/>
      <c r="Q17" s="347"/>
      <c r="R17" s="227"/>
      <c r="S17" s="353"/>
      <c r="T17" s="193"/>
      <c r="U17" s="229">
        <f>IF(ISBLANK(E17),"",E17+I17+Q17)</f>
        <v>-26777074.619848792</v>
      </c>
      <c r="V17" s="18"/>
    </row>
    <row r="18" spans="2:29" x14ac:dyDescent="0.2">
      <c r="B18" s="296"/>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
      <c r="B19" s="296"/>
      <c r="C19" s="5" t="s">
        <v>61</v>
      </c>
      <c r="E19" s="347">
        <v>3009140.5497909407</v>
      </c>
      <c r="F19" s="227"/>
      <c r="G19" s="353"/>
      <c r="H19" s="192"/>
      <c r="I19" s="347">
        <v>-9420.6211834261194</v>
      </c>
      <c r="J19" s="227"/>
      <c r="K19" s="732" t="s">
        <v>510</v>
      </c>
      <c r="L19" s="193"/>
      <c r="M19" s="230">
        <f>IF(ISBLANK(E19),0,E19+I19)</f>
        <v>2999719.9286075146</v>
      </c>
      <c r="N19" s="193"/>
      <c r="O19" s="353"/>
      <c r="P19" s="193"/>
      <c r="Q19" s="347"/>
      <c r="R19" s="227"/>
      <c r="S19" s="353"/>
      <c r="T19" s="193"/>
      <c r="U19" s="229">
        <f>IF(ISBLANK(E19),"",E19+I19+Q19)</f>
        <v>2999719.9286075146</v>
      </c>
      <c r="V19" s="18"/>
    </row>
    <row r="20" spans="2:29" x14ac:dyDescent="0.2">
      <c r="B20" s="296"/>
      <c r="C20" s="5" t="s">
        <v>62</v>
      </c>
      <c r="E20" s="347">
        <v>25955675.451699954</v>
      </c>
      <c r="F20" s="227"/>
      <c r="G20" s="353"/>
      <c r="H20" s="192"/>
      <c r="I20" s="347">
        <v>-66203.850777573884</v>
      </c>
      <c r="J20" s="227"/>
      <c r="K20" s="732" t="s">
        <v>512</v>
      </c>
      <c r="L20" s="193"/>
      <c r="M20" s="230">
        <f>IF(ISBLANK(E20),0,E20+I20)</f>
        <v>25889471.60092238</v>
      </c>
      <c r="N20" s="193"/>
      <c r="O20" s="353"/>
      <c r="P20" s="193"/>
      <c r="Q20" s="347"/>
      <c r="R20" s="227"/>
      <c r="S20" s="353"/>
      <c r="T20" s="193"/>
      <c r="U20" s="229">
        <f>IF(ISBLANK(E20),"",E20+I20+Q20)</f>
        <v>25889471.60092238</v>
      </c>
      <c r="V20" s="18"/>
      <c r="Y20" s="765"/>
    </row>
    <row r="21" spans="2:29" ht="14.25" x14ac:dyDescent="0.2">
      <c r="B21" s="296"/>
      <c r="C21" s="5" t="s">
        <v>63</v>
      </c>
      <c r="E21" s="348">
        <v>7.4999999999999997E-2</v>
      </c>
      <c r="F21" s="233"/>
      <c r="G21" s="484" t="s">
        <v>236</v>
      </c>
      <c r="H21" s="192"/>
      <c r="I21" s="231"/>
      <c r="J21" s="231"/>
      <c r="K21" s="192"/>
      <c r="L21" s="192"/>
      <c r="M21" s="348">
        <v>7.4999999999999997E-2</v>
      </c>
      <c r="N21" s="233"/>
      <c r="O21" s="484" t="s">
        <v>236</v>
      </c>
      <c r="P21" s="192"/>
      <c r="Q21" s="192"/>
      <c r="R21" s="192"/>
      <c r="S21" s="192"/>
      <c r="T21" s="192"/>
      <c r="U21" s="348"/>
      <c r="V21" s="174"/>
      <c r="W21" s="484" t="s">
        <v>236</v>
      </c>
      <c r="Y21" s="765"/>
    </row>
    <row r="22" spans="2:29" ht="10.5" customHeight="1" x14ac:dyDescent="0.2">
      <c r="B22" s="296"/>
      <c r="E22" s="225"/>
      <c r="F22" s="231"/>
      <c r="G22" s="192"/>
      <c r="H22" s="192"/>
      <c r="I22" s="225"/>
      <c r="J22" s="231"/>
      <c r="K22" s="192"/>
      <c r="L22" s="192"/>
      <c r="M22" s="233"/>
      <c r="N22" s="233"/>
      <c r="O22" s="234"/>
      <c r="P22" s="192"/>
      <c r="Q22" s="192"/>
      <c r="R22" s="192"/>
      <c r="S22" s="192"/>
      <c r="T22" s="192"/>
      <c r="U22" s="225"/>
      <c r="V22" s="20"/>
    </row>
    <row r="23" spans="2:29" x14ac:dyDescent="0.2">
      <c r="B23" s="295">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
      <c r="B24" s="296"/>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
      <c r="B25" s="296"/>
      <c r="C25" s="24" t="s">
        <v>113</v>
      </c>
      <c r="D25" s="24"/>
      <c r="E25" s="347">
        <v>5494022.6225560522</v>
      </c>
      <c r="F25" s="227"/>
      <c r="G25" s="353"/>
      <c r="H25" s="192"/>
      <c r="I25" s="231">
        <f>IF(ISBLANK(M25),"",IF(ISBLANK(E25),"",M25-E25))</f>
        <v>-1066.7092006867751</v>
      </c>
      <c r="J25" s="231"/>
      <c r="K25" s="192"/>
      <c r="L25" s="192"/>
      <c r="M25" s="347">
        <v>5492955.9133553654</v>
      </c>
      <c r="N25" s="227"/>
      <c r="O25" s="353"/>
      <c r="P25" s="192"/>
      <c r="Q25" s="231" t="str">
        <f>IF(ISBLANK(U25),"",IF(ISBLANK(M25),"",U25-M25))</f>
        <v/>
      </c>
      <c r="R25" s="192"/>
      <c r="S25" s="192"/>
      <c r="T25" s="192"/>
      <c r="U25" s="347"/>
      <c r="V25" s="28"/>
      <c r="W25" s="354"/>
    </row>
    <row r="26" spans="2:29" x14ac:dyDescent="0.2">
      <c r="B26" s="296"/>
      <c r="C26" s="5" t="s">
        <v>109</v>
      </c>
      <c r="E26" s="347">
        <v>5544424.0270126099</v>
      </c>
      <c r="F26" s="227"/>
      <c r="G26" s="353"/>
      <c r="H26" s="192"/>
      <c r="I26" s="231">
        <f>IF(ISBLANK(M26),"",IF(ISBLANK(E26),"",M26-E26))</f>
        <v>4224.5910969376564</v>
      </c>
      <c r="J26" s="229"/>
      <c r="K26" s="192"/>
      <c r="L26" s="192"/>
      <c r="M26" s="347">
        <v>5548648.6181095475</v>
      </c>
      <c r="N26" s="227"/>
      <c r="O26" s="353"/>
      <c r="P26" s="192"/>
      <c r="Q26" s="231" t="str">
        <f>IF(ISBLANK(U26),"",IF(ISBLANK(M26),"",U26-M26))</f>
        <v/>
      </c>
      <c r="R26" s="192"/>
      <c r="S26" s="192"/>
      <c r="T26" s="192"/>
      <c r="U26" s="347"/>
      <c r="V26" s="28"/>
      <c r="W26" s="354"/>
    </row>
    <row r="27" spans="2:29" x14ac:dyDescent="0.2">
      <c r="B27" s="296"/>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
      <c r="B28" s="296"/>
      <c r="C28" s="5" t="s">
        <v>68</v>
      </c>
      <c r="E28" s="347">
        <v>87551.285769230759</v>
      </c>
      <c r="F28" s="227"/>
      <c r="G28" s="353"/>
      <c r="H28" s="192"/>
      <c r="I28" s="231">
        <f>IF(ISBLANK(M28),"",IF(ISBLANK(E28),"",M28-E28))</f>
        <v>-23696.794999999998</v>
      </c>
      <c r="J28" s="231"/>
      <c r="K28" s="192"/>
      <c r="L28" s="192"/>
      <c r="M28" s="347">
        <v>63854.490769230761</v>
      </c>
      <c r="N28" s="227"/>
      <c r="O28" s="353"/>
      <c r="P28" s="192"/>
      <c r="Q28" s="231" t="str">
        <f>IF(ISBLANK(U28),"",IF(ISBLANK(M28),"",U28-M28))</f>
        <v/>
      </c>
      <c r="R28" s="192"/>
      <c r="S28" s="192"/>
      <c r="T28" s="192"/>
      <c r="U28" s="347"/>
      <c r="V28" s="28"/>
      <c r="W28" s="354"/>
    </row>
    <row r="29" spans="2:29" x14ac:dyDescent="0.2">
      <c r="B29" s="296"/>
      <c r="C29" s="5" t="s">
        <v>69</v>
      </c>
      <c r="E29" s="347">
        <v>54283.837500000001</v>
      </c>
      <c r="F29" s="227"/>
      <c r="G29" s="353"/>
      <c r="H29" s="192"/>
      <c r="I29" s="231">
        <f>IF(ISBLANK(M29),"",IF(ISBLANK(E29),"",M29-E29))</f>
        <v>0</v>
      </c>
      <c r="J29" s="231"/>
      <c r="K29" s="192"/>
      <c r="L29" s="192"/>
      <c r="M29" s="347">
        <v>54283.837500000001</v>
      </c>
      <c r="N29" s="227"/>
      <c r="O29" s="353"/>
      <c r="P29" s="192"/>
      <c r="Q29" s="231" t="str">
        <f>IF(ISBLANK(U29),"",IF(ISBLANK(M29),"",U29-M29))</f>
        <v/>
      </c>
      <c r="R29" s="192"/>
      <c r="S29" s="192"/>
      <c r="T29" s="192"/>
      <c r="U29" s="347"/>
      <c r="V29" s="28"/>
      <c r="W29" s="354"/>
    </row>
    <row r="30" spans="2:29" x14ac:dyDescent="0.2">
      <c r="B30" s="296"/>
      <c r="C30" s="5" t="s">
        <v>70</v>
      </c>
      <c r="E30" s="347">
        <v>310169.87255292875</v>
      </c>
      <c r="F30" s="227"/>
      <c r="G30" s="353"/>
      <c r="H30" s="192"/>
      <c r="I30" s="231">
        <f>IF(ISBLANK(M30),"",IF(ISBLANK(E30),"",M30-E30))</f>
        <v>3205.2904902686714</v>
      </c>
      <c r="J30" s="231"/>
      <c r="K30" s="192"/>
      <c r="L30" s="192"/>
      <c r="M30" s="347">
        <v>313375.16304319742</v>
      </c>
      <c r="N30" s="227"/>
      <c r="O30" s="353"/>
      <c r="P30" s="192"/>
      <c r="Q30" s="231" t="str">
        <f>IF(ISBLANK(U30),"",IF(ISBLANK(M30),"",U30-M30))</f>
        <v/>
      </c>
      <c r="R30" s="192"/>
      <c r="S30" s="192"/>
      <c r="T30" s="192"/>
      <c r="U30" s="347"/>
      <c r="V30" s="28"/>
      <c r="W30" s="354"/>
    </row>
    <row r="31" spans="2:29" x14ac:dyDescent="0.2">
      <c r="B31" s="296"/>
      <c r="C31" s="5" t="s">
        <v>71</v>
      </c>
      <c r="E31" s="347">
        <v>50933.999999999978</v>
      </c>
      <c r="F31" s="227"/>
      <c r="G31" s="353"/>
      <c r="H31" s="192"/>
      <c r="I31" s="231">
        <f>IF(ISBLANK(M31),"",IF(ISBLANK(E31),"",M31-E31))</f>
        <v>0</v>
      </c>
      <c r="J31" s="231"/>
      <c r="K31" s="192"/>
      <c r="L31" s="192"/>
      <c r="M31" s="347">
        <v>50933.999999999978</v>
      </c>
      <c r="N31" s="227"/>
      <c r="O31" s="353"/>
      <c r="P31" s="192"/>
      <c r="Q31" s="231" t="str">
        <f>IF(ISBLANK(U31),"",IF(ISBLANK(M31),"",U31-M31))</f>
        <v/>
      </c>
      <c r="R31" s="192"/>
      <c r="S31" s="192"/>
      <c r="T31" s="192"/>
      <c r="U31" s="347"/>
      <c r="V31" s="28"/>
      <c r="W31" s="354"/>
    </row>
    <row r="32" spans="2:29" x14ac:dyDescent="0.2">
      <c r="B32" s="296"/>
      <c r="D32" s="25"/>
      <c r="E32" s="339"/>
      <c r="F32" s="227"/>
      <c r="G32" s="261"/>
      <c r="H32" s="193"/>
      <c r="I32" s="231"/>
      <c r="J32" s="231"/>
      <c r="K32" s="193"/>
      <c r="L32" s="193"/>
      <c r="M32" s="339"/>
      <c r="N32" s="227"/>
      <c r="O32" s="261"/>
      <c r="P32" s="193"/>
      <c r="Q32" s="231"/>
      <c r="R32" s="193"/>
      <c r="S32" s="193"/>
      <c r="T32" s="193"/>
      <c r="U32" s="339"/>
      <c r="V32" s="28"/>
      <c r="W32" s="340"/>
    </row>
    <row r="33" spans="2:23" ht="14.25" x14ac:dyDescent="0.2">
      <c r="B33" s="296"/>
      <c r="D33" s="5" t="s">
        <v>57</v>
      </c>
      <c r="E33" s="347">
        <v>502938.99582215952</v>
      </c>
      <c r="F33" s="227"/>
      <c r="G33" s="484" t="s">
        <v>229</v>
      </c>
      <c r="H33" s="192"/>
      <c r="I33" s="231">
        <f>IF(ISBLANK(M33),"",IF(ISBLANK(E33),"",M33-E33))</f>
        <v>-20491.50450973137</v>
      </c>
      <c r="J33" s="231"/>
      <c r="K33" s="192"/>
      <c r="L33" s="192"/>
      <c r="M33" s="347">
        <v>482447.49131242814</v>
      </c>
      <c r="N33" s="227"/>
      <c r="O33" s="353"/>
      <c r="P33" s="192"/>
      <c r="Q33" s="231" t="str">
        <f>IF(ISBLANK(U33),"",IF(ISBLANK(M33),"",U33-M33))</f>
        <v/>
      </c>
      <c r="R33" s="192"/>
      <c r="S33" s="192"/>
      <c r="T33" s="192"/>
      <c r="U33" s="347"/>
      <c r="V33" s="28"/>
      <c r="W33" s="354"/>
    </row>
    <row r="34" spans="2:23" ht="10.5" customHeight="1" x14ac:dyDescent="0.2">
      <c r="B34" s="296"/>
      <c r="E34" s="231"/>
      <c r="F34" s="231"/>
      <c r="G34" s="193"/>
      <c r="H34" s="193"/>
      <c r="I34" s="231"/>
      <c r="J34" s="231"/>
      <c r="K34" s="193"/>
      <c r="L34" s="193"/>
      <c r="M34" s="193"/>
      <c r="N34" s="193"/>
      <c r="O34" s="193"/>
      <c r="P34" s="193"/>
      <c r="Q34" s="193"/>
      <c r="R34" s="193"/>
      <c r="S34" s="193"/>
      <c r="T34" s="193"/>
      <c r="U34" s="231"/>
      <c r="V34" s="20"/>
    </row>
    <row r="35" spans="2:23" x14ac:dyDescent="0.2">
      <c r="B35" s="296"/>
      <c r="C35" s="19" t="s">
        <v>25</v>
      </c>
      <c r="D35" s="19"/>
      <c r="E35" s="225"/>
      <c r="F35" s="231"/>
      <c r="G35" s="192"/>
      <c r="H35" s="192"/>
      <c r="I35" s="225"/>
      <c r="J35" s="231"/>
      <c r="K35" s="192"/>
      <c r="L35" s="192"/>
      <c r="M35" s="192"/>
      <c r="N35" s="192"/>
      <c r="O35" s="192"/>
      <c r="P35" s="192"/>
      <c r="Q35" s="192"/>
      <c r="R35" s="192"/>
      <c r="S35" s="192"/>
      <c r="T35" s="192"/>
      <c r="U35" s="225"/>
      <c r="V35" s="20"/>
    </row>
    <row r="36" spans="2:23" x14ac:dyDescent="0.2">
      <c r="B36" s="296"/>
      <c r="C36" s="5" t="s">
        <v>65</v>
      </c>
      <c r="E36" s="347">
        <v>2974185.7497909409</v>
      </c>
      <c r="F36" s="227"/>
      <c r="G36" s="353"/>
      <c r="H36" s="192"/>
      <c r="I36" s="347">
        <v>-9420.6211834261194</v>
      </c>
      <c r="J36" s="227"/>
      <c r="K36" s="732" t="s">
        <v>510</v>
      </c>
      <c r="L36" s="192"/>
      <c r="M36" s="230">
        <f>IF(ISBLANK(E36),"",E36+I36)</f>
        <v>2964765.1286075148</v>
      </c>
      <c r="N36" s="192"/>
      <c r="O36" s="192"/>
      <c r="P36" s="192"/>
      <c r="Q36" s="347"/>
      <c r="R36" s="227"/>
      <c r="S36" s="353"/>
      <c r="T36" s="192"/>
      <c r="U36" s="229">
        <f>IF(ISBLANK(E36),"",E36+I36+Q36)</f>
        <v>2964765.1286075148</v>
      </c>
      <c r="V36" s="18"/>
    </row>
    <row r="37" spans="2:23" x14ac:dyDescent="0.2">
      <c r="B37" s="296"/>
      <c r="C37" s="5" t="s">
        <v>143</v>
      </c>
      <c r="E37" s="347">
        <v>1157365.0285484223</v>
      </c>
      <c r="F37" s="227"/>
      <c r="G37" s="353"/>
      <c r="H37" s="192"/>
      <c r="I37" s="347">
        <v>-28599.452793947188</v>
      </c>
      <c r="J37" s="227"/>
      <c r="K37" s="732" t="s">
        <v>509</v>
      </c>
      <c r="L37" s="192"/>
      <c r="M37" s="230">
        <f>IF(ISBLANK(E37),"",E37+I37)</f>
        <v>1128765.5757544751</v>
      </c>
      <c r="N37" s="192"/>
      <c r="O37" s="192"/>
      <c r="P37" s="192"/>
      <c r="Q37" s="347"/>
      <c r="R37" s="227"/>
      <c r="S37" s="353"/>
      <c r="T37" s="192"/>
      <c r="U37" s="229">
        <f>IF(ISBLANK(E37),"",E37+I37+Q37)</f>
        <v>1128765.5757544751</v>
      </c>
      <c r="V37" s="18"/>
    </row>
    <row r="38" spans="2:23" x14ac:dyDescent="0.2">
      <c r="B38" s="296"/>
      <c r="C38" s="5" t="s">
        <v>66</v>
      </c>
      <c r="E38" s="347">
        <v>34954.80000000001</v>
      </c>
      <c r="F38" s="227"/>
      <c r="G38" s="353"/>
      <c r="H38" s="192"/>
      <c r="I38" s="347">
        <v>0</v>
      </c>
      <c r="J38" s="227"/>
      <c r="K38" s="353"/>
      <c r="L38" s="192"/>
      <c r="M38" s="230">
        <f>IF(ISBLANK(E38),"",E38+I38)</f>
        <v>34954.80000000001</v>
      </c>
      <c r="N38" s="192"/>
      <c r="O38" s="192"/>
      <c r="P38" s="192"/>
      <c r="Q38" s="347"/>
      <c r="R38" s="227"/>
      <c r="S38" s="353"/>
      <c r="T38" s="192"/>
      <c r="U38" s="229">
        <f>IF(ISBLANK(E38),"",E38+I38+Q38)</f>
        <v>34954.80000000001</v>
      </c>
      <c r="V38" s="18"/>
    </row>
    <row r="39" spans="2:23" s="169" customFormat="1" ht="0.75" customHeight="1" x14ac:dyDescent="0.2">
      <c r="B39" s="322"/>
      <c r="C39" s="169" t="inlineStr">
        <is>
          <t/>
        </is>
      </c>
      <c r="E39" s="323"/>
      <c r="F39" s="323"/>
      <c r="G39" s="324"/>
      <c r="H39" s="324"/>
      <c r="I39" s="325"/>
      <c r="J39" s="325"/>
      <c r="K39" s="326"/>
      <c r="L39" s="326"/>
      <c r="M39" s="323" t="inlineStr">
        <is>
          <t/>
        </is>
      </c>
      <c r="N39" s="326"/>
      <c r="O39" s="326"/>
      <c r="P39" s="326"/>
      <c r="Q39" s="325"/>
      <c r="R39" s="325"/>
      <c r="S39" s="326"/>
      <c r="T39" s="326"/>
      <c r="U39" s="323" t="inlineStr">
        <is>
          <t/>
        </is>
      </c>
      <c r="V39" s="327"/>
    </row>
    <row r="40" spans="2:23" x14ac:dyDescent="0.2">
      <c r="B40" s="296"/>
      <c r="C40" s="5" t="s">
        <v>93</v>
      </c>
      <c r="E40" s="347"/>
      <c r="F40" s="227"/>
      <c r="G40" s="353"/>
      <c r="H40" s="192"/>
      <c r="I40" s="347"/>
      <c r="J40" s="227"/>
      <c r="K40" s="353"/>
      <c r="L40" s="192"/>
      <c r="M40" s="193" t="str">
        <f>IF(ISBLANK(E40),"",E40+I40)</f>
        <v/>
      </c>
      <c r="N40" s="192"/>
      <c r="O40" s="192"/>
      <c r="P40" s="192"/>
      <c r="Q40" s="347"/>
      <c r="R40" s="227"/>
      <c r="S40" s="353"/>
      <c r="T40" s="192"/>
      <c r="U40" s="229" t="str">
        <f>IF(ISBLANK(E40),"",E40+I40+Q40)</f>
        <v/>
      </c>
      <c r="V40" s="18"/>
    </row>
    <row r="41" spans="2:23" ht="9.75" customHeight="1" x14ac:dyDescent="0.2">
      <c r="B41" s="296"/>
      <c r="E41" s="225"/>
      <c r="F41" s="231"/>
      <c r="G41" s="192"/>
      <c r="H41" s="192"/>
      <c r="I41" s="225"/>
      <c r="J41" s="231"/>
      <c r="K41" s="192"/>
      <c r="L41" s="192"/>
      <c r="M41" s="192"/>
      <c r="N41" s="192"/>
      <c r="O41" s="192"/>
      <c r="P41" s="192"/>
      <c r="Q41" s="192"/>
      <c r="R41" s="192"/>
      <c r="S41" s="192"/>
      <c r="T41" s="192"/>
      <c r="U41" s="225"/>
      <c r="V41" s="20"/>
    </row>
    <row r="42" spans="2:23" x14ac:dyDescent="0.2">
      <c r="B42" s="295">
        <v>3</v>
      </c>
      <c r="C42" s="26" t="s">
        <v>6</v>
      </c>
      <c r="D42" s="26"/>
      <c r="E42" s="225"/>
      <c r="F42" s="231"/>
      <c r="G42" s="192"/>
      <c r="H42" s="192"/>
      <c r="I42" s="225"/>
      <c r="J42" s="231"/>
      <c r="K42" s="192"/>
      <c r="L42" s="192"/>
      <c r="M42" s="192"/>
      <c r="N42" s="192"/>
      <c r="O42" s="192"/>
      <c r="P42" s="192"/>
      <c r="Q42" s="192"/>
      <c r="R42" s="192"/>
      <c r="S42" s="192"/>
      <c r="T42" s="192"/>
      <c r="U42" s="225"/>
      <c r="V42" s="20"/>
    </row>
    <row r="43" spans="2:23" x14ac:dyDescent="0.2">
      <c r="B43" s="296"/>
      <c r="C43" s="5" t="s">
        <v>72</v>
      </c>
      <c r="E43" s="225"/>
      <c r="F43" s="231"/>
      <c r="G43" s="192"/>
      <c r="H43" s="192"/>
      <c r="I43" s="225"/>
      <c r="J43" s="231"/>
      <c r="K43" s="192"/>
      <c r="L43" s="192"/>
      <c r="M43" s="192"/>
      <c r="N43" s="192"/>
      <c r="O43" s="192"/>
      <c r="P43" s="192"/>
      <c r="Q43" s="192"/>
      <c r="R43" s="192"/>
      <c r="S43" s="192"/>
      <c r="T43" s="192"/>
      <c r="U43" s="225"/>
      <c r="V43" s="20"/>
    </row>
    <row r="44" spans="2:23" ht="26.25" customHeight="1" x14ac:dyDescent="0.2">
      <c r="B44" s="296"/>
      <c r="C44" s="27"/>
      <c r="D44" s="27" t="s">
        <v>146</v>
      </c>
      <c r="E44" s="347">
        <v>-800511.63163715601</v>
      </c>
      <c r="F44" s="227"/>
      <c r="G44" s="484" t="s">
        <v>98</v>
      </c>
      <c r="H44" s="11"/>
      <c r="I44" s="229"/>
      <c r="J44" s="229"/>
      <c r="K44" s="192"/>
      <c r="L44" s="192"/>
      <c r="M44" s="347">
        <v>-831847.24437337043</v>
      </c>
      <c r="N44" s="227"/>
      <c r="O44" s="352"/>
      <c r="P44" s="192"/>
      <c r="Q44" s="192"/>
      <c r="R44" s="192"/>
      <c r="S44" s="192"/>
      <c r="T44" s="192"/>
      <c r="U44" s="347"/>
      <c r="V44" s="28"/>
      <c r="W44" s="354"/>
    </row>
    <row r="45" spans="2:23" x14ac:dyDescent="0.2">
      <c r="B45" s="296"/>
      <c r="C45" s="19" t="s">
        <v>73</v>
      </c>
      <c r="D45" s="19"/>
      <c r="E45" s="225"/>
      <c r="F45" s="231"/>
      <c r="G45" s="192"/>
      <c r="H45" s="192"/>
      <c r="I45" s="225"/>
      <c r="J45" s="231"/>
      <c r="K45" s="192"/>
      <c r="L45" s="192"/>
      <c r="M45" s="225"/>
      <c r="N45" s="231"/>
      <c r="O45" s="192"/>
      <c r="P45" s="192"/>
      <c r="Q45" s="192"/>
      <c r="R45" s="192"/>
      <c r="S45" s="192"/>
      <c r="T45" s="192"/>
      <c r="U45" s="225"/>
      <c r="V45" s="20"/>
    </row>
    <row r="46" spans="2:23" x14ac:dyDescent="0.2">
      <c r="B46" s="296"/>
      <c r="C46" s="5" t="s">
        <v>125</v>
      </c>
      <c r="E46" s="347">
        <v>80723.439975381421</v>
      </c>
      <c r="F46" s="227"/>
      <c r="G46" s="353"/>
      <c r="H46" s="192"/>
      <c r="I46" s="225"/>
      <c r="J46" s="231"/>
      <c r="K46" s="192"/>
      <c r="L46" s="192"/>
      <c r="M46" s="347">
        <v>70267.502443544814</v>
      </c>
      <c r="N46" s="227"/>
      <c r="O46" s="353"/>
      <c r="P46" s="192"/>
      <c r="Q46" s="192"/>
      <c r="R46" s="192"/>
      <c r="S46" s="192"/>
      <c r="T46" s="192"/>
      <c r="U46" s="347"/>
      <c r="V46" s="28"/>
      <c r="W46" s="354"/>
    </row>
    <row r="47" spans="2:23" x14ac:dyDescent="0.2">
      <c r="B47" s="296"/>
      <c r="C47" s="19" t="s">
        <v>126</v>
      </c>
      <c r="D47" s="19"/>
      <c r="E47" s="227">
        <f>IF(ISBLANK(E46),"",E46/(1-SUM(E49:E50)))</f>
        <v>109827.80949031486</v>
      </c>
      <c r="F47" s="227"/>
      <c r="G47" s="235"/>
      <c r="H47" s="235"/>
      <c r="I47" s="236"/>
      <c r="J47" s="236"/>
      <c r="K47" s="235"/>
      <c r="L47" s="235"/>
      <c r="M47" s="227">
        <f>IF(ISBLANK(M46),"",M46/(1-SUM(M49:M50)))</f>
        <v>95602.044140877304</v>
      </c>
      <c r="N47" s="227"/>
      <c r="O47" s="235"/>
      <c r="P47" s="235"/>
      <c r="Q47" s="235"/>
      <c r="R47" s="235"/>
      <c r="S47" s="235"/>
      <c r="T47" s="235"/>
      <c r="U47" s="227" t="str">
        <f>IF(ISBLANK(U46),"",U46/(1-SUM(U49:U50)))</f>
        <v/>
      </c>
      <c r="V47" s="28"/>
    </row>
    <row r="48" spans="2:23" ht="0.75" customHeight="1" x14ac:dyDescent="0.2">
      <c r="B48" s="296"/>
      <c r="C48" s="169" t="inlineStr">
        <is>
          <t/>
        </is>
      </c>
      <c r="D48" s="171"/>
      <c r="E48" s="227"/>
      <c r="F48" s="227"/>
      <c r="G48" s="237"/>
      <c r="H48" s="192"/>
      <c r="I48" s="225"/>
      <c r="J48" s="231"/>
      <c r="K48" s="192"/>
      <c r="L48" s="192"/>
      <c r="M48" s="227"/>
      <c r="N48" s="227"/>
      <c r="O48" s="237"/>
      <c r="P48" s="192"/>
      <c r="Q48" s="192"/>
      <c r="R48" s="192"/>
      <c r="S48" s="192"/>
      <c r="T48" s="192"/>
      <c r="U48" s="233"/>
      <c r="V48" s="28"/>
      <c r="W48" s="176"/>
    </row>
    <row r="49" spans="2:23" x14ac:dyDescent="0.2">
      <c r="B49" s="296"/>
      <c r="C49" s="5" t="s">
        <v>83</v>
      </c>
      <c r="E49" s="348">
        <v>0.15</v>
      </c>
      <c r="F49" s="233"/>
      <c r="G49" s="353"/>
      <c r="H49" s="192"/>
      <c r="I49" s="192"/>
      <c r="J49" s="193"/>
      <c r="K49" s="192"/>
      <c r="L49" s="192"/>
      <c r="M49" s="348">
        <v>0.15</v>
      </c>
      <c r="N49" s="233"/>
      <c r="O49" s="353"/>
      <c r="P49" s="192"/>
      <c r="Q49" s="192"/>
      <c r="R49" s="192"/>
      <c r="S49" s="192"/>
      <c r="T49" s="192"/>
      <c r="U49" s="348"/>
      <c r="V49" s="174"/>
      <c r="W49" s="354"/>
    </row>
    <row r="50" spans="2:23" x14ac:dyDescent="0.2">
      <c r="B50" s="296"/>
      <c r="C50" s="5" t="s">
        <v>84</v>
      </c>
      <c r="E50" s="348">
        <v>0.11499999999999999</v>
      </c>
      <c r="F50" s="233"/>
      <c r="G50" s="353"/>
      <c r="H50" s="192"/>
      <c r="I50" s="192"/>
      <c r="J50" s="193"/>
      <c r="K50" s="192"/>
      <c r="L50" s="192"/>
      <c r="M50" s="348">
        <v>0.115</v>
      </c>
      <c r="N50" s="233"/>
      <c r="O50" s="353"/>
      <c r="P50" s="192"/>
      <c r="Q50" s="192"/>
      <c r="R50" s="192"/>
      <c r="S50" s="192"/>
      <c r="T50" s="192"/>
      <c r="U50" s="348"/>
      <c r="V50" s="174"/>
      <c r="W50" s="354"/>
    </row>
    <row r="51" spans="2:23" x14ac:dyDescent="0.2">
      <c r="B51" s="296"/>
      <c r="C51" s="30" t="s">
        <v>116</v>
      </c>
      <c r="D51" s="30"/>
      <c r="E51" s="347">
        <v>0</v>
      </c>
      <c r="F51" s="227"/>
      <c r="G51" s="353"/>
      <c r="H51" s="192"/>
      <c r="I51" s="192"/>
      <c r="J51" s="193"/>
      <c r="K51" s="192"/>
      <c r="L51" s="192"/>
      <c r="M51" s="347">
        <v>0</v>
      </c>
      <c r="N51" s="227"/>
      <c r="O51" s="353"/>
      <c r="P51" s="192"/>
      <c r="Q51" s="192"/>
      <c r="R51" s="192"/>
      <c r="S51" s="192"/>
      <c r="T51" s="192"/>
      <c r="U51" s="347"/>
      <c r="V51" s="28"/>
      <c r="W51" s="354"/>
    </row>
    <row r="52" spans="2:23" ht="10.5" customHeight="1" x14ac:dyDescent="0.2">
      <c r="B52" s="296"/>
      <c r="C52" s="5" t="s">
        <v>60</v>
      </c>
      <c r="E52" s="192"/>
      <c r="F52" s="193"/>
      <c r="G52" s="192"/>
      <c r="H52" s="192"/>
      <c r="I52" s="192"/>
      <c r="J52" s="193"/>
      <c r="K52" s="192"/>
      <c r="L52" s="192"/>
      <c r="M52" s="192"/>
      <c r="N52" s="193"/>
      <c r="O52" s="192"/>
      <c r="P52" s="192"/>
      <c r="Q52" s="192"/>
      <c r="R52" s="192"/>
      <c r="S52" s="192"/>
      <c r="T52" s="192"/>
      <c r="U52" s="192"/>
      <c r="V52" s="25"/>
    </row>
    <row r="53" spans="2:23" x14ac:dyDescent="0.2">
      <c r="B53" s="295">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
      <c r="C55" s="5" t="s">
        <v>74</v>
      </c>
      <c r="E55" s="348">
        <v>0.56000000000000016</v>
      </c>
      <c r="F55" s="238"/>
      <c r="G55" s="353"/>
      <c r="H55" s="192"/>
      <c r="I55" s="192"/>
      <c r="J55" s="193"/>
      <c r="K55" s="192"/>
      <c r="L55" s="192"/>
      <c r="M55" s="349">
        <v>0.56000000000000016</v>
      </c>
      <c r="N55" s="238"/>
      <c r="O55" s="353"/>
      <c r="P55" s="192"/>
      <c r="Q55" s="192"/>
      <c r="R55" s="192"/>
      <c r="S55" s="192"/>
      <c r="T55" s="192"/>
      <c r="U55" s="349"/>
      <c r="V55" s="177"/>
      <c r="W55" s="354"/>
    </row>
    <row r="56" spans="2:23" ht="14.25" x14ac:dyDescent="0.2">
      <c r="C56" s="5" t="s">
        <v>75</v>
      </c>
      <c r="E56" s="348">
        <v>0.04</v>
      </c>
      <c r="F56" s="238"/>
      <c r="G56" s="484" t="s">
        <v>235</v>
      </c>
      <c r="H56" s="11"/>
      <c r="I56" s="192"/>
      <c r="J56" s="193"/>
      <c r="K56" s="192"/>
      <c r="L56" s="192"/>
      <c r="M56" s="349">
        <v>0.04</v>
      </c>
      <c r="N56" s="238"/>
      <c r="O56" s="484" t="s">
        <v>235</v>
      </c>
      <c r="P56" s="192"/>
      <c r="Q56" s="192"/>
      <c r="R56" s="192"/>
      <c r="S56" s="192"/>
      <c r="T56" s="192"/>
      <c r="U56" s="349"/>
      <c r="V56" s="177"/>
      <c r="W56" s="481" t="s">
        <v>235</v>
      </c>
    </row>
    <row r="57" spans="2:23" x14ac:dyDescent="0.2">
      <c r="C57" s="5" t="s">
        <v>76</v>
      </c>
      <c r="E57" s="348">
        <v>0.4</v>
      </c>
      <c r="F57" s="238"/>
      <c r="G57" s="377"/>
      <c r="H57" s="192"/>
      <c r="I57" s="192"/>
      <c r="J57" s="193"/>
      <c r="K57" s="192"/>
      <c r="L57" s="192"/>
      <c r="M57" s="349">
        <v>0.4</v>
      </c>
      <c r="N57" s="238"/>
      <c r="O57" s="353"/>
      <c r="P57" s="192"/>
      <c r="Q57" s="192"/>
      <c r="R57" s="192"/>
      <c r="S57" s="192"/>
      <c r="T57" s="192"/>
      <c r="U57" s="349"/>
      <c r="V57" s="177"/>
      <c r="W57" s="354"/>
    </row>
    <row r="58" spans="2:23" ht="13.5" thickBot="1" x14ac:dyDescent="0.25">
      <c r="C58" s="5" t="s">
        <v>77</v>
      </c>
      <c r="E58" s="350"/>
      <c r="F58" s="238"/>
      <c r="G58" s="353"/>
      <c r="H58" s="192"/>
      <c r="I58" s="192"/>
      <c r="J58" s="193"/>
      <c r="K58" s="192"/>
      <c r="L58" s="192"/>
      <c r="M58" s="350"/>
      <c r="N58" s="238"/>
      <c r="O58" s="353"/>
      <c r="P58" s="192"/>
      <c r="Q58" s="192"/>
      <c r="R58" s="192"/>
      <c r="S58" s="192"/>
      <c r="T58" s="192"/>
      <c r="U58" s="350"/>
      <c r="V58" s="177"/>
      <c r="W58" s="354"/>
    </row>
    <row r="59" spans="2:23" ht="13.5" thickTop="1" x14ac:dyDescent="0.2">
      <c r="E59" s="239">
        <f>SUM(E55:E58)</f>
        <v>1.0000000000000002</v>
      </c>
      <c r="F59" s="238"/>
      <c r="G59" s="234"/>
      <c r="H59" s="193"/>
      <c r="I59" s="193"/>
      <c r="J59" s="193"/>
      <c r="K59" s="193"/>
      <c r="L59" s="193"/>
      <c r="M59" s="239">
        <f>SUM(M55:M58)</f>
        <v>1.0000000000000002</v>
      </c>
      <c r="N59" s="238"/>
      <c r="O59" s="234"/>
      <c r="P59" s="193"/>
      <c r="Q59" s="193"/>
      <c r="R59" s="193"/>
      <c r="S59" s="193"/>
      <c r="T59" s="193"/>
      <c r="U59" s="239">
        <f>SUM(U55:U58)</f>
        <v>0</v>
      </c>
      <c r="V59" s="177"/>
      <c r="W59" s="175"/>
    </row>
    <row r="60" spans="2:23" ht="25.5" customHeight="1" x14ac:dyDescent="0.2">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
      <c r="C62" s="5" t="s">
        <v>78</v>
      </c>
      <c r="E62" s="348">
        <v>3.7100000000000001E-2</v>
      </c>
      <c r="F62" s="242"/>
      <c r="G62" s="353"/>
      <c r="H62" s="192"/>
      <c r="I62" s="192"/>
      <c r="J62" s="193"/>
      <c r="K62" s="192"/>
      <c r="L62" s="192"/>
      <c r="M62" s="351">
        <v>3.95E-2</v>
      </c>
      <c r="N62" s="242"/>
      <c r="O62" s="353"/>
      <c r="P62" s="192"/>
      <c r="Q62" s="192"/>
      <c r="R62" s="192"/>
      <c r="S62" s="192"/>
      <c r="T62" s="192"/>
      <c r="U62" s="351"/>
      <c r="V62" s="178"/>
      <c r="W62" s="354"/>
    </row>
    <row r="63" spans="2:23" x14ac:dyDescent="0.2">
      <c r="C63" s="5" t="s">
        <v>79</v>
      </c>
      <c r="E63" s="348">
        <v>2.29E-2</v>
      </c>
      <c r="F63" s="242"/>
      <c r="G63" s="353"/>
      <c r="H63" s="192"/>
      <c r="I63" s="192"/>
      <c r="J63" s="193"/>
      <c r="K63" s="192"/>
      <c r="L63" s="192"/>
      <c r="M63" s="351">
        <v>2.8199999999999999E-2</v>
      </c>
      <c r="N63" s="242"/>
      <c r="O63" s="353"/>
      <c r="P63" s="192"/>
      <c r="Q63" s="192"/>
      <c r="R63" s="192"/>
      <c r="S63" s="192"/>
      <c r="T63" s="192"/>
      <c r="U63" s="351"/>
      <c r="V63" s="178"/>
      <c r="W63" s="354"/>
    </row>
    <row r="64" spans="2:23" x14ac:dyDescent="0.2">
      <c r="C64" s="5" t="s">
        <v>80</v>
      </c>
      <c r="E64" s="348">
        <v>0.09</v>
      </c>
      <c r="F64" s="242"/>
      <c r="G64" s="353"/>
      <c r="H64" s="192"/>
      <c r="I64" s="192"/>
      <c r="J64" s="193"/>
      <c r="K64" s="192"/>
      <c r="L64" s="192"/>
      <c r="M64" s="351">
        <v>8.9800000000000005E-2</v>
      </c>
      <c r="N64" s="242"/>
      <c r="O64" s="353"/>
      <c r="P64" s="192"/>
      <c r="Q64" s="192"/>
      <c r="R64" s="192"/>
      <c r="S64" s="192"/>
      <c r="T64" s="192"/>
      <c r="U64" s="351"/>
      <c r="V64" s="178"/>
      <c r="W64" s="354"/>
    </row>
    <row r="65" spans="1:24" x14ac:dyDescent="0.2">
      <c r="C65" s="5" t="s">
        <v>81</v>
      </c>
      <c r="E65" s="348">
        <v>0</v>
      </c>
      <c r="F65" s="242"/>
      <c r="G65" s="353"/>
      <c r="H65" s="192"/>
      <c r="I65" s="192"/>
      <c r="J65" s="193"/>
      <c r="K65" s="192"/>
      <c r="L65" s="192"/>
      <c r="M65" s="351">
        <v>0</v>
      </c>
      <c r="N65" s="242"/>
      <c r="O65" s="353"/>
      <c r="P65" s="192"/>
      <c r="Q65" s="192"/>
      <c r="R65" s="192"/>
      <c r="S65" s="192"/>
      <c r="T65" s="192"/>
      <c r="U65" s="351"/>
      <c r="V65" s="178"/>
      <c r="W65" s="354"/>
    </row>
    <row r="66" spans="1:24" x14ac:dyDescent="0.2">
      <c r="D66" s="25"/>
      <c r="E66" s="346"/>
      <c r="F66" s="242"/>
      <c r="G66" s="261"/>
      <c r="H66" s="193"/>
      <c r="I66" s="193"/>
      <c r="J66" s="193"/>
      <c r="K66" s="193"/>
      <c r="L66" s="193"/>
      <c r="M66" s="346"/>
      <c r="N66" s="242"/>
      <c r="O66" s="261"/>
      <c r="P66" s="193"/>
      <c r="Q66" s="193"/>
      <c r="R66" s="193"/>
      <c r="S66" s="193"/>
      <c r="T66" s="193"/>
      <c r="U66" s="346"/>
      <c r="V66" s="178"/>
      <c r="W66" s="340"/>
      <c r="X66" s="25"/>
    </row>
    <row r="67" spans="1:24" ht="10.5" customHeight="1" x14ac:dyDescent="0.2"/>
    <row r="68" spans="1:24" x14ac:dyDescent="0.2">
      <c r="A68" s="4" t="s">
        <v>42</v>
      </c>
      <c r="B68" s="4"/>
      <c r="C68" s="4"/>
      <c r="D68" s="4"/>
    </row>
    <row r="69" spans="1:24" ht="39" customHeight="1" x14ac:dyDescent="0.2">
      <c r="B69" s="343" t="s">
        <v>234</v>
      </c>
      <c r="C69" s="766" t="s">
        <v>237</v>
      </c>
      <c r="D69" s="766"/>
      <c r="E69" s="766"/>
      <c r="F69" s="766"/>
      <c r="G69" s="766"/>
      <c r="H69" s="766"/>
      <c r="I69" s="766"/>
      <c r="J69" s="766"/>
      <c r="K69" s="767"/>
      <c r="L69" s="767"/>
      <c r="M69" s="767"/>
      <c r="N69" s="767"/>
      <c r="O69" s="767"/>
      <c r="P69" s="767"/>
      <c r="Q69" s="767"/>
      <c r="R69" s="767"/>
      <c r="S69" s="767"/>
      <c r="T69" s="767"/>
      <c r="U69" s="767"/>
      <c r="V69" s="27"/>
    </row>
    <row r="70" spans="1:24" ht="14.25" x14ac:dyDescent="0.2">
      <c r="B70" s="490" t="s">
        <v>2</v>
      </c>
      <c r="C70" s="779" t="s">
        <v>90</v>
      </c>
      <c r="D70" s="779"/>
      <c r="E70" s="779"/>
      <c r="F70" s="779"/>
      <c r="G70" s="779"/>
      <c r="H70" s="779"/>
      <c r="I70" s="779"/>
      <c r="J70" s="779"/>
      <c r="K70" s="779"/>
      <c r="L70" s="779"/>
      <c r="M70" s="779"/>
      <c r="N70" s="779"/>
      <c r="O70" s="779"/>
      <c r="P70" s="779"/>
      <c r="Q70" s="779"/>
      <c r="R70" s="779"/>
      <c r="S70" s="779"/>
      <c r="T70" s="779"/>
      <c r="U70" s="779"/>
      <c r="V70" s="42"/>
    </row>
    <row r="71" spans="1:24" ht="27" customHeight="1" x14ac:dyDescent="0.2">
      <c r="B71" s="490" t="s">
        <v>3</v>
      </c>
      <c r="C71" s="777" t="s">
        <v>438</v>
      </c>
      <c r="D71" s="777"/>
      <c r="E71" s="777"/>
      <c r="F71" s="777"/>
      <c r="G71" s="777"/>
      <c r="H71" s="777"/>
      <c r="I71" s="777"/>
      <c r="J71" s="777"/>
      <c r="K71" s="777"/>
      <c r="L71" s="777"/>
      <c r="M71" s="777"/>
      <c r="N71" s="777"/>
      <c r="O71" s="777"/>
      <c r="P71" s="777"/>
      <c r="Q71" s="777"/>
      <c r="R71" s="777"/>
      <c r="S71" s="777"/>
      <c r="T71" s="777"/>
      <c r="U71" s="777"/>
      <c r="V71" s="15"/>
    </row>
    <row r="72" spans="1:24" ht="14.25" x14ac:dyDescent="0.2">
      <c r="B72" s="490" t="s">
        <v>98</v>
      </c>
      <c r="C72" s="778" t="s">
        <v>99</v>
      </c>
      <c r="D72" s="778"/>
      <c r="E72" s="778"/>
      <c r="F72" s="778"/>
      <c r="G72" s="778"/>
      <c r="H72" s="778"/>
      <c r="I72" s="778"/>
      <c r="J72" s="778"/>
      <c r="K72" s="778"/>
      <c r="L72" s="778"/>
      <c r="M72" s="778"/>
      <c r="N72" s="778"/>
      <c r="O72" s="778"/>
      <c r="P72" s="778"/>
      <c r="Q72" s="778"/>
      <c r="R72" s="778"/>
      <c r="S72" s="778"/>
      <c r="T72" s="778"/>
      <c r="U72" s="778"/>
      <c r="V72" s="15"/>
    </row>
    <row r="73" spans="1:24" ht="14.25" x14ac:dyDescent="0.2">
      <c r="B73" s="490" t="s">
        <v>122</v>
      </c>
      <c r="C73" s="782" t="s">
        <v>124</v>
      </c>
      <c r="D73" s="782"/>
      <c r="E73" s="782"/>
      <c r="F73" s="782"/>
      <c r="G73" s="782"/>
      <c r="H73" s="782"/>
      <c r="I73" s="782"/>
      <c r="J73" s="782"/>
      <c r="K73" s="782"/>
      <c r="L73" s="782"/>
      <c r="M73" s="782"/>
      <c r="N73" s="782"/>
      <c r="O73" s="782"/>
      <c r="P73" s="782"/>
      <c r="Q73" s="782"/>
      <c r="R73" s="782"/>
      <c r="S73" s="782"/>
      <c r="T73" s="782"/>
      <c r="U73" s="782"/>
      <c r="V73" s="27"/>
    </row>
    <row r="74" spans="1:24" ht="14.25" x14ac:dyDescent="0.2">
      <c r="B74" s="490" t="s">
        <v>123</v>
      </c>
      <c r="C74" s="778" t="s">
        <v>135</v>
      </c>
      <c r="D74" s="778"/>
      <c r="E74" s="778"/>
      <c r="F74" s="778"/>
      <c r="G74" s="778"/>
      <c r="H74" s="778"/>
      <c r="I74" s="778"/>
      <c r="J74" s="778"/>
      <c r="K74" s="778"/>
      <c r="L74" s="778"/>
      <c r="M74" s="778"/>
      <c r="N74" s="778"/>
      <c r="O74" s="778"/>
      <c r="P74" s="778"/>
      <c r="Q74" s="778"/>
      <c r="R74" s="778"/>
      <c r="S74" s="778"/>
      <c r="T74" s="778"/>
      <c r="U74" s="778"/>
      <c r="V74" s="15"/>
    </row>
    <row r="75" spans="1:24" ht="26.25" customHeight="1" x14ac:dyDescent="0.2">
      <c r="B75" s="485" t="s">
        <v>147</v>
      </c>
      <c r="C75" s="780" t="s">
        <v>220</v>
      </c>
      <c r="D75" s="780"/>
      <c r="E75" s="780"/>
      <c r="F75" s="780"/>
      <c r="G75" s="780"/>
      <c r="H75" s="780"/>
      <c r="I75" s="780"/>
      <c r="J75" s="780"/>
      <c r="K75" s="780"/>
      <c r="L75" s="780"/>
      <c r="M75" s="780"/>
      <c r="N75" s="780"/>
      <c r="O75" s="780"/>
      <c r="P75" s="780"/>
      <c r="Q75" s="780"/>
      <c r="R75" s="780"/>
      <c r="S75" s="780"/>
      <c r="T75" s="780"/>
      <c r="U75" s="780"/>
      <c r="V75" s="179"/>
    </row>
    <row r="76" spans="1:24" ht="14.25" x14ac:dyDescent="0.2">
      <c r="B76" s="485" t="s">
        <v>229</v>
      </c>
      <c r="C76" s="766" t="s">
        <v>230</v>
      </c>
      <c r="D76" s="766"/>
      <c r="E76" s="766"/>
      <c r="F76" s="766"/>
      <c r="G76" s="766"/>
      <c r="H76" s="766"/>
      <c r="I76" s="766"/>
      <c r="J76" s="766"/>
      <c r="K76" s="766"/>
      <c r="L76" s="766"/>
      <c r="M76" s="766"/>
      <c r="N76" s="766"/>
      <c r="O76" s="766"/>
      <c r="P76" s="766"/>
      <c r="Q76" s="766"/>
      <c r="R76" s="766"/>
      <c r="S76" s="766"/>
      <c r="T76" s="766"/>
      <c r="U76" s="766"/>
      <c r="V76" s="179"/>
    </row>
    <row r="77" spans="1:24" ht="14.25" x14ac:dyDescent="0.2">
      <c r="B77" s="485" t="s">
        <v>235</v>
      </c>
      <c r="C77" s="778" t="s">
        <v>92</v>
      </c>
      <c r="D77" s="778"/>
      <c r="E77" s="778"/>
      <c r="F77" s="778"/>
      <c r="G77" s="778"/>
      <c r="H77" s="778"/>
      <c r="I77" s="778"/>
      <c r="J77" s="778"/>
      <c r="K77" s="778"/>
      <c r="L77" s="778"/>
      <c r="M77" s="778"/>
      <c r="N77" s="778"/>
      <c r="O77" s="778"/>
      <c r="P77" s="778"/>
      <c r="Q77" s="778"/>
      <c r="R77" s="778"/>
      <c r="S77" s="778"/>
      <c r="T77" s="778"/>
      <c r="U77" s="778"/>
      <c r="V77" s="179"/>
    </row>
    <row r="78" spans="1:24" ht="14.25" x14ac:dyDescent="0.2">
      <c r="B78" s="485" t="s">
        <v>236</v>
      </c>
      <c r="C78" s="761" t="s">
        <v>439</v>
      </c>
      <c r="D78" s="762"/>
      <c r="E78" s="762"/>
      <c r="F78" s="762"/>
      <c r="G78" s="762"/>
      <c r="H78" s="762"/>
      <c r="I78" s="762"/>
      <c r="J78" s="762"/>
      <c r="K78" s="762"/>
      <c r="L78" s="762"/>
      <c r="M78" s="762"/>
      <c r="N78" s="762"/>
      <c r="O78" s="762"/>
      <c r="P78" s="762"/>
      <c r="Q78" s="762"/>
      <c r="R78" s="762"/>
      <c r="S78" s="762"/>
      <c r="T78" s="762"/>
      <c r="U78" s="762"/>
      <c r="V78" s="179"/>
    </row>
    <row r="79" spans="1:24" x14ac:dyDescent="0.2">
      <c r="B79" s="708"/>
      <c r="C79" s="762"/>
      <c r="D79" s="762"/>
      <c r="E79" s="762"/>
      <c r="F79" s="762"/>
      <c r="G79" s="762"/>
      <c r="H79" s="762"/>
      <c r="I79" s="762"/>
      <c r="J79" s="762"/>
      <c r="K79" s="762"/>
      <c r="L79" s="762"/>
      <c r="M79" s="762"/>
      <c r="N79" s="762"/>
      <c r="O79" s="762"/>
      <c r="P79" s="762"/>
      <c r="Q79" s="762"/>
      <c r="R79" s="762"/>
      <c r="S79" s="762"/>
      <c r="T79" s="762"/>
      <c r="U79" s="762"/>
      <c r="V79" s="179"/>
    </row>
    <row r="80" spans="1:24" x14ac:dyDescent="0.2">
      <c r="B80" s="733" t="s">
        <v>509</v>
      </c>
      <c r="C80" s="759" t="s">
        <v>511</v>
      </c>
      <c r="D80" s="760"/>
      <c r="E80" s="760"/>
      <c r="F80" s="760"/>
      <c r="G80" s="760"/>
      <c r="H80" s="760"/>
      <c r="I80" s="760"/>
      <c r="J80" s="760"/>
      <c r="K80" s="760"/>
      <c r="L80" s="760"/>
      <c r="M80" s="760"/>
      <c r="N80" s="760"/>
      <c r="O80" s="760"/>
      <c r="P80" s="760"/>
      <c r="Q80" s="760"/>
      <c r="R80" s="760"/>
      <c r="S80" s="760"/>
      <c r="T80" s="760"/>
      <c r="U80" s="760"/>
      <c r="V80" s="179"/>
    </row>
    <row r="81" spans="2:22" x14ac:dyDescent="0.2">
      <c r="B81" s="733" t="s">
        <v>510</v>
      </c>
      <c r="C81" s="781" t="s">
        <v>513</v>
      </c>
      <c r="D81" s="760"/>
      <c r="E81" s="760"/>
      <c r="F81" s="760"/>
      <c r="G81" s="760"/>
      <c r="H81" s="760"/>
      <c r="I81" s="760"/>
      <c r="J81" s="760"/>
      <c r="K81" s="760"/>
      <c r="L81" s="760"/>
      <c r="M81" s="760"/>
      <c r="N81" s="760"/>
      <c r="O81" s="760"/>
      <c r="P81" s="760"/>
      <c r="Q81" s="760"/>
      <c r="R81" s="760"/>
      <c r="S81" s="760"/>
      <c r="T81" s="760"/>
      <c r="U81" s="760"/>
      <c r="V81" s="179"/>
    </row>
    <row r="82" spans="2:22" x14ac:dyDescent="0.2">
      <c r="B82" s="733" t="s">
        <v>512</v>
      </c>
      <c r="C82" s="781" t="s">
        <v>514</v>
      </c>
      <c r="D82" s="760"/>
      <c r="E82" s="760"/>
      <c r="F82" s="760"/>
      <c r="G82" s="760"/>
      <c r="H82" s="760"/>
      <c r="I82" s="760"/>
      <c r="J82" s="760"/>
      <c r="K82" s="760"/>
      <c r="L82" s="760"/>
      <c r="M82" s="760"/>
      <c r="N82" s="760"/>
      <c r="O82" s="760"/>
      <c r="P82" s="760"/>
      <c r="Q82" s="760"/>
      <c r="R82" s="760"/>
      <c r="S82" s="760"/>
      <c r="T82" s="760"/>
      <c r="U82" s="760"/>
      <c r="V82" s="179"/>
    </row>
    <row r="83" spans="2:22" x14ac:dyDescent="0.2">
      <c r="B83" s="355"/>
      <c r="C83" s="760"/>
      <c r="D83" s="760"/>
      <c r="E83" s="760"/>
      <c r="F83" s="760"/>
      <c r="G83" s="760"/>
      <c r="H83" s="760"/>
      <c r="I83" s="760"/>
      <c r="J83" s="760"/>
      <c r="K83" s="760"/>
      <c r="L83" s="760"/>
      <c r="M83" s="760"/>
      <c r="N83" s="760"/>
      <c r="O83" s="760"/>
      <c r="P83" s="760"/>
      <c r="Q83" s="760"/>
      <c r="R83" s="760"/>
      <c r="S83" s="760"/>
      <c r="T83" s="760"/>
      <c r="U83" s="760"/>
      <c r="V83" s="179"/>
    </row>
    <row r="84" spans="2:22" x14ac:dyDescent="0.2">
      <c r="B84" s="355"/>
      <c r="C84" s="760"/>
      <c r="D84" s="760"/>
      <c r="E84" s="760"/>
      <c r="F84" s="760"/>
      <c r="G84" s="760"/>
      <c r="H84" s="760"/>
      <c r="I84" s="760"/>
      <c r="J84" s="760"/>
      <c r="K84" s="760"/>
      <c r="L84" s="760"/>
      <c r="M84" s="760"/>
      <c r="N84" s="760"/>
      <c r="O84" s="760"/>
      <c r="P84" s="760"/>
      <c r="Q84" s="760"/>
      <c r="R84" s="760"/>
      <c r="S84" s="760"/>
      <c r="T84" s="760"/>
      <c r="U84" s="760"/>
      <c r="V84" s="179"/>
    </row>
    <row r="85" spans="2:22" x14ac:dyDescent="0.2">
      <c r="B85" s="355"/>
      <c r="C85" s="760"/>
      <c r="D85" s="760"/>
      <c r="E85" s="760"/>
      <c r="F85" s="760"/>
      <c r="G85" s="760"/>
      <c r="H85" s="760"/>
      <c r="I85" s="760"/>
      <c r="J85" s="760"/>
      <c r="K85" s="760"/>
      <c r="L85" s="760"/>
      <c r="M85" s="760"/>
      <c r="N85" s="760"/>
      <c r="O85" s="760"/>
      <c r="P85" s="760"/>
      <c r="Q85" s="760"/>
      <c r="R85" s="760"/>
      <c r="S85" s="760"/>
      <c r="T85" s="760"/>
      <c r="U85" s="760"/>
      <c r="V85" s="179"/>
    </row>
    <row r="86" spans="2:22" x14ac:dyDescent="0.2">
      <c r="B86" s="355"/>
      <c r="C86" s="760"/>
      <c r="D86" s="760"/>
      <c r="E86" s="760"/>
      <c r="F86" s="760"/>
      <c r="G86" s="760"/>
      <c r="H86" s="760"/>
      <c r="I86" s="760"/>
      <c r="J86" s="760"/>
      <c r="K86" s="760"/>
      <c r="L86" s="760"/>
      <c r="M86" s="760"/>
      <c r="N86" s="760"/>
      <c r="O86" s="760"/>
      <c r="P86" s="760"/>
      <c r="Q86" s="760"/>
      <c r="R86" s="760"/>
      <c r="S86" s="760"/>
      <c r="T86" s="760"/>
      <c r="U86" s="760"/>
      <c r="V86" s="179"/>
    </row>
    <row r="87" spans="2:22" x14ac:dyDescent="0.2">
      <c r="B87" s="355"/>
      <c r="C87" s="760"/>
      <c r="D87" s="760"/>
      <c r="E87" s="760"/>
      <c r="F87" s="760"/>
      <c r="G87" s="760"/>
      <c r="H87" s="760"/>
      <c r="I87" s="760"/>
      <c r="J87" s="760"/>
      <c r="K87" s="760"/>
      <c r="L87" s="760"/>
      <c r="M87" s="760"/>
      <c r="N87" s="760"/>
      <c r="O87" s="760"/>
      <c r="P87" s="760"/>
      <c r="Q87" s="760"/>
      <c r="R87" s="760"/>
      <c r="S87" s="760"/>
      <c r="T87" s="760"/>
      <c r="U87" s="760"/>
      <c r="V87" s="179"/>
    </row>
    <row r="88" spans="2:22" x14ac:dyDescent="0.2">
      <c r="C88" s="775"/>
      <c r="D88" s="775"/>
      <c r="E88" s="776"/>
      <c r="F88" s="776"/>
      <c r="G88" s="776"/>
      <c r="H88" s="776"/>
      <c r="I88" s="776"/>
      <c r="J88" s="776"/>
      <c r="K88" s="776"/>
      <c r="L88" s="776"/>
      <c r="M88" s="776"/>
      <c r="N88" s="776"/>
      <c r="O88" s="776"/>
      <c r="P88" s="776"/>
      <c r="Q88" s="776"/>
      <c r="R88" s="776"/>
      <c r="S88" s="776"/>
      <c r="T88" s="776"/>
      <c r="U88" s="776"/>
      <c r="V88" s="27"/>
    </row>
    <row r="89" spans="2:22" x14ac:dyDescent="0.2">
      <c r="C89" s="776"/>
      <c r="D89" s="776"/>
      <c r="E89" s="776"/>
      <c r="F89" s="776"/>
      <c r="G89" s="776"/>
      <c r="H89" s="776"/>
      <c r="I89" s="776"/>
      <c r="J89" s="776"/>
      <c r="K89" s="776"/>
      <c r="L89" s="776"/>
      <c r="M89" s="776"/>
      <c r="N89" s="776"/>
      <c r="O89" s="776"/>
      <c r="P89" s="776"/>
      <c r="Q89" s="776"/>
      <c r="R89" s="776"/>
      <c r="S89" s="776"/>
      <c r="T89" s="776"/>
      <c r="U89" s="776"/>
      <c r="V89" s="27"/>
    </row>
  </sheetData>
  <sheetProtection algorithmName="SHA-512" hashValue="pp/TqVFWDqNaenOGlgQZ/MQninY2nQ2MUhHKkvBmrkjwzXujTBm5SFLchQyZ1NqSABLh8PyaEQ8Kps+WssochQ==" saltValue="28+IO3EPzw/6mqKKpNo+Ow==" spinCount="100000" sheet="1" objects="1" scenarios="1"/>
  <mergeCells count="32">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s>
  <phoneticPr fontId="2" type="noConversion"/>
  <conditionalFormatting sqref="U59 M59 E59">
    <cfRule type="cellIs" dxfId="87" priority="9" stopIfTrue="1" operator="equal">
      <formula>0</formula>
    </cfRule>
  </conditionalFormatting>
  <conditionalFormatting sqref="M21 U21">
    <cfRule type="cellIs" dxfId="86" priority="10" stopIfTrue="1" operator="equal">
      <formula>0</formula>
    </cfRule>
  </conditionalFormatting>
  <conditionalFormatting sqref="M19:M20 M16">
    <cfRule type="cellIs" dxfId="85" priority="11" stopIfTrue="1" operator="equal">
      <formula>0</formula>
    </cfRule>
  </conditionalFormatting>
  <conditionalFormatting sqref="I12:I13 M12:M13 Q12:Q13">
    <cfRule type="cellIs" dxfId="84" priority="12" stopIfTrue="1" operator="notEqual">
      <formula>""</formula>
    </cfRule>
  </conditionalFormatting>
  <conditionalFormatting sqref="M21">
    <cfRule type="cellIs" dxfId="83" priority="3" operator="equal">
      <formula>0</formula>
    </cfRule>
    <cfRule type="cellIs" dxfId="82" priority="6" operator="notEqual">
      <formula>0.075</formula>
    </cfRule>
  </conditionalFormatting>
  <conditionalFormatting sqref="U21">
    <cfRule type="cellIs" dxfId="81" priority="2" operator="equal">
      <formula>0</formula>
    </cfRule>
    <cfRule type="cellIs" dxfId="80" priority="4" operator="notEqual">
      <formula>0.075</formula>
    </cfRule>
    <cfRule type="cellIs" priority="5" operator="notEqual">
      <formula>0.075</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7" orientation="portrait"/>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G34" sqref="G34"/>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731" bestFit="1" customWidth="1"/>
    <col min="9" max="9" width="16.42578125" style="731" bestFit="1" customWidth="1"/>
  </cols>
  <sheetData>
    <row r="1" spans="1:9" x14ac:dyDescent="0.2">
      <c r="A1" t="s">
        <v>457</v>
      </c>
      <c r="B1" t="s">
        <v>458</v>
      </c>
      <c r="C1" t="s">
        <v>376</v>
      </c>
      <c r="D1" t="s">
        <v>455</v>
      </c>
      <c r="E1" t="s">
        <v>456</v>
      </c>
      <c r="F1" s="449" t="s">
        <v>459</v>
      </c>
      <c r="G1" s="449" t="s">
        <v>460</v>
      </c>
      <c r="H1" s="730" t="s">
        <v>461</v>
      </c>
      <c r="I1" s="730" t="s">
        <v>154</v>
      </c>
    </row>
    <row r="2" spans="1:9" x14ac:dyDescent="0.2">
      <c r="A2" t="str">
        <f>'1. Info'!$G$16</f>
        <v>Niagara-on-the-Lake Hydro Inc.</v>
      </c>
      <c r="B2" t="str">
        <f>'1. Info'!$G$20</f>
        <v>EB-2018-0056</v>
      </c>
      <c r="C2">
        <f>'1. Info'!$G$28</f>
        <v>2019</v>
      </c>
      <c r="D2">
        <f>'1. Info'!$G$30</f>
        <v>2018</v>
      </c>
      <c r="E2">
        <f>'1. Info'!$G$32</f>
        <v>2014</v>
      </c>
      <c r="F2" s="449" t="s">
        <v>102</v>
      </c>
      <c r="G2" t="s">
        <v>7</v>
      </c>
      <c r="H2" s="731">
        <f>'3. Data_Input_Sheet'!E16</f>
        <v>56132842.732500017</v>
      </c>
    </row>
    <row r="3" spans="1:9" x14ac:dyDescent="0.2">
      <c r="A3" t="str">
        <f>'1. Info'!$G$16</f>
        <v>Niagara-on-the-Lake Hydro Inc.</v>
      </c>
      <c r="B3" t="str">
        <f>'1. Info'!$G$20</f>
        <v>EB-2018-0056</v>
      </c>
      <c r="C3">
        <f>'1. Info'!$G$28</f>
        <v>2019</v>
      </c>
      <c r="D3">
        <f>'1. Info'!$G$30</f>
        <v>2018</v>
      </c>
      <c r="E3">
        <f>'1. Info'!$G$32</f>
        <v>2014</v>
      </c>
      <c r="F3" s="449" t="s">
        <v>103</v>
      </c>
      <c r="G3" t="s">
        <v>7</v>
      </c>
      <c r="H3" s="731">
        <f>'3. Data_Input_Sheet'!E17</f>
        <v>-27607193.203133006</v>
      </c>
      <c r="I3" s="731">
        <f>'3. Data_Input_Sheet'!U17</f>
        <v>-26777074.619848792</v>
      </c>
    </row>
    <row r="4" spans="1:9" x14ac:dyDescent="0.2">
      <c r="A4" t="str">
        <f>'1. Info'!$G$16</f>
        <v>Niagara-on-the-Lake Hydro Inc.</v>
      </c>
      <c r="B4" t="str">
        <f>'1. Info'!$G$20</f>
        <v>EB-2018-0056</v>
      </c>
      <c r="C4">
        <f>'1. Info'!$G$28</f>
        <v>2019</v>
      </c>
      <c r="D4">
        <f>'1. Info'!$G$30</f>
        <v>2018</v>
      </c>
      <c r="E4">
        <f>'1. Info'!$G$32</f>
        <v>2014</v>
      </c>
      <c r="F4" s="727" t="s">
        <v>9</v>
      </c>
      <c r="G4" s="729" t="s">
        <v>58</v>
      </c>
      <c r="H4" s="731">
        <f>'3. Data_Input_Sheet'!E19</f>
        <v>3009140.5497909407</v>
      </c>
      <c r="I4" s="731">
        <f>'3. Data_Input_Sheet'!U19</f>
        <v>2999719.9286075146</v>
      </c>
    </row>
    <row r="5" spans="1:9" x14ac:dyDescent="0.2">
      <c r="A5" t="str">
        <f>'1. Info'!$G$16</f>
        <v>Niagara-on-the-Lake Hydro Inc.</v>
      </c>
      <c r="B5" t="str">
        <f>'1. Info'!$G$20</f>
        <v>EB-2018-0056</v>
      </c>
      <c r="C5">
        <f>'1. Info'!$G$28</f>
        <v>2019</v>
      </c>
      <c r="D5">
        <f>'1. Info'!$G$30</f>
        <v>2018</v>
      </c>
      <c r="E5">
        <f>'1. Info'!$G$32</f>
        <v>2014</v>
      </c>
      <c r="F5" s="727" t="s">
        <v>5</v>
      </c>
      <c r="G5" s="729" t="s">
        <v>58</v>
      </c>
      <c r="H5" s="731">
        <f>'3. Data_Input_Sheet'!E20</f>
        <v>25955675.451699954</v>
      </c>
      <c r="I5" s="731">
        <f>'3. Data_Input_Sheet'!U20</f>
        <v>25889471.60092238</v>
      </c>
    </row>
    <row r="6" spans="1:9" x14ac:dyDescent="0.2">
      <c r="A6" t="str">
        <f>'1. Info'!$G$16</f>
        <v>Niagara-on-the-Lake Hydro Inc.</v>
      </c>
      <c r="B6" t="str">
        <f>'1. Info'!$G$20</f>
        <v>EB-2018-0056</v>
      </c>
      <c r="C6">
        <f>'1. Info'!$G$28</f>
        <v>2019</v>
      </c>
      <c r="D6">
        <f>'1. Info'!$G$30</f>
        <v>2018</v>
      </c>
      <c r="E6">
        <f>'1. Info'!$G$32</f>
        <v>2014</v>
      </c>
      <c r="F6" s="727" t="s">
        <v>462</v>
      </c>
      <c r="G6" s="729" t="s">
        <v>58</v>
      </c>
      <c r="H6" s="731">
        <f>'3. Data_Input_Sheet'!E21</f>
        <v>7.4999999999999997E-2</v>
      </c>
      <c r="I6" s="731">
        <f>'3. Data_Input_Sheet'!U21</f>
        <v>0</v>
      </c>
    </row>
    <row r="7" spans="1:9" x14ac:dyDescent="0.2">
      <c r="A7" t="str">
        <f>'1. Info'!$G$16</f>
        <v>Niagara-on-the-Lake Hydro Inc.</v>
      </c>
      <c r="B7" t="str">
        <f>'1. Info'!$G$20</f>
        <v>EB-2018-0056</v>
      </c>
      <c r="C7">
        <f>'1. Info'!$G$28</f>
        <v>2019</v>
      </c>
      <c r="D7">
        <f>'1. Info'!$G$30</f>
        <v>2018</v>
      </c>
      <c r="E7">
        <f>'1. Info'!$G$32</f>
        <v>2014</v>
      </c>
      <c r="F7" s="729" t="s">
        <v>463</v>
      </c>
      <c r="G7" s="729" t="s">
        <v>47</v>
      </c>
      <c r="H7" s="731">
        <f>'3. Data_Input_Sheet'!E25</f>
        <v>5494022.6225560522</v>
      </c>
      <c r="I7" s="731">
        <f>'3. Data_Input_Sheet'!U25</f>
        <v>0</v>
      </c>
    </row>
    <row r="8" spans="1:9" x14ac:dyDescent="0.2">
      <c r="A8" t="str">
        <f>'1. Info'!$G$16</f>
        <v>Niagara-on-the-Lake Hydro Inc.</v>
      </c>
      <c r="B8" t="str">
        <f>'1. Info'!$G$20</f>
        <v>EB-2018-0056</v>
      </c>
      <c r="C8">
        <f>'1. Info'!$G$28</f>
        <v>2019</v>
      </c>
      <c r="D8">
        <f>'1. Info'!$G$30</f>
        <v>2018</v>
      </c>
      <c r="E8">
        <f>'1. Info'!$G$32</f>
        <v>2014</v>
      </c>
      <c r="F8" s="729" t="s">
        <v>464</v>
      </c>
      <c r="G8" s="729" t="s">
        <v>47</v>
      </c>
      <c r="H8" s="731">
        <f>'3. Data_Input_Sheet'!E26</f>
        <v>5544424.0270126099</v>
      </c>
      <c r="I8" s="731">
        <f>'3. Data_Input_Sheet'!U26</f>
        <v>0</v>
      </c>
    </row>
    <row r="9" spans="1:9" x14ac:dyDescent="0.2">
      <c r="A9" t="str">
        <f>'1. Info'!$G$16</f>
        <v>Niagara-on-the-Lake Hydro Inc.</v>
      </c>
      <c r="B9" t="str">
        <f>'1. Info'!$G$20</f>
        <v>EB-2018-0056</v>
      </c>
      <c r="C9">
        <f>'1. Info'!$G$28</f>
        <v>2019</v>
      </c>
      <c r="D9">
        <f>'1. Info'!$G$30</f>
        <v>2018</v>
      </c>
      <c r="E9">
        <f>'1. Info'!$G$32</f>
        <v>2014</v>
      </c>
      <c r="F9" s="729" t="s">
        <v>465</v>
      </c>
      <c r="G9" s="729" t="s">
        <v>64</v>
      </c>
      <c r="H9" s="731">
        <f>'3. Data_Input_Sheet'!E28</f>
        <v>87551.285769230759</v>
      </c>
      <c r="I9" s="731">
        <f>'3. Data_Input_Sheet'!U28</f>
        <v>0</v>
      </c>
    </row>
    <row r="10" spans="1:9" x14ac:dyDescent="0.2">
      <c r="A10" t="str">
        <f>'1. Info'!$G$16</f>
        <v>Niagara-on-the-Lake Hydro Inc.</v>
      </c>
      <c r="B10" t="str">
        <f>'1. Info'!$G$20</f>
        <v>EB-2018-0056</v>
      </c>
      <c r="C10">
        <f>'1. Info'!$G$28</f>
        <v>2019</v>
      </c>
      <c r="D10">
        <f>'1. Info'!$G$30</f>
        <v>2018</v>
      </c>
      <c r="E10">
        <f>'1. Info'!$G$32</f>
        <v>2014</v>
      </c>
      <c r="F10" s="729" t="s">
        <v>466</v>
      </c>
      <c r="G10" s="729" t="s">
        <v>64</v>
      </c>
      <c r="H10" s="731">
        <f>'3. Data_Input_Sheet'!E29</f>
        <v>54283.837500000001</v>
      </c>
      <c r="I10" s="731">
        <f>'3. Data_Input_Sheet'!U29</f>
        <v>0</v>
      </c>
    </row>
    <row r="11" spans="1:9" x14ac:dyDescent="0.2">
      <c r="A11" t="str">
        <f>'1. Info'!$G$16</f>
        <v>Niagara-on-the-Lake Hydro Inc.</v>
      </c>
      <c r="B11" t="str">
        <f>'1. Info'!$G$20</f>
        <v>EB-2018-0056</v>
      </c>
      <c r="C11">
        <f>'1. Info'!$G$28</f>
        <v>2019</v>
      </c>
      <c r="D11">
        <f>'1. Info'!$G$30</f>
        <v>2018</v>
      </c>
      <c r="E11">
        <f>'1. Info'!$G$32</f>
        <v>2014</v>
      </c>
      <c r="F11" s="729" t="s">
        <v>467</v>
      </c>
      <c r="G11" s="729" t="s">
        <v>64</v>
      </c>
      <c r="H11" s="731">
        <f>'3. Data_Input_Sheet'!E30</f>
        <v>310169.87255292875</v>
      </c>
      <c r="I11" s="731">
        <f>'3. Data_Input_Sheet'!U30</f>
        <v>0</v>
      </c>
    </row>
    <row r="12" spans="1:9" x14ac:dyDescent="0.2">
      <c r="A12" t="str">
        <f>'1. Info'!$G$16</f>
        <v>Niagara-on-the-Lake Hydro Inc.</v>
      </c>
      <c r="B12" t="str">
        <f>'1. Info'!$G$16</f>
        <v>Niagara-on-the-Lake Hydro Inc.</v>
      </c>
      <c r="C12" t="str">
        <f>'1. Info'!$G$16</f>
        <v>Niagara-on-the-Lake Hydro Inc.</v>
      </c>
      <c r="D12" t="str">
        <f>'1. Info'!$G$16</f>
        <v>Niagara-on-the-Lake Hydro Inc.</v>
      </c>
      <c r="E12" t="str">
        <f>'1. Info'!$G$16</f>
        <v>Niagara-on-the-Lake Hydro Inc.</v>
      </c>
      <c r="F12" s="729" t="s">
        <v>468</v>
      </c>
      <c r="G12" s="729" t="s">
        <v>64</v>
      </c>
      <c r="H12" s="731">
        <f>'3. Data_Input_Sheet'!E31</f>
        <v>50933.999999999978</v>
      </c>
      <c r="I12" s="731">
        <f>'3. Data_Input_Sheet'!U31</f>
        <v>0</v>
      </c>
    </row>
    <row r="13" spans="1:9" x14ac:dyDescent="0.2">
      <c r="A13" t="str">
        <f>'1. Info'!$G$16</f>
        <v>Niagara-on-the-Lake Hydro Inc.</v>
      </c>
      <c r="B13" t="str">
        <f>'1. Info'!$G$16</f>
        <v>Niagara-on-the-Lake Hydro Inc.</v>
      </c>
      <c r="C13" t="str">
        <f>'1. Info'!$G$16</f>
        <v>Niagara-on-the-Lake Hydro Inc.</v>
      </c>
      <c r="D13" t="str">
        <f>'1. Info'!$G$16</f>
        <v>Niagara-on-the-Lake Hydro Inc.</v>
      </c>
      <c r="E13" t="str">
        <f>'1. Info'!$G$16</f>
        <v>Niagara-on-the-Lake Hydro Inc.</v>
      </c>
      <c r="F13" s="729" t="s">
        <v>57</v>
      </c>
      <c r="G13" s="729" t="s">
        <v>64</v>
      </c>
      <c r="H13" s="731">
        <f>'3. Data_Input_Sheet'!E33</f>
        <v>502938.99582215952</v>
      </c>
      <c r="I13" s="731">
        <f>'3. Data_Input_Sheet'!U33</f>
        <v>0</v>
      </c>
    </row>
    <row r="14" spans="1:9" x14ac:dyDescent="0.2">
      <c r="A14" t="str">
        <f>'1. Info'!$G$16</f>
        <v>Niagara-on-the-Lake Hydro Inc.</v>
      </c>
      <c r="B14" t="str">
        <f>'1. Info'!$G$20</f>
        <v>EB-2018-0056</v>
      </c>
      <c r="C14">
        <f>'1. Info'!$G$28</f>
        <v>2019</v>
      </c>
      <c r="D14">
        <f>'1. Info'!$G$30</f>
        <v>2018</v>
      </c>
      <c r="E14">
        <f>'1. Info'!$G$32</f>
        <v>2014</v>
      </c>
      <c r="F14" s="729" t="s">
        <v>39</v>
      </c>
      <c r="G14" s="449" t="s">
        <v>117</v>
      </c>
      <c r="H14" s="731">
        <f>'3. Data_Input_Sheet'!E36</f>
        <v>2974185.7497909409</v>
      </c>
      <c r="I14" s="731">
        <f>'3. Data_Input_Sheet'!U36</f>
        <v>2964765.1286075148</v>
      </c>
    </row>
    <row r="15" spans="1:9" x14ac:dyDescent="0.2">
      <c r="A15" t="str">
        <f>'1. Info'!$G$16</f>
        <v>Niagara-on-the-Lake Hydro Inc.</v>
      </c>
      <c r="B15" t="str">
        <f>'1. Info'!$G$20</f>
        <v>EB-2018-0056</v>
      </c>
      <c r="C15">
        <f>'1. Info'!$G$28</f>
        <v>2019</v>
      </c>
      <c r="D15">
        <f>'1. Info'!$G$30</f>
        <v>2018</v>
      </c>
      <c r="E15">
        <f>'1. Info'!$G$32</f>
        <v>2014</v>
      </c>
      <c r="F15" s="729" t="s">
        <v>26</v>
      </c>
      <c r="G15" s="449" t="s">
        <v>117</v>
      </c>
      <c r="H15" s="731">
        <f>'3. Data_Input_Sheet'!E37</f>
        <v>1157365.0285484223</v>
      </c>
      <c r="I15" s="731">
        <f>'3. Data_Input_Sheet'!U37</f>
        <v>1128765.5757544751</v>
      </c>
    </row>
    <row r="16" spans="1:9" x14ac:dyDescent="0.2">
      <c r="A16" t="str">
        <f>'1. Info'!$G$16</f>
        <v>Niagara-on-the-Lake Hydro Inc.</v>
      </c>
      <c r="B16" t="str">
        <f>'1. Info'!$G$20</f>
        <v>EB-2018-0056</v>
      </c>
      <c r="C16">
        <f>'1. Info'!$G$28</f>
        <v>2019</v>
      </c>
      <c r="D16">
        <f>'1. Info'!$G$30</f>
        <v>2018</v>
      </c>
      <c r="E16">
        <f>'1. Info'!$G$32</f>
        <v>2014</v>
      </c>
      <c r="F16" s="729" t="s">
        <v>44</v>
      </c>
      <c r="G16" s="449" t="s">
        <v>117</v>
      </c>
      <c r="H16" s="731">
        <f>'3. Data_Input_Sheet'!E38</f>
        <v>34954.80000000001</v>
      </c>
      <c r="I16" s="731">
        <f>'3. Data_Input_Sheet'!U38</f>
        <v>34954.80000000001</v>
      </c>
    </row>
    <row r="17" spans="1:9" x14ac:dyDescent="0.2">
      <c r="A17" t="str">
        <f>'1. Info'!$G$16</f>
        <v>Niagara-on-the-Lake Hydro Inc.</v>
      </c>
      <c r="B17" t="str">
        <f>'1. Info'!$G$20</f>
        <v>EB-2018-0056</v>
      </c>
      <c r="C17">
        <f>'1. Info'!$G$28</f>
        <v>2019</v>
      </c>
      <c r="D17">
        <f>'1. Info'!$G$30</f>
        <v>2018</v>
      </c>
      <c r="E17">
        <f>'1. Info'!$G$32</f>
        <v>2014</v>
      </c>
      <c r="F17" s="729" t="s">
        <v>472</v>
      </c>
      <c r="G17" s="449" t="s">
        <v>117</v>
      </c>
      <c r="H17" s="731">
        <f>'3. Data_Input_Sheet'!E40</f>
        <v>0</v>
      </c>
      <c r="I17" s="731" t="str">
        <f>'3. Data_Input_Sheet'!U40</f>
        <v/>
      </c>
    </row>
    <row r="18" spans="1:9" ht="25.5" x14ac:dyDescent="0.2">
      <c r="A18" t="str">
        <f>'1. Info'!$G$16</f>
        <v>Niagara-on-the-Lake Hydro Inc.</v>
      </c>
      <c r="B18" t="str">
        <f>'1. Info'!$G$20</f>
        <v>EB-2018-0056</v>
      </c>
      <c r="C18">
        <f>'1. Info'!$G$28</f>
        <v>2019</v>
      </c>
      <c r="D18">
        <f>'1. Info'!$G$30</f>
        <v>2018</v>
      </c>
      <c r="E18">
        <f>'1. Info'!$G$32</f>
        <v>2014</v>
      </c>
      <c r="F18" s="728" t="s">
        <v>146</v>
      </c>
      <c r="G18" s="449" t="s">
        <v>115</v>
      </c>
      <c r="H18" s="731">
        <f>'3. Data_Input_Sheet'!E44</f>
        <v>-800511.63163715601</v>
      </c>
      <c r="I18" s="731">
        <f>'3. Data_Input_Sheet'!U44</f>
        <v>0</v>
      </c>
    </row>
    <row r="19" spans="1:9" x14ac:dyDescent="0.2">
      <c r="A19" t="str">
        <f>'1. Info'!$G$16</f>
        <v>Niagara-on-the-Lake Hydro Inc.</v>
      </c>
      <c r="B19" t="str">
        <f>'1. Info'!$G$20</f>
        <v>EB-2018-0056</v>
      </c>
      <c r="C19">
        <f>'1. Info'!$G$28</f>
        <v>2019</v>
      </c>
      <c r="D19">
        <f>'1. Info'!$G$30</f>
        <v>2018</v>
      </c>
      <c r="E19">
        <f>'1. Info'!$G$32</f>
        <v>2014</v>
      </c>
      <c r="F19" s="729" t="s">
        <v>471</v>
      </c>
      <c r="G19" s="729" t="s">
        <v>481</v>
      </c>
      <c r="H19" s="731">
        <f>'3. Data_Input_Sheet'!E46</f>
        <v>80723.439975381421</v>
      </c>
      <c r="I19" s="731">
        <f>'3. Data_Input_Sheet'!U46</f>
        <v>0</v>
      </c>
    </row>
    <row r="20" spans="1:9" x14ac:dyDescent="0.2">
      <c r="A20" t="str">
        <f>'1. Info'!$G$16</f>
        <v>Niagara-on-the-Lake Hydro Inc.</v>
      </c>
      <c r="B20" t="str">
        <f>'1. Info'!$G$20</f>
        <v>EB-2018-0056</v>
      </c>
      <c r="C20">
        <f>'1. Info'!$G$28</f>
        <v>2019</v>
      </c>
      <c r="D20">
        <f>'1. Info'!$G$30</f>
        <v>2018</v>
      </c>
      <c r="E20">
        <f>'1. Info'!$G$32</f>
        <v>2014</v>
      </c>
      <c r="F20" s="729" t="s">
        <v>136</v>
      </c>
      <c r="G20" s="729" t="s">
        <v>470</v>
      </c>
      <c r="H20" s="731">
        <f>'3. Data_Input_Sheet'!E49</f>
        <v>0.15</v>
      </c>
      <c r="I20" s="731">
        <f>'3. Data_Input_Sheet'!U49</f>
        <v>0</v>
      </c>
    </row>
    <row r="21" spans="1:9" x14ac:dyDescent="0.2">
      <c r="A21" t="str">
        <f>'1. Info'!$G$16</f>
        <v>Niagara-on-the-Lake Hydro Inc.</v>
      </c>
      <c r="B21" t="str">
        <f>'1. Info'!$G$20</f>
        <v>EB-2018-0056</v>
      </c>
      <c r="C21">
        <f>'1. Info'!$G$28</f>
        <v>2019</v>
      </c>
      <c r="D21">
        <f>'1. Info'!$G$30</f>
        <v>2018</v>
      </c>
      <c r="E21">
        <f>'1. Info'!$G$32</f>
        <v>2014</v>
      </c>
      <c r="F21" s="729" t="s">
        <v>137</v>
      </c>
      <c r="G21" s="729" t="s">
        <v>470</v>
      </c>
      <c r="H21" s="731">
        <f>'3. Data_Input_Sheet'!E50</f>
        <v>0.11499999999999999</v>
      </c>
      <c r="I21" s="731">
        <f>'3. Data_Input_Sheet'!U50</f>
        <v>0</v>
      </c>
    </row>
    <row r="22" spans="1:9" x14ac:dyDescent="0.2">
      <c r="A22" t="str">
        <f>'1. Info'!$G$16</f>
        <v>Niagara-on-the-Lake Hydro Inc.</v>
      </c>
      <c r="B22" t="str">
        <f>'1. Info'!$G$20</f>
        <v>EB-2018-0056</v>
      </c>
      <c r="C22">
        <f>'1. Info'!$G$28</f>
        <v>2019</v>
      </c>
      <c r="D22">
        <f>'1. Info'!$G$30</f>
        <v>2018</v>
      </c>
      <c r="E22">
        <f>'1. Info'!$G$32</f>
        <v>2014</v>
      </c>
      <c r="F22" s="729" t="s">
        <v>116</v>
      </c>
      <c r="G22" s="729" t="s">
        <v>470</v>
      </c>
      <c r="H22" s="731">
        <f>'3. Data_Input_Sheet'!E51</f>
        <v>0</v>
      </c>
      <c r="I22" s="731">
        <f>'3. Data_Input_Sheet'!U51</f>
        <v>0</v>
      </c>
    </row>
    <row r="23" spans="1:9" x14ac:dyDescent="0.2">
      <c r="A23" t="str">
        <f>'1. Info'!$G$16</f>
        <v>Niagara-on-the-Lake Hydro Inc.</v>
      </c>
      <c r="B23" t="str">
        <f>'1. Info'!$G$20</f>
        <v>EB-2018-0056</v>
      </c>
      <c r="C23">
        <f>'1. Info'!$G$28</f>
        <v>2019</v>
      </c>
      <c r="D23">
        <f>'1. Info'!$G$30</f>
        <v>2018</v>
      </c>
      <c r="E23">
        <f>'1. Info'!$G$32</f>
        <v>2014</v>
      </c>
      <c r="F23" s="729" t="s">
        <v>473</v>
      </c>
      <c r="G23" s="449" t="s">
        <v>469</v>
      </c>
      <c r="H23" s="731">
        <f>'3. Data_Input_Sheet'!E55</f>
        <v>0.56000000000000016</v>
      </c>
      <c r="I23" s="731">
        <f>'3. Data_Input_Sheet'!U55</f>
        <v>0</v>
      </c>
    </row>
    <row r="24" spans="1:9" x14ac:dyDescent="0.2">
      <c r="A24" t="str">
        <f>'1. Info'!$G$16</f>
        <v>Niagara-on-the-Lake Hydro Inc.</v>
      </c>
      <c r="B24" t="str">
        <f>'1. Info'!$G$20</f>
        <v>EB-2018-0056</v>
      </c>
      <c r="C24">
        <f>'1. Info'!$G$28</f>
        <v>2019</v>
      </c>
      <c r="D24">
        <f>'1. Info'!$G$30</f>
        <v>2018</v>
      </c>
      <c r="E24">
        <f>'1. Info'!$G$32</f>
        <v>2014</v>
      </c>
      <c r="F24" s="729" t="s">
        <v>474</v>
      </c>
      <c r="G24" s="449" t="s">
        <v>469</v>
      </c>
      <c r="H24" s="731">
        <f>'3. Data_Input_Sheet'!E56</f>
        <v>0.04</v>
      </c>
      <c r="I24" s="731">
        <f>'3. Data_Input_Sheet'!U56</f>
        <v>0</v>
      </c>
    </row>
    <row r="25" spans="1:9" x14ac:dyDescent="0.2">
      <c r="A25" t="str">
        <f>'1. Info'!$G$16</f>
        <v>Niagara-on-the-Lake Hydro Inc.</v>
      </c>
      <c r="B25" t="str">
        <f>'1. Info'!$G$20</f>
        <v>EB-2018-0056</v>
      </c>
      <c r="C25">
        <f>'1. Info'!$G$28</f>
        <v>2019</v>
      </c>
      <c r="D25">
        <f>'1. Info'!$G$30</f>
        <v>2018</v>
      </c>
      <c r="E25">
        <f>'1. Info'!$G$32</f>
        <v>2014</v>
      </c>
      <c r="F25" s="729" t="s">
        <v>475</v>
      </c>
      <c r="G25" s="449" t="s">
        <v>469</v>
      </c>
      <c r="H25" s="731">
        <f>'3. Data_Input_Sheet'!E57</f>
        <v>0.4</v>
      </c>
      <c r="I25" s="731">
        <f>'3. Data_Input_Sheet'!U57</f>
        <v>0</v>
      </c>
    </row>
    <row r="26" spans="1:9" x14ac:dyDescent="0.2">
      <c r="A26" t="str">
        <f>'1. Info'!$G$16</f>
        <v>Niagara-on-the-Lake Hydro Inc.</v>
      </c>
      <c r="B26" t="str">
        <f>'1. Info'!$G$20</f>
        <v>EB-2018-0056</v>
      </c>
      <c r="C26">
        <f>'1. Info'!$G$28</f>
        <v>2019</v>
      </c>
      <c r="D26">
        <f>'1. Info'!$G$30</f>
        <v>2018</v>
      </c>
      <c r="E26">
        <f>'1. Info'!$G$32</f>
        <v>2014</v>
      </c>
      <c r="F26" s="729" t="s">
        <v>476</v>
      </c>
      <c r="G26" s="449" t="s">
        <v>469</v>
      </c>
      <c r="H26" s="731">
        <f>'3. Data_Input_Sheet'!E58</f>
        <v>0</v>
      </c>
      <c r="I26" s="731">
        <f>'3. Data_Input_Sheet'!U58</f>
        <v>0</v>
      </c>
    </row>
    <row r="27" spans="1:9" x14ac:dyDescent="0.2">
      <c r="A27" t="str">
        <f>'1. Info'!$G$16</f>
        <v>Niagara-on-the-Lake Hydro Inc.</v>
      </c>
      <c r="B27" t="str">
        <f>'1. Info'!$G$20</f>
        <v>EB-2018-0056</v>
      </c>
      <c r="C27">
        <f>'1. Info'!$G$28</f>
        <v>2019</v>
      </c>
      <c r="D27">
        <f>'1. Info'!$G$30</f>
        <v>2018</v>
      </c>
      <c r="E27">
        <f>'1. Info'!$G$32</f>
        <v>2014</v>
      </c>
      <c r="F27" s="729" t="s">
        <v>477</v>
      </c>
      <c r="G27" s="449" t="s">
        <v>89</v>
      </c>
      <c r="H27" s="731">
        <f>'3. Data_Input_Sheet'!E62</f>
        <v>3.7100000000000001E-2</v>
      </c>
      <c r="I27" s="731">
        <f>'3. Data_Input_Sheet'!U62</f>
        <v>0</v>
      </c>
    </row>
    <row r="28" spans="1:9" x14ac:dyDescent="0.2">
      <c r="A28" t="str">
        <f>'1. Info'!$G$16</f>
        <v>Niagara-on-the-Lake Hydro Inc.</v>
      </c>
      <c r="B28" t="str">
        <f>'1. Info'!$G$20</f>
        <v>EB-2018-0056</v>
      </c>
      <c r="C28">
        <f>'1. Info'!$G$28</f>
        <v>2019</v>
      </c>
      <c r="D28">
        <f>'1. Info'!$G$30</f>
        <v>2018</v>
      </c>
      <c r="E28">
        <f>'1. Info'!$G$32</f>
        <v>2014</v>
      </c>
      <c r="F28" s="729" t="s">
        <v>478</v>
      </c>
      <c r="G28" s="449" t="s">
        <v>89</v>
      </c>
      <c r="H28" s="731">
        <f>'3. Data_Input_Sheet'!E63</f>
        <v>2.29E-2</v>
      </c>
      <c r="I28" s="731">
        <f>'3. Data_Input_Sheet'!U63</f>
        <v>0</v>
      </c>
    </row>
    <row r="29" spans="1:9" x14ac:dyDescent="0.2">
      <c r="A29" t="str">
        <f>'1. Info'!$G$16</f>
        <v>Niagara-on-the-Lake Hydro Inc.</v>
      </c>
      <c r="B29" t="str">
        <f>'1. Info'!$G$20</f>
        <v>EB-2018-0056</v>
      </c>
      <c r="C29">
        <f>'1. Info'!$G$28</f>
        <v>2019</v>
      </c>
      <c r="D29">
        <f>'1. Info'!$G$30</f>
        <v>2018</v>
      </c>
      <c r="E29">
        <f>'1. Info'!$G$32</f>
        <v>2014</v>
      </c>
      <c r="F29" s="729" t="s">
        <v>479</v>
      </c>
      <c r="G29" s="449" t="s">
        <v>89</v>
      </c>
      <c r="H29" s="731">
        <f>'3. Data_Input_Sheet'!E64</f>
        <v>0.09</v>
      </c>
      <c r="I29" s="731">
        <f>'3. Data_Input_Sheet'!U64</f>
        <v>0</v>
      </c>
    </row>
    <row r="30" spans="1:9" x14ac:dyDescent="0.2">
      <c r="A30" t="str">
        <f>'1. Info'!$G$16</f>
        <v>Niagara-on-the-Lake Hydro Inc.</v>
      </c>
      <c r="B30" t="str">
        <f>'1. Info'!$G$20</f>
        <v>EB-2018-0056</v>
      </c>
      <c r="C30">
        <f>'1. Info'!$G$28</f>
        <v>2019</v>
      </c>
      <c r="D30">
        <f>'1. Info'!$G$30</f>
        <v>2018</v>
      </c>
      <c r="E30">
        <f>'1. Info'!$G$32</f>
        <v>2014</v>
      </c>
      <c r="F30" s="729" t="s">
        <v>480</v>
      </c>
      <c r="G30" s="449" t="s">
        <v>89</v>
      </c>
      <c r="H30" s="731">
        <f>'3. Data_Input_Sheet'!E65</f>
        <v>0</v>
      </c>
      <c r="I30" s="731">
        <f>'3. Data_Input_Sheet'!U65</f>
        <v>0</v>
      </c>
    </row>
  </sheetData>
  <sheetProtection algorithmName="SHA-512" hashValue="tfj1EBwohNwqPwxHsAqA6u62Dw6SImemvtWHPkGPyi+CBORt54kC0GqoOKEu68jZRNCqlxxPz8JOJUGO/aSSMQ==" saltValue="PWRX0FvlG92XLLv4RP9WgQ==" spinCount="100000" sheet="1" objects="1" scenarios="1"/>
  <pageMargins left="0.7" right="0.7" top="0.75" bottom="0.75" header="0.3" footer="0.3"/>
  <pageSetup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AB42"/>
  <sheetViews>
    <sheetView showGridLines="0" zoomScaleNormal="100" zoomScaleSheetLayoutView="100" workbookViewId="0">
      <selection activeCell="D38" sqref="D38:W38"/>
    </sheetView>
  </sheetViews>
  <sheetFormatPr defaultColWidth="9.140625"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786"/>
      <c r="D1" s="786"/>
      <c r="E1" s="786"/>
      <c r="F1" s="786"/>
      <c r="G1" s="786"/>
      <c r="H1" s="786"/>
      <c r="I1" s="786"/>
      <c r="J1" s="786"/>
      <c r="K1" s="786"/>
      <c r="L1" s="137"/>
      <c r="W1" s="143"/>
    </row>
    <row r="2" spans="2:28" s="2" customFormat="1" ht="36.75" customHeight="1" x14ac:dyDescent="0.25">
      <c r="C2" s="768"/>
      <c r="D2" s="768"/>
      <c r="E2" s="768"/>
      <c r="F2" s="768"/>
      <c r="G2" s="768"/>
      <c r="H2" s="768"/>
      <c r="I2" s="768"/>
      <c r="J2" s="768"/>
      <c r="K2" s="768"/>
      <c r="L2" s="768"/>
      <c r="M2" s="768"/>
      <c r="N2" s="768"/>
      <c r="O2" s="768"/>
      <c r="P2" s="768"/>
      <c r="Q2" s="768"/>
      <c r="R2" s="768"/>
      <c r="S2" s="768"/>
      <c r="T2" s="768"/>
      <c r="U2" s="768"/>
      <c r="V2" s="768"/>
      <c r="W2" s="768"/>
    </row>
    <row r="3" spans="2:28" s="2" customFormat="1" ht="36.75" customHeight="1" x14ac:dyDescent="0.25">
      <c r="C3" s="768"/>
      <c r="D3" s="768"/>
      <c r="E3" s="768"/>
      <c r="F3" s="768"/>
      <c r="G3" s="768"/>
      <c r="H3" s="35"/>
      <c r="I3" s="32"/>
      <c r="J3" s="32"/>
      <c r="K3" s="32"/>
      <c r="L3" s="32"/>
    </row>
    <row r="4" spans="2:28" s="2" customFormat="1" ht="36.75" customHeight="1" x14ac:dyDescent="0.25">
      <c r="C4" s="768"/>
      <c r="D4" s="768"/>
      <c r="E4" s="768"/>
      <c r="F4" s="768"/>
      <c r="G4" s="768"/>
      <c r="H4" s="35"/>
      <c r="I4" s="32"/>
      <c r="J4" s="32"/>
      <c r="K4" s="32"/>
      <c r="L4" s="32"/>
    </row>
    <row r="5" spans="2:28" s="2" customFormat="1" ht="15.75" x14ac:dyDescent="0.25">
      <c r="E5" s="3"/>
      <c r="F5" s="3"/>
    </row>
    <row r="6" spans="2:28" s="2" customFormat="1" ht="18" x14ac:dyDescent="0.25">
      <c r="B6" s="372" t="s">
        <v>241</v>
      </c>
    </row>
    <row r="9" spans="2:28" ht="15.75" x14ac:dyDescent="0.25">
      <c r="G9" s="57"/>
      <c r="H9" s="57"/>
      <c r="I9" s="57"/>
      <c r="J9" s="57"/>
      <c r="K9" s="57"/>
      <c r="L9" s="57"/>
      <c r="M9" s="57"/>
      <c r="N9" s="57"/>
      <c r="O9" s="57"/>
      <c r="P9" s="57"/>
      <c r="Q9" s="57"/>
      <c r="R9" s="57"/>
      <c r="S9" s="57"/>
      <c r="T9" s="57"/>
      <c r="U9" s="57"/>
      <c r="V9" s="57"/>
      <c r="W9" s="57"/>
    </row>
    <row r="10" spans="2:28" ht="18" x14ac:dyDescent="0.25">
      <c r="D10" s="369" t="s">
        <v>7</v>
      </c>
      <c r="F10" s="126"/>
      <c r="G10" s="126"/>
      <c r="H10" s="126"/>
      <c r="I10" s="126"/>
      <c r="J10" s="126"/>
      <c r="K10" s="126"/>
      <c r="L10" s="126"/>
      <c r="M10" s="126"/>
      <c r="N10" s="126"/>
      <c r="O10" s="126"/>
      <c r="P10" s="126"/>
      <c r="Q10" s="126"/>
      <c r="R10" s="126"/>
      <c r="S10" s="126"/>
      <c r="T10" s="126"/>
      <c r="U10" s="126"/>
      <c r="V10" s="126"/>
      <c r="W10" s="126"/>
    </row>
    <row r="11" spans="2:28" ht="25.5" x14ac:dyDescent="0.2">
      <c r="B11" s="40" t="s">
        <v>37</v>
      </c>
      <c r="C11" s="27"/>
      <c r="D11" s="41" t="s">
        <v>36</v>
      </c>
      <c r="E11" s="65"/>
      <c r="F11" s="33"/>
      <c r="G11" s="294" t="s">
        <v>155</v>
      </c>
      <c r="H11" s="68"/>
      <c r="I11" s="297"/>
      <c r="J11" s="297"/>
      <c r="K11" s="68" t="str">
        <f>IF(ISBLANK('3. Data_Input_Sheet'!M12),"",'3. Data_Input_Sheet'!I12)</f>
        <v>Adjustments</v>
      </c>
      <c r="L11" s="68"/>
      <c r="M11" s="297"/>
      <c r="N11" s="297"/>
      <c r="O11" s="164" t="str">
        <f>IF(ISBLANK('3. Data_Input_Sheet'!M12)," ",'3. Data_Input_Sheet'!M12)</f>
        <v>Settlement Agreement</v>
      </c>
      <c r="P11" s="297"/>
      <c r="Q11" s="297"/>
      <c r="R11" s="297"/>
      <c r="S11" s="68" t="str">
        <f>IF(ISBLANK('3. Data_Input_Sheet'!Q12),"",'3. Data_Input_Sheet'!Q12)</f>
        <v>Adjustments</v>
      </c>
      <c r="T11" s="297"/>
      <c r="U11" s="297"/>
      <c r="V11" s="297"/>
      <c r="W11" s="294" t="str">
        <f>'3. Data_Input_Sheet'!U12</f>
        <v>Per Board Decision</v>
      </c>
    </row>
    <row r="12" spans="2:28" x14ac:dyDescent="0.2">
      <c r="F12" s="33"/>
      <c r="G12" s="33"/>
      <c r="H12" s="33"/>
      <c r="I12" s="33"/>
      <c r="J12" s="33"/>
      <c r="K12" s="33"/>
      <c r="L12" s="33"/>
      <c r="M12" s="33"/>
      <c r="N12" s="33"/>
      <c r="O12" s="33"/>
      <c r="P12" s="33"/>
      <c r="Q12" s="33"/>
      <c r="R12" s="33"/>
      <c r="S12" s="33"/>
      <c r="T12" s="33"/>
      <c r="U12" s="33"/>
      <c r="V12" s="33"/>
      <c r="W12" s="33"/>
    </row>
    <row r="13" spans="2:28" ht="14.25" x14ac:dyDescent="0.2">
      <c r="B13" s="4">
        <v>1</v>
      </c>
      <c r="D13" s="5" t="s">
        <v>102</v>
      </c>
      <c r="E13" s="481" t="s">
        <v>3</v>
      </c>
      <c r="F13" s="33"/>
      <c r="G13" s="99">
        <f>'3. Data_Input_Sheet'!E16</f>
        <v>56132842.732500017</v>
      </c>
      <c r="H13" s="99"/>
      <c r="I13" s="354"/>
      <c r="J13" s="175"/>
      <c r="K13" s="99">
        <f>'3. Data_Input_Sheet'!I16</f>
        <v>-982155.94750001281</v>
      </c>
      <c r="L13" s="99"/>
      <c r="M13" s="734" t="s">
        <v>509</v>
      </c>
      <c r="N13" s="175"/>
      <c r="O13" s="99">
        <f>G13+K13</f>
        <v>55150686.785000004</v>
      </c>
      <c r="P13" s="175"/>
      <c r="Q13" s="354"/>
      <c r="R13" s="175"/>
      <c r="S13" s="99">
        <f>'3. Data_Input_Sheet'!Q16</f>
        <v>0</v>
      </c>
      <c r="T13" s="175"/>
      <c r="U13" s="354"/>
      <c r="V13" s="175"/>
      <c r="W13" s="99">
        <f>G13+K13+S13</f>
        <v>55150686.785000004</v>
      </c>
      <c r="Z13" s="52"/>
      <c r="AA13" s="52"/>
      <c r="AB13" s="52"/>
    </row>
    <row r="14" spans="2:28" ht="14.25" x14ac:dyDescent="0.2">
      <c r="B14" s="4">
        <v>2</v>
      </c>
      <c r="D14" s="5" t="s">
        <v>103</v>
      </c>
      <c r="E14" s="481" t="s">
        <v>3</v>
      </c>
      <c r="F14" s="33"/>
      <c r="G14" s="101">
        <f>'3. Data_Input_Sheet'!E17</f>
        <v>-27607193.203133006</v>
      </c>
      <c r="H14" s="99"/>
      <c r="I14" s="354"/>
      <c r="J14" s="175"/>
      <c r="K14" s="101">
        <f>'3. Data_Input_Sheet'!I17</f>
        <v>830118.58328421414</v>
      </c>
      <c r="L14" s="99"/>
      <c r="M14" s="734" t="s">
        <v>509</v>
      </c>
      <c r="N14" s="175"/>
      <c r="O14" s="101">
        <f>G14+K14</f>
        <v>-26777074.619848792</v>
      </c>
      <c r="P14" s="175"/>
      <c r="Q14" s="354"/>
      <c r="R14" s="175"/>
      <c r="S14" s="101">
        <f>'3. Data_Input_Sheet'!Q17</f>
        <v>0</v>
      </c>
      <c r="T14" s="175"/>
      <c r="U14" s="354"/>
      <c r="V14" s="175"/>
      <c r="W14" s="101">
        <f>G14+K14+S14</f>
        <v>-26777074.619848792</v>
      </c>
    </row>
    <row r="15" spans="2:28" ht="14.25" x14ac:dyDescent="0.2">
      <c r="B15" s="4">
        <v>3</v>
      </c>
      <c r="D15" s="59" t="s">
        <v>104</v>
      </c>
      <c r="E15" s="481" t="s">
        <v>3</v>
      </c>
      <c r="F15" s="33"/>
      <c r="G15" s="46">
        <f>SUM(G13:G14)</f>
        <v>28525649.529367011</v>
      </c>
      <c r="H15" s="46"/>
      <c r="I15" s="127"/>
      <c r="J15" s="127"/>
      <c r="K15" s="46">
        <f>SUM(K13:K14)</f>
        <v>-152037.36421579868</v>
      </c>
      <c r="L15" s="46"/>
      <c r="M15" s="127"/>
      <c r="N15" s="127"/>
      <c r="O15" s="46">
        <f>SUM(O13:O14)</f>
        <v>28373612.165151212</v>
      </c>
      <c r="P15" s="127"/>
      <c r="Q15" s="127"/>
      <c r="R15" s="127"/>
      <c r="S15" s="46">
        <f>SUM(S13:S14)</f>
        <v>0</v>
      </c>
      <c r="T15" s="127"/>
      <c r="U15" s="127"/>
      <c r="V15" s="127"/>
      <c r="W15" s="46">
        <f>SUM(W13:W14)</f>
        <v>28373612.165151212</v>
      </c>
    </row>
    <row r="16" spans="2:28" x14ac:dyDescent="0.2">
      <c r="B16" s="4"/>
      <c r="E16" s="4"/>
      <c r="F16" s="33"/>
      <c r="G16" s="46"/>
      <c r="H16" s="46"/>
      <c r="I16" s="127"/>
      <c r="J16" s="127"/>
      <c r="K16" s="46"/>
      <c r="L16" s="46"/>
      <c r="M16" s="127"/>
      <c r="N16" s="127"/>
      <c r="O16" s="46"/>
      <c r="P16" s="127"/>
      <c r="Q16" s="127"/>
      <c r="R16" s="127"/>
      <c r="S16" s="46"/>
      <c r="T16" s="127"/>
      <c r="U16" s="127"/>
      <c r="V16" s="127"/>
      <c r="W16" s="46"/>
    </row>
    <row r="17" spans="2:26" ht="14.25" x14ac:dyDescent="0.2">
      <c r="B17" s="4">
        <v>4</v>
      </c>
      <c r="D17" s="125" t="s">
        <v>58</v>
      </c>
      <c r="E17" s="486" t="s">
        <v>2</v>
      </c>
      <c r="F17" s="33"/>
      <c r="G17" s="53">
        <f>G30</f>
        <v>2172361.2001118171</v>
      </c>
      <c r="H17" s="46"/>
      <c r="I17" s="127"/>
      <c r="J17" s="127"/>
      <c r="K17" s="53">
        <f>K30</f>
        <v>-5671.8353970749304</v>
      </c>
      <c r="L17" s="46"/>
      <c r="M17" s="127"/>
      <c r="N17" s="127"/>
      <c r="O17" s="53">
        <f>O30</f>
        <v>2166689.3647147422</v>
      </c>
      <c r="P17" s="127"/>
      <c r="Q17" s="127"/>
      <c r="R17" s="127"/>
      <c r="S17" s="53">
        <f>S30</f>
        <v>-2166689.3647147422</v>
      </c>
      <c r="T17" s="127"/>
      <c r="U17" s="127"/>
      <c r="V17" s="127"/>
      <c r="W17" s="53">
        <f>W30</f>
        <v>0</v>
      </c>
    </row>
    <row r="18" spans="2:26" x14ac:dyDescent="0.2">
      <c r="B18" s="4"/>
      <c r="D18" s="790" t="s">
        <v>1</v>
      </c>
      <c r="E18" s="36"/>
      <c r="F18" s="69"/>
      <c r="G18" s="788">
        <f>G17+G15</f>
        <v>30698010.729478829</v>
      </c>
      <c r="H18" s="48"/>
      <c r="I18" s="127"/>
      <c r="J18" s="127"/>
      <c r="K18" s="788">
        <f>K17+K15</f>
        <v>-157709.19961287361</v>
      </c>
      <c r="L18" s="48"/>
      <c r="M18" s="127"/>
      <c r="N18" s="127"/>
      <c r="O18" s="788">
        <f>O17+O15</f>
        <v>30540301.529865954</v>
      </c>
      <c r="P18" s="127"/>
      <c r="Q18" s="127"/>
      <c r="R18" s="127"/>
      <c r="S18" s="788">
        <f>S17+S15</f>
        <v>-2166689.3647147422</v>
      </c>
      <c r="T18" s="127"/>
      <c r="U18" s="127"/>
      <c r="V18" s="127"/>
      <c r="W18" s="788">
        <f>W15+W17</f>
        <v>28373612.165151212</v>
      </c>
    </row>
    <row r="19" spans="2:26" ht="13.5" thickBot="1" x14ac:dyDescent="0.25">
      <c r="B19" s="4">
        <v>5</v>
      </c>
      <c r="D19" s="791"/>
      <c r="E19" s="36"/>
      <c r="F19" s="69"/>
      <c r="G19" s="789"/>
      <c r="H19" s="48"/>
      <c r="I19" s="100"/>
      <c r="J19" s="100"/>
      <c r="K19" s="789"/>
      <c r="L19" s="48"/>
      <c r="M19" s="100"/>
      <c r="N19" s="100"/>
      <c r="O19" s="789"/>
      <c r="P19" s="100"/>
      <c r="Q19" s="100"/>
      <c r="R19" s="100"/>
      <c r="S19" s="789"/>
      <c r="T19" s="100"/>
      <c r="U19" s="100"/>
      <c r="V19" s="100"/>
      <c r="W19" s="789"/>
    </row>
    <row r="20" spans="2:26" ht="56.25" customHeight="1" thickTop="1" x14ac:dyDescent="0.25">
      <c r="B20" s="4"/>
      <c r="C20" s="293" t="s">
        <v>2</v>
      </c>
      <c r="D20" s="371" t="s">
        <v>252</v>
      </c>
    </row>
    <row r="21" spans="2:26" x14ac:dyDescent="0.2">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
      <c r="B22" s="69"/>
      <c r="C22" s="293"/>
      <c r="D22" s="792"/>
      <c r="E22" s="793"/>
      <c r="F22" s="793"/>
      <c r="G22" s="793"/>
      <c r="H22" s="793"/>
      <c r="I22" s="793"/>
      <c r="J22" s="793"/>
      <c r="K22" s="793"/>
      <c r="L22" s="793"/>
      <c r="M22" s="793"/>
      <c r="N22" s="793"/>
      <c r="O22" s="793"/>
      <c r="P22" s="793"/>
      <c r="Q22" s="793"/>
      <c r="R22" s="793"/>
      <c r="S22" s="793"/>
      <c r="T22" s="793"/>
      <c r="U22" s="793"/>
      <c r="V22" s="793"/>
      <c r="W22" s="793"/>
      <c r="X22" s="128"/>
      <c r="Y22" s="15"/>
      <c r="Z22" s="15"/>
    </row>
    <row r="23" spans="2:26" x14ac:dyDescent="0.2">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
      <c r="B24" s="65">
        <v>6</v>
      </c>
      <c r="C24" s="33"/>
      <c r="D24" s="64" t="s">
        <v>9</v>
      </c>
      <c r="E24" s="33"/>
      <c r="F24" s="33"/>
      <c r="G24" s="99">
        <f>'3. Data_Input_Sheet'!E19</f>
        <v>3009140.5497909407</v>
      </c>
      <c r="H24" s="99"/>
      <c r="I24" s="354"/>
      <c r="J24" s="175"/>
      <c r="K24" s="99">
        <f>'3. Data_Input_Sheet'!I19</f>
        <v>-9420.6211834261194</v>
      </c>
      <c r="L24" s="99"/>
      <c r="M24" s="734" t="s">
        <v>510</v>
      </c>
      <c r="N24" s="175"/>
      <c r="O24" s="99">
        <f>G24+K24</f>
        <v>2999719.9286075146</v>
      </c>
      <c r="P24" s="175"/>
      <c r="Q24" s="354"/>
      <c r="R24" s="175"/>
      <c r="S24" s="99">
        <f>'3. Data_Input_Sheet'!Q19</f>
        <v>0</v>
      </c>
      <c r="T24" s="175"/>
      <c r="U24" s="354"/>
      <c r="V24" s="175"/>
      <c r="W24" s="123">
        <f>G24+K24+S24</f>
        <v>2999719.9286075146</v>
      </c>
      <c r="X24" s="33"/>
    </row>
    <row r="25" spans="2:26" x14ac:dyDescent="0.2">
      <c r="B25" s="65">
        <v>7</v>
      </c>
      <c r="C25" s="33"/>
      <c r="D25" s="124" t="s">
        <v>5</v>
      </c>
      <c r="E25" s="33"/>
      <c r="F25" s="33"/>
      <c r="G25" s="101">
        <f>'3. Data_Input_Sheet'!E20</f>
        <v>25955675.451699954</v>
      </c>
      <c r="H25" s="99"/>
      <c r="I25" s="354"/>
      <c r="J25" s="175"/>
      <c r="K25" s="101">
        <f>'3. Data_Input_Sheet'!I20</f>
        <v>-66203.850777573884</v>
      </c>
      <c r="L25" s="99"/>
      <c r="M25" s="734" t="s">
        <v>512</v>
      </c>
      <c r="N25" s="175"/>
      <c r="O25" s="101">
        <f>G25+K25</f>
        <v>25889471.60092238</v>
      </c>
      <c r="P25" s="175"/>
      <c r="Q25" s="354"/>
      <c r="R25" s="175"/>
      <c r="S25" s="101">
        <f>'3. Data_Input_Sheet'!Q20</f>
        <v>0</v>
      </c>
      <c r="T25" s="175"/>
      <c r="U25" s="354"/>
      <c r="V25" s="175"/>
      <c r="W25" s="131">
        <f>G25+K25+S25</f>
        <v>25889471.60092238</v>
      </c>
      <c r="X25" s="33"/>
    </row>
    <row r="26" spans="2:26" x14ac:dyDescent="0.2">
      <c r="B26" s="65">
        <v>8</v>
      </c>
      <c r="C26" s="33"/>
      <c r="D26" s="64" t="s">
        <v>10</v>
      </c>
      <c r="E26" s="33"/>
      <c r="F26" s="33"/>
      <c r="G26" s="46">
        <f>SUM(G24:G25)</f>
        <v>28964816.001490895</v>
      </c>
      <c r="H26" s="46"/>
      <c r="I26" s="127"/>
      <c r="J26" s="152"/>
      <c r="K26" s="46">
        <f>K24+K25</f>
        <v>-75624.471961000003</v>
      </c>
      <c r="L26" s="46"/>
      <c r="M26" s="127"/>
      <c r="N26" s="127"/>
      <c r="O26" s="46">
        <f>SUM(O24:O25)</f>
        <v>28889191.529529896</v>
      </c>
      <c r="P26" s="127"/>
      <c r="Q26" s="127"/>
      <c r="R26" s="127"/>
      <c r="S26" s="46">
        <f>S24+S25</f>
        <v>0</v>
      </c>
      <c r="T26" s="127"/>
      <c r="U26" s="127"/>
      <c r="V26" s="127"/>
      <c r="W26" s="67">
        <f>SUM(W24:W25)</f>
        <v>28889191.529529896</v>
      </c>
      <c r="X26" s="33"/>
    </row>
    <row r="27" spans="2:26" x14ac:dyDescent="0.2">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x14ac:dyDescent="0.2">
      <c r="B28" s="72">
        <v>9</v>
      </c>
      <c r="C28" s="29"/>
      <c r="D28" s="64" t="s">
        <v>82</v>
      </c>
      <c r="E28" s="487" t="s">
        <v>2</v>
      </c>
      <c r="F28" s="33"/>
      <c r="G28" s="79">
        <f>'3. Data_Input_Sheet'!E21</f>
        <v>7.4999999999999997E-2</v>
      </c>
      <c r="H28" s="79"/>
      <c r="I28" s="354"/>
      <c r="J28" s="175"/>
      <c r="K28" s="87">
        <f>O28-G28</f>
        <v>0</v>
      </c>
      <c r="L28" s="87"/>
      <c r="M28" s="354"/>
      <c r="N28" s="87"/>
      <c r="O28" s="79">
        <f>'3. Data_Input_Sheet'!M21</f>
        <v>7.4999999999999997E-2</v>
      </c>
      <c r="P28" s="87"/>
      <c r="Q28" s="354"/>
      <c r="R28" s="87"/>
      <c r="S28" s="87">
        <f>W28-O28</f>
        <v>-7.4999999999999997E-2</v>
      </c>
      <c r="T28" s="87"/>
      <c r="U28" s="354"/>
      <c r="V28" s="87"/>
      <c r="W28" s="132">
        <f>'3. Data_Input_Sheet'!U21</f>
        <v>0</v>
      </c>
      <c r="X28" s="33"/>
    </row>
    <row r="29" spans="2:26" ht="13.5" thickBot="1" x14ac:dyDescent="0.25">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x14ac:dyDescent="0.2">
      <c r="B30" s="72">
        <v>10</v>
      </c>
      <c r="C30" s="29"/>
      <c r="D30" s="124" t="s">
        <v>0</v>
      </c>
      <c r="E30" s="125"/>
      <c r="F30" s="125"/>
      <c r="G30" s="101">
        <f>G26*G28</f>
        <v>2172361.2001118171</v>
      </c>
      <c r="H30" s="101"/>
      <c r="I30" s="101"/>
      <c r="J30" s="101"/>
      <c r="K30" s="101">
        <f>O30-G30</f>
        <v>-5671.8353970749304</v>
      </c>
      <c r="L30" s="101"/>
      <c r="M30" s="101"/>
      <c r="N30" s="101"/>
      <c r="O30" s="101">
        <f>O26*O28</f>
        <v>2166689.3647147422</v>
      </c>
      <c r="P30" s="101"/>
      <c r="Q30" s="101"/>
      <c r="R30" s="101"/>
      <c r="S30" s="101">
        <f>W30-O30</f>
        <v>-2166689.3647147422</v>
      </c>
      <c r="T30" s="101"/>
      <c r="U30" s="101"/>
      <c r="V30" s="101"/>
      <c r="W30" s="131">
        <f>W26*W28</f>
        <v>0</v>
      </c>
      <c r="X30" s="33"/>
    </row>
    <row r="31" spans="2:26" ht="5.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
    <row r="33" spans="2:23" x14ac:dyDescent="0.2">
      <c r="B33" s="787" t="s">
        <v>38</v>
      </c>
      <c r="C33" s="787"/>
      <c r="D33" s="787"/>
      <c r="E33" s="787"/>
      <c r="F33" s="787"/>
      <c r="G33" s="787"/>
      <c r="H33" s="787"/>
      <c r="I33" s="787"/>
      <c r="J33" s="787"/>
      <c r="K33" s="787"/>
      <c r="L33" s="787"/>
      <c r="M33" s="787"/>
      <c r="N33" s="787"/>
      <c r="O33" s="787"/>
      <c r="P33" s="787"/>
      <c r="Q33" s="787"/>
      <c r="R33" s="787"/>
      <c r="S33" s="787"/>
      <c r="T33" s="787"/>
      <c r="U33" s="787"/>
      <c r="V33" s="787"/>
      <c r="W33" s="787"/>
    </row>
    <row r="34" spans="2:23" ht="26.25" customHeight="1" x14ac:dyDescent="0.2">
      <c r="B34" s="488" t="s">
        <v>2</v>
      </c>
      <c r="D34" s="783" t="s">
        <v>446</v>
      </c>
      <c r="E34" s="783"/>
      <c r="F34" s="783"/>
      <c r="G34" s="783"/>
      <c r="H34" s="783"/>
      <c r="I34" s="783"/>
      <c r="J34" s="783"/>
      <c r="K34" s="783"/>
      <c r="L34" s="783"/>
      <c r="M34" s="783"/>
      <c r="N34" s="783"/>
      <c r="O34" s="783"/>
      <c r="P34" s="783"/>
      <c r="Q34" s="783"/>
      <c r="R34" s="783"/>
      <c r="S34" s="783"/>
      <c r="T34" s="783"/>
      <c r="U34" s="783"/>
      <c r="V34" s="783"/>
      <c r="W34" s="783"/>
    </row>
    <row r="35" spans="2:23" ht="14.25" x14ac:dyDescent="0.2">
      <c r="B35" s="489" t="s">
        <v>3</v>
      </c>
      <c r="C35" s="25"/>
      <c r="D35" s="767" t="s">
        <v>133</v>
      </c>
      <c r="E35" s="767"/>
      <c r="F35" s="767"/>
      <c r="G35" s="767"/>
      <c r="H35" s="767"/>
      <c r="I35" s="767"/>
      <c r="J35" s="767"/>
      <c r="K35" s="767"/>
      <c r="L35" s="767"/>
      <c r="M35" s="767"/>
      <c r="N35" s="767"/>
      <c r="O35" s="767"/>
      <c r="P35" s="767"/>
      <c r="Q35" s="767"/>
      <c r="R35" s="767"/>
      <c r="S35" s="767"/>
      <c r="T35" s="767"/>
      <c r="U35" s="767"/>
      <c r="V35" s="767"/>
      <c r="W35" s="767"/>
    </row>
    <row r="36" spans="2:23" x14ac:dyDescent="0.2">
      <c r="B36" s="734" t="s">
        <v>509</v>
      </c>
      <c r="D36" s="784" t="s">
        <v>511</v>
      </c>
      <c r="E36" s="785"/>
      <c r="F36" s="785"/>
      <c r="G36" s="785"/>
      <c r="H36" s="785"/>
      <c r="I36" s="785"/>
      <c r="J36" s="785"/>
      <c r="K36" s="785"/>
      <c r="L36" s="785"/>
      <c r="M36" s="785"/>
      <c r="N36" s="785"/>
      <c r="O36" s="785"/>
      <c r="P36" s="785"/>
      <c r="Q36" s="785"/>
      <c r="R36" s="785"/>
      <c r="S36" s="785"/>
      <c r="T36" s="785"/>
      <c r="U36" s="785"/>
      <c r="V36" s="785"/>
      <c r="W36" s="785"/>
    </row>
    <row r="37" spans="2:23" x14ac:dyDescent="0.2">
      <c r="B37" s="734" t="s">
        <v>510</v>
      </c>
      <c r="D37" s="784" t="s">
        <v>513</v>
      </c>
      <c r="E37" s="785"/>
      <c r="F37" s="785"/>
      <c r="G37" s="785"/>
      <c r="H37" s="785"/>
      <c r="I37" s="785"/>
      <c r="J37" s="785"/>
      <c r="K37" s="785"/>
      <c r="L37" s="785"/>
      <c r="M37" s="785"/>
      <c r="N37" s="785"/>
      <c r="O37" s="785"/>
      <c r="P37" s="785"/>
      <c r="Q37" s="785"/>
      <c r="R37" s="785"/>
      <c r="S37" s="785"/>
      <c r="T37" s="785"/>
      <c r="U37" s="785"/>
      <c r="V37" s="785"/>
      <c r="W37" s="785"/>
    </row>
    <row r="38" spans="2:23" x14ac:dyDescent="0.2">
      <c r="B38" s="734" t="s">
        <v>512</v>
      </c>
      <c r="D38" s="784" t="s">
        <v>514</v>
      </c>
      <c r="E38" s="785"/>
      <c r="F38" s="785"/>
      <c r="G38" s="785"/>
      <c r="H38" s="785"/>
      <c r="I38" s="785"/>
      <c r="J38" s="785"/>
      <c r="K38" s="785"/>
      <c r="L38" s="785"/>
      <c r="M38" s="785"/>
      <c r="N38" s="785"/>
      <c r="O38" s="785"/>
      <c r="P38" s="785"/>
      <c r="Q38" s="785"/>
      <c r="R38" s="785"/>
      <c r="S38" s="785"/>
      <c r="T38" s="785"/>
      <c r="U38" s="785"/>
      <c r="V38" s="785"/>
      <c r="W38" s="785"/>
    </row>
    <row r="39" spans="2:23" x14ac:dyDescent="0.2">
      <c r="B39" s="354"/>
      <c r="D39" s="785"/>
      <c r="E39" s="785"/>
      <c r="F39" s="785"/>
      <c r="G39" s="785"/>
      <c r="H39" s="785"/>
      <c r="I39" s="785"/>
      <c r="J39" s="785"/>
      <c r="K39" s="785"/>
      <c r="L39" s="785"/>
      <c r="M39" s="785"/>
      <c r="N39" s="785"/>
      <c r="O39" s="785"/>
      <c r="P39" s="785"/>
      <c r="Q39" s="785"/>
      <c r="R39" s="785"/>
      <c r="S39" s="785"/>
      <c r="T39" s="785"/>
      <c r="U39" s="785"/>
      <c r="V39" s="785"/>
      <c r="W39" s="785"/>
    </row>
    <row r="40" spans="2:23" x14ac:dyDescent="0.2">
      <c r="B40" s="354"/>
      <c r="D40" s="785"/>
      <c r="E40" s="785"/>
      <c r="F40" s="785"/>
      <c r="G40" s="785"/>
      <c r="H40" s="785"/>
      <c r="I40" s="785"/>
      <c r="J40" s="785"/>
      <c r="K40" s="785"/>
      <c r="L40" s="785"/>
      <c r="M40" s="785"/>
      <c r="N40" s="785"/>
      <c r="O40" s="785"/>
      <c r="P40" s="785"/>
      <c r="Q40" s="785"/>
      <c r="R40" s="785"/>
      <c r="S40" s="785"/>
      <c r="T40" s="785"/>
      <c r="U40" s="785"/>
      <c r="V40" s="785"/>
      <c r="W40" s="785"/>
    </row>
    <row r="41" spans="2:23" x14ac:dyDescent="0.2">
      <c r="B41" s="354"/>
      <c r="D41" s="785"/>
      <c r="E41" s="785"/>
      <c r="F41" s="785"/>
      <c r="G41" s="785"/>
      <c r="H41" s="785"/>
      <c r="I41" s="785"/>
      <c r="J41" s="785"/>
      <c r="K41" s="785"/>
      <c r="L41" s="785"/>
      <c r="M41" s="785"/>
      <c r="N41" s="785"/>
      <c r="O41" s="785"/>
      <c r="P41" s="785"/>
      <c r="Q41" s="785"/>
      <c r="R41" s="785"/>
      <c r="S41" s="785"/>
      <c r="T41" s="785"/>
      <c r="U41" s="785"/>
      <c r="V41" s="785"/>
      <c r="W41" s="785"/>
    </row>
    <row r="42" spans="2:23" x14ac:dyDescent="0.2">
      <c r="B42" s="354"/>
      <c r="D42" s="785"/>
      <c r="E42" s="785"/>
      <c r="F42" s="785"/>
      <c r="G42" s="785"/>
      <c r="H42" s="785"/>
      <c r="I42" s="785"/>
      <c r="J42" s="785"/>
      <c r="K42" s="785"/>
      <c r="L42" s="785"/>
      <c r="M42" s="785"/>
      <c r="N42" s="785"/>
      <c r="O42" s="785"/>
      <c r="P42" s="785"/>
      <c r="Q42" s="785"/>
      <c r="R42" s="785"/>
      <c r="S42" s="785"/>
      <c r="T42" s="785"/>
      <c r="U42" s="785"/>
      <c r="V42" s="785"/>
      <c r="W42" s="785"/>
    </row>
  </sheetData>
  <sheetProtection algorithmName="SHA-512" hashValue="mUPNLIikx9EXiVpey3ryOZhn//Sbqhac+WdBVaNvA5yBzxNY+IjwnJXhn+4M0hOUL/QZj9o2PnGXuIyksYWT5w==" saltValue="pXQoGhEM37jXquTgHl8eYQ==" spinCount="100000" sheet="1" objects="1" scenarios="1"/>
  <mergeCells count="21">
    <mergeCell ref="C3:G3"/>
    <mergeCell ref="C4:G4"/>
    <mergeCell ref="C1:K1"/>
    <mergeCell ref="C2:W2"/>
    <mergeCell ref="B33:W33"/>
    <mergeCell ref="G18:G19"/>
    <mergeCell ref="K18:K19"/>
    <mergeCell ref="W18:W19"/>
    <mergeCell ref="D18:D19"/>
    <mergeCell ref="D22:W22"/>
    <mergeCell ref="O18:O19"/>
    <mergeCell ref="S18:S19"/>
    <mergeCell ref="D34:W34"/>
    <mergeCell ref="D35:W35"/>
    <mergeCell ref="D36:W36"/>
    <mergeCell ref="D41:W41"/>
    <mergeCell ref="D42:W42"/>
    <mergeCell ref="D37:W37"/>
    <mergeCell ref="D38:W38"/>
    <mergeCell ref="D39:W39"/>
    <mergeCell ref="D40:W40"/>
  </mergeCells>
  <phoneticPr fontId="2" type="noConversion"/>
  <conditionalFormatting sqref="K11 O11 S11">
    <cfRule type="cellIs" dxfId="79" priority="8" stopIfTrue="1" operator="notEqual">
      <formula>""</formula>
    </cfRule>
  </conditionalFormatting>
  <conditionalFormatting sqref="G28">
    <cfRule type="cellIs" dxfId="78" priority="3" operator="equal">
      <formula>0</formula>
    </cfRule>
    <cfRule type="cellIs" dxfId="77" priority="7" operator="notEqual">
      <formula>0.075</formula>
    </cfRule>
  </conditionalFormatting>
  <conditionalFormatting sqref="O28">
    <cfRule type="cellIs" dxfId="76" priority="2" operator="equal">
      <formula>0</formula>
    </cfRule>
    <cfRule type="cellIs" dxfId="75" priority="5" operator="notEqual">
      <formula>0.075</formula>
    </cfRule>
    <cfRule type="cellIs" priority="6" operator="notEqual">
      <formula>0.075</formula>
    </cfRule>
  </conditionalFormatting>
  <conditionalFormatting sqref="W28">
    <cfRule type="cellIs" dxfId="74" priority="1" operator="equal">
      <formula>0</formula>
    </cfRule>
    <cfRule type="cellIs" dxfId="73" priority="4" operator="notEqual">
      <formula>0.075</formula>
    </cfRule>
  </conditionalFormatting>
  <pageMargins left="0.75" right="0.75" top="0.56999999999999995" bottom="1" header="0.34" footer="0.5"/>
  <pageSetup scale="72" orientation="landscape"/>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Z57"/>
  <sheetViews>
    <sheetView showGridLines="0" zoomScaleNormal="100" zoomScaleSheetLayoutView="100" workbookViewId="0">
      <selection activeCell="L22" sqref="L22"/>
    </sheetView>
  </sheetViews>
  <sheetFormatPr defaultColWidth="9.140625" defaultRowHeight="12.75" x14ac:dyDescent="0.2"/>
  <cols>
    <col min="1" max="1" width="1.42578125" style="5" customWidth="1"/>
    <col min="2" max="2" width="5.28515625" style="5" customWidth="1"/>
    <col min="3" max="3" width="4.2851562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786"/>
      <c r="D1" s="786"/>
      <c r="E1" s="786"/>
      <c r="F1" s="786"/>
      <c r="G1" s="786"/>
      <c r="H1" s="786"/>
      <c r="I1" s="786"/>
      <c r="J1" s="786"/>
      <c r="K1" s="786"/>
      <c r="L1" s="786"/>
      <c r="M1" s="137"/>
      <c r="N1" s="137"/>
      <c r="O1" s="137"/>
      <c r="P1" s="137"/>
      <c r="Q1" s="137"/>
      <c r="R1" s="137"/>
      <c r="S1" s="137"/>
      <c r="T1" s="137"/>
      <c r="U1" s="137"/>
      <c r="V1" s="143"/>
    </row>
    <row r="2" spans="2:23" s="2" customFormat="1" ht="18" x14ac:dyDescent="0.25">
      <c r="C2" s="768"/>
      <c r="D2" s="768"/>
      <c r="E2" s="768"/>
      <c r="F2" s="768"/>
      <c r="G2" s="768"/>
      <c r="H2" s="768"/>
      <c r="I2" s="768"/>
      <c r="J2" s="768"/>
      <c r="K2" s="768"/>
      <c r="L2" s="768"/>
      <c r="M2" s="768"/>
      <c r="N2" s="768"/>
      <c r="O2" s="768"/>
      <c r="P2" s="768"/>
      <c r="Q2" s="768"/>
      <c r="R2" s="768"/>
      <c r="S2" s="768"/>
      <c r="T2" s="768"/>
      <c r="U2" s="768"/>
      <c r="V2" s="768"/>
    </row>
    <row r="3" spans="2:23" s="2" customFormat="1" ht="18" x14ac:dyDescent="0.25">
      <c r="C3" s="768"/>
      <c r="D3" s="768"/>
      <c r="E3" s="768"/>
      <c r="F3" s="768"/>
      <c r="G3" s="768"/>
      <c r="H3" s="768"/>
      <c r="I3" s="35"/>
      <c r="J3" s="32"/>
      <c r="K3" s="32"/>
      <c r="L3" s="32"/>
      <c r="M3" s="32"/>
      <c r="N3" s="32"/>
      <c r="O3" s="32"/>
      <c r="P3" s="32"/>
      <c r="Q3" s="32"/>
      <c r="R3" s="32"/>
      <c r="S3" s="32"/>
      <c r="T3" s="32"/>
      <c r="U3" s="32"/>
    </row>
    <row r="4" spans="2:23" s="2" customFormat="1" ht="18" x14ac:dyDescent="0.25">
      <c r="C4" s="768"/>
      <c r="D4" s="768"/>
      <c r="E4" s="768"/>
      <c r="F4" s="768"/>
      <c r="G4" s="768"/>
      <c r="H4" s="768"/>
      <c r="I4" s="35"/>
      <c r="J4" s="32"/>
      <c r="K4" s="32"/>
      <c r="L4" s="32"/>
      <c r="M4" s="32"/>
      <c r="N4" s="32"/>
      <c r="O4" s="32"/>
      <c r="P4" s="32"/>
      <c r="Q4" s="32"/>
      <c r="R4" s="32"/>
      <c r="S4" s="32"/>
      <c r="T4" s="32"/>
      <c r="U4" s="32"/>
    </row>
    <row r="5" spans="2:23" s="2" customFormat="1" ht="15.75" x14ac:dyDescent="0.25">
      <c r="E5" s="3"/>
      <c r="F5" s="3"/>
      <c r="G5" s="3"/>
    </row>
    <row r="6" spans="2:23" s="2" customFormat="1" x14ac:dyDescent="0.2"/>
    <row r="8" spans="2:23" ht="15.75" x14ac:dyDescent="0.25">
      <c r="E8" s="57"/>
      <c r="F8" s="803"/>
      <c r="G8" s="803"/>
      <c r="H8" s="803"/>
      <c r="I8" s="803"/>
      <c r="J8" s="803"/>
      <c r="K8" s="803"/>
      <c r="L8" s="803"/>
      <c r="M8" s="803"/>
      <c r="N8" s="803"/>
      <c r="O8" s="803"/>
      <c r="P8" s="803"/>
      <c r="Q8" s="803"/>
      <c r="R8" s="803"/>
      <c r="S8" s="803"/>
      <c r="T8" s="803"/>
      <c r="U8" s="803"/>
      <c r="V8" s="803"/>
      <c r="W8" s="57"/>
    </row>
    <row r="11" spans="2:23" ht="33.75" customHeight="1" x14ac:dyDescent="0.2">
      <c r="B11" s="370" t="s">
        <v>47</v>
      </c>
    </row>
    <row r="13" spans="2:23" ht="25.5" x14ac:dyDescent="0.2">
      <c r="B13" s="40" t="s">
        <v>37</v>
      </c>
      <c r="D13" s="41" t="s">
        <v>41</v>
      </c>
      <c r="E13" s="118"/>
      <c r="F13" s="294" t="s">
        <v>156</v>
      </c>
      <c r="G13" s="141"/>
      <c r="H13" s="25"/>
      <c r="I13" s="25"/>
      <c r="J13" s="294" t="str">
        <f>IF(N13="","","Adjustments")</f>
        <v>Adjustments</v>
      </c>
      <c r="K13" s="141"/>
      <c r="L13" s="25"/>
      <c r="M13" s="25"/>
      <c r="N13" s="294" t="str">
        <f>IF(ISBLANK('3. Data_Input_Sheet'!M12),"",'3. Data_Input_Sheet'!M12)</f>
        <v>Settlement Agreement</v>
      </c>
      <c r="O13" s="25"/>
      <c r="P13" s="25"/>
      <c r="Q13" s="25"/>
      <c r="R13" s="294" t="str">
        <f>IF(N13="","","Adjustments")</f>
        <v>Adjustments</v>
      </c>
      <c r="S13" s="25"/>
      <c r="T13" s="25"/>
      <c r="U13" s="25"/>
      <c r="V13" s="294" t="str">
        <f>'3. Data_Input_Sheet'!U12</f>
        <v>Per Board Decision</v>
      </c>
    </row>
    <row r="15" spans="2:23" x14ac:dyDescent="0.2">
      <c r="D15" s="26" t="s">
        <v>24</v>
      </c>
    </row>
    <row r="16" spans="2:23" ht="25.5" x14ac:dyDescent="0.2">
      <c r="B16" s="166">
        <v>1</v>
      </c>
      <c r="D16" s="27" t="s">
        <v>129</v>
      </c>
      <c r="E16" s="119"/>
      <c r="F16" s="227">
        <f>'3. Data_Input_Sheet'!E26</f>
        <v>5544424.0270126099</v>
      </c>
      <c r="G16" s="227"/>
      <c r="H16" s="353"/>
      <c r="I16" s="234"/>
      <c r="J16" s="227">
        <f>N16-F16</f>
        <v>4224.5910969376564</v>
      </c>
      <c r="K16" s="227"/>
      <c r="L16" s="353"/>
      <c r="M16" s="234"/>
      <c r="N16" s="227">
        <f>'3. Data_Input_Sheet'!M26</f>
        <v>5548648.6181095475</v>
      </c>
      <c r="O16" s="234"/>
      <c r="P16" s="353"/>
      <c r="Q16" s="234"/>
      <c r="R16" s="227">
        <f>V16-N16</f>
        <v>0</v>
      </c>
      <c r="S16" s="234"/>
      <c r="T16" s="353"/>
      <c r="U16" s="234"/>
      <c r="V16" s="227">
        <f>IF(ISBLANK('3. Data_Input_Sheet'!U26),'5. Utility Income'!N16,'3. Data_Input_Sheet'!U26)</f>
        <v>5548648.6181095475</v>
      </c>
    </row>
    <row r="17" spans="2:26" ht="14.25" x14ac:dyDescent="0.2">
      <c r="B17" s="166">
        <v>2</v>
      </c>
      <c r="D17" s="5" t="s">
        <v>64</v>
      </c>
      <c r="E17" s="481" t="s">
        <v>2</v>
      </c>
      <c r="F17" s="243">
        <f>F48</f>
        <v>502938.99582215952</v>
      </c>
      <c r="G17" s="244"/>
      <c r="H17" s="353"/>
      <c r="I17" s="234"/>
      <c r="J17" s="243">
        <f>N17-F17</f>
        <v>-20491.50450973137</v>
      </c>
      <c r="K17" s="244"/>
      <c r="L17" s="353"/>
      <c r="M17" s="234"/>
      <c r="N17" s="243">
        <f>N48</f>
        <v>482447.49131242814</v>
      </c>
      <c r="O17" s="234"/>
      <c r="P17" s="353"/>
      <c r="Q17" s="234"/>
      <c r="R17" s="243">
        <f>V17-N17</f>
        <v>0</v>
      </c>
      <c r="S17" s="234"/>
      <c r="T17" s="353"/>
      <c r="U17" s="234"/>
      <c r="V17" s="243">
        <f>V48</f>
        <v>482447.49131242814</v>
      </c>
    </row>
    <row r="18" spans="2:26" x14ac:dyDescent="0.2">
      <c r="B18" s="166"/>
      <c r="F18" s="801">
        <f>SUM(F16:F17)</f>
        <v>6047363.0228347695</v>
      </c>
      <c r="G18" s="47"/>
      <c r="H18" s="262"/>
      <c r="I18" s="262"/>
      <c r="J18" s="801">
        <f>SUM(J16:J17)</f>
        <v>-16266.913412793714</v>
      </c>
      <c r="K18" s="47"/>
      <c r="L18" s="262"/>
      <c r="M18" s="263"/>
      <c r="N18" s="801">
        <f>SUM(N16:N17)</f>
        <v>6031096.1094219759</v>
      </c>
      <c r="O18" s="263"/>
      <c r="P18" s="262"/>
      <c r="Q18" s="263"/>
      <c r="R18" s="801">
        <f>SUM(R16:R17)</f>
        <v>0</v>
      </c>
      <c r="S18" s="263"/>
      <c r="T18" s="262"/>
      <c r="U18" s="263"/>
      <c r="V18" s="801">
        <f>SUM(V16:V17)</f>
        <v>6031096.1094219759</v>
      </c>
    </row>
    <row r="19" spans="2:26" x14ac:dyDescent="0.2">
      <c r="B19" s="166">
        <v>3</v>
      </c>
      <c r="D19" s="5" t="s">
        <v>114</v>
      </c>
      <c r="F19" s="802"/>
      <c r="G19" s="47"/>
      <c r="H19" s="262"/>
      <c r="I19" s="262"/>
      <c r="J19" s="802"/>
      <c r="K19" s="47"/>
      <c r="L19" s="262"/>
      <c r="M19" s="263"/>
      <c r="N19" s="802"/>
      <c r="O19" s="263"/>
      <c r="P19" s="262"/>
      <c r="Q19" s="263"/>
      <c r="R19" s="802"/>
      <c r="S19" s="263"/>
      <c r="T19" s="262"/>
      <c r="U19" s="263"/>
      <c r="V19" s="802"/>
    </row>
    <row r="20" spans="2:26" x14ac:dyDescent="0.2">
      <c r="B20" s="166"/>
      <c r="F20" s="247"/>
      <c r="G20" s="247"/>
      <c r="H20" s="246"/>
      <c r="I20" s="246"/>
      <c r="J20" s="247"/>
      <c r="K20" s="247"/>
      <c r="L20" s="246"/>
      <c r="M20" s="229"/>
      <c r="N20" s="247"/>
      <c r="O20" s="229"/>
      <c r="P20" s="246"/>
      <c r="Q20" s="229"/>
      <c r="R20" s="247"/>
      <c r="S20" s="229"/>
      <c r="T20" s="246"/>
      <c r="U20" s="229"/>
      <c r="V20" s="247"/>
    </row>
    <row r="21" spans="2:26" x14ac:dyDescent="0.2">
      <c r="B21" s="166"/>
      <c r="D21" s="26" t="s">
        <v>25</v>
      </c>
      <c r="F21" s="247"/>
      <c r="G21" s="247"/>
      <c r="H21" s="246"/>
      <c r="I21" s="246"/>
      <c r="J21" s="247"/>
      <c r="K21" s="247"/>
      <c r="L21" s="246"/>
      <c r="M21" s="229"/>
      <c r="N21" s="247"/>
      <c r="O21" s="229"/>
      <c r="P21" s="246"/>
      <c r="Q21" s="229"/>
      <c r="R21" s="247"/>
      <c r="S21" s="229"/>
      <c r="T21" s="246"/>
      <c r="U21" s="229"/>
      <c r="V21" s="247"/>
    </row>
    <row r="22" spans="2:26" x14ac:dyDescent="0.2">
      <c r="B22" s="166">
        <v>4</v>
      </c>
      <c r="D22" s="5" t="s">
        <v>39</v>
      </c>
      <c r="F22" s="227">
        <f>'3. Data_Input_Sheet'!E36</f>
        <v>2974185.7497909409</v>
      </c>
      <c r="G22" s="227"/>
      <c r="H22" s="353"/>
      <c r="I22" s="234"/>
      <c r="J22" s="227">
        <f>'3. Data_Input_Sheet'!I36</f>
        <v>-9420.6211834261194</v>
      </c>
      <c r="K22" s="227"/>
      <c r="L22" s="353"/>
      <c r="M22" s="234"/>
      <c r="N22" s="227">
        <f>'3. Data_Input_Sheet'!M36</f>
        <v>2964765.1286075148</v>
      </c>
      <c r="O22" s="234"/>
      <c r="P22" s="353"/>
      <c r="Q22" s="234"/>
      <c r="R22" s="227">
        <f>'3. Data_Input_Sheet'!Q36</f>
        <v>0</v>
      </c>
      <c r="S22" s="234"/>
      <c r="T22" s="353"/>
      <c r="U22" s="234"/>
      <c r="V22" s="227">
        <f>'3. Data_Input_Sheet'!U36</f>
        <v>2964765.1286075148</v>
      </c>
    </row>
    <row r="23" spans="2:26" x14ac:dyDescent="0.2">
      <c r="B23" s="166">
        <v>5</v>
      </c>
      <c r="D23" s="5" t="s">
        <v>26</v>
      </c>
      <c r="F23" s="227">
        <f>'3. Data_Input_Sheet'!E37</f>
        <v>1157365.0285484223</v>
      </c>
      <c r="G23" s="227"/>
      <c r="H23" s="353"/>
      <c r="I23" s="234"/>
      <c r="J23" s="227">
        <f>'3. Data_Input_Sheet'!I37</f>
        <v>-28599.452793947188</v>
      </c>
      <c r="K23" s="227"/>
      <c r="L23" s="353"/>
      <c r="M23" s="234"/>
      <c r="N23" s="227">
        <f>'3. Data_Input_Sheet'!M37</f>
        <v>1128765.5757544751</v>
      </c>
      <c r="O23" s="234"/>
      <c r="P23" s="353"/>
      <c r="Q23" s="234"/>
      <c r="R23" s="227">
        <f>'3. Data_Input_Sheet'!Q37</f>
        <v>0</v>
      </c>
      <c r="S23" s="234"/>
      <c r="T23" s="353"/>
      <c r="U23" s="234"/>
      <c r="V23" s="227">
        <f>'3. Data_Input_Sheet'!U37</f>
        <v>1128765.5757544751</v>
      </c>
    </row>
    <row r="24" spans="2:26" x14ac:dyDescent="0.2">
      <c r="B24" s="166">
        <v>6</v>
      </c>
      <c r="C24" s="15"/>
      <c r="D24" s="15" t="s">
        <v>44</v>
      </c>
      <c r="E24" s="15"/>
      <c r="F24" s="227">
        <f>'3. Data_Input_Sheet'!E38</f>
        <v>34954.80000000001</v>
      </c>
      <c r="G24" s="227"/>
      <c r="H24" s="353"/>
      <c r="I24" s="234"/>
      <c r="J24" s="227">
        <f>'3. Data_Input_Sheet'!I38</f>
        <v>0</v>
      </c>
      <c r="K24" s="227"/>
      <c r="L24" s="353"/>
      <c r="M24" s="234"/>
      <c r="N24" s="227">
        <f>'3. Data_Input_Sheet'!M38</f>
        <v>34954.80000000001</v>
      </c>
      <c r="O24" s="234"/>
      <c r="P24" s="353"/>
      <c r="Q24" s="234"/>
      <c r="R24" s="227">
        <f>'3. Data_Input_Sheet'!Q38</f>
        <v>0</v>
      </c>
      <c r="S24" s="234"/>
      <c r="T24" s="353"/>
      <c r="U24" s="234"/>
      <c r="V24" s="227">
        <f>'3. Data_Input_Sheet'!U38</f>
        <v>34954.80000000001</v>
      </c>
      <c r="W24" s="15"/>
      <c r="X24" s="15"/>
      <c r="Y24" s="15"/>
      <c r="Z24" s="15"/>
    </row>
    <row r="25" spans="2:26" x14ac:dyDescent="0.2">
      <c r="B25" s="166">
        <v>7</v>
      </c>
      <c r="C25" s="15"/>
      <c r="D25" s="15" t="s">
        <v>43</v>
      </c>
      <c r="E25" s="15"/>
      <c r="F25" s="245">
        <f>'6. Taxes_PILs'!G25</f>
        <v>0</v>
      </c>
      <c r="G25" s="245"/>
      <c r="H25" s="353"/>
      <c r="I25" s="234"/>
      <c r="J25" s="245">
        <f>N25-F25</f>
        <v>0</v>
      </c>
      <c r="K25" s="245"/>
      <c r="L25" s="353"/>
      <c r="M25" s="234"/>
      <c r="N25" s="245">
        <f>'6. Taxes_PILs'!K25</f>
        <v>0</v>
      </c>
      <c r="O25" s="234"/>
      <c r="P25" s="377"/>
      <c r="Q25" s="234"/>
      <c r="R25" s="245">
        <f>V25-N25</f>
        <v>0</v>
      </c>
      <c r="S25" s="234"/>
      <c r="T25" s="353"/>
      <c r="U25" s="234"/>
      <c r="V25" s="245">
        <f>'6. Taxes_PILs'!O25</f>
        <v>0</v>
      </c>
      <c r="W25" s="15"/>
      <c r="X25" s="15"/>
      <c r="Y25" s="15"/>
      <c r="Z25" s="15"/>
    </row>
    <row r="26" spans="2:26" x14ac:dyDescent="0.2">
      <c r="B26" s="166">
        <v>8</v>
      </c>
      <c r="D26" s="5" t="s">
        <v>94</v>
      </c>
      <c r="F26" s="243">
        <f>'3. Data_Input_Sheet'!E40</f>
        <v>0</v>
      </c>
      <c r="G26" s="244"/>
      <c r="H26" s="353"/>
      <c r="I26" s="234"/>
      <c r="J26" s="243">
        <f>'3. Data_Input_Sheet'!I40</f>
        <v>0</v>
      </c>
      <c r="K26" s="244"/>
      <c r="L26" s="353"/>
      <c r="M26" s="234"/>
      <c r="N26" s="243" t="str">
        <f>'3. Data_Input_Sheet'!M40</f>
        <v/>
      </c>
      <c r="O26" s="234"/>
      <c r="P26" s="353"/>
      <c r="Q26" s="234"/>
      <c r="R26" s="243">
        <f>'3. Data_Input_Sheet'!Q40</f>
        <v>0</v>
      </c>
      <c r="S26" s="234"/>
      <c r="T26" s="353"/>
      <c r="U26" s="234"/>
      <c r="V26" s="243" t="str">
        <f>'3. Data_Input_Sheet'!U40</f>
        <v/>
      </c>
    </row>
    <row r="27" spans="2:26" x14ac:dyDescent="0.2">
      <c r="B27" s="166"/>
      <c r="D27" s="24"/>
      <c r="F27" s="788">
        <f>SUM(F22:F26)</f>
        <v>4166505.578339363</v>
      </c>
      <c r="G27" s="48"/>
      <c r="H27" s="262"/>
      <c r="I27" s="262"/>
      <c r="J27" s="788">
        <f>SUM(J22:J26)</f>
        <v>-38020.073977373308</v>
      </c>
      <c r="K27" s="48"/>
      <c r="L27" s="262"/>
      <c r="M27" s="262"/>
      <c r="N27" s="788">
        <f>SUM(N22:N26)</f>
        <v>4128485.5043619899</v>
      </c>
      <c r="O27" s="262"/>
      <c r="P27" s="262"/>
      <c r="Q27" s="262"/>
      <c r="R27" s="788">
        <f>SUM(R22:R26)</f>
        <v>0</v>
      </c>
      <c r="S27" s="262"/>
      <c r="T27" s="262"/>
      <c r="U27" s="262"/>
      <c r="V27" s="788">
        <f>SUM(V22:V26)</f>
        <v>4128485.5043619899</v>
      </c>
    </row>
    <row r="28" spans="2:26" x14ac:dyDescent="0.2">
      <c r="B28" s="166">
        <v>9</v>
      </c>
      <c r="D28" s="120" t="s">
        <v>157</v>
      </c>
      <c r="F28" s="800"/>
      <c r="G28" s="48"/>
      <c r="H28" s="262"/>
      <c r="I28" s="262"/>
      <c r="J28" s="800"/>
      <c r="K28" s="48"/>
      <c r="L28" s="262"/>
      <c r="M28" s="262"/>
      <c r="N28" s="800"/>
      <c r="O28" s="262"/>
      <c r="P28" s="262"/>
      <c r="Q28" s="262"/>
      <c r="R28" s="800"/>
      <c r="S28" s="262"/>
      <c r="T28" s="262"/>
      <c r="U28" s="262"/>
      <c r="V28" s="800"/>
    </row>
    <row r="29" spans="2:26" x14ac:dyDescent="0.2">
      <c r="B29" s="166"/>
      <c r="F29" s="248"/>
      <c r="G29" s="248"/>
      <c r="H29" s="246"/>
      <c r="I29" s="246"/>
      <c r="J29" s="248"/>
      <c r="K29" s="248"/>
      <c r="L29" s="246"/>
      <c r="M29" s="246"/>
      <c r="N29" s="248"/>
      <c r="O29" s="246"/>
      <c r="P29" s="246"/>
      <c r="Q29" s="246"/>
      <c r="R29" s="248"/>
      <c r="S29" s="246"/>
      <c r="T29" s="246"/>
      <c r="U29" s="246"/>
      <c r="V29" s="248"/>
    </row>
    <row r="30" spans="2:26" x14ac:dyDescent="0.2">
      <c r="B30" s="166">
        <v>10</v>
      </c>
      <c r="D30" s="24" t="s">
        <v>95</v>
      </c>
      <c r="F30" s="249">
        <f>'7. Cost_of_Capital'!P19</f>
        <v>665901.24874385493</v>
      </c>
      <c r="G30" s="248"/>
      <c r="H30" s="246"/>
      <c r="I30" s="246"/>
      <c r="J30" s="249">
        <f>N30-F30</f>
        <v>44099.68122246908</v>
      </c>
      <c r="K30" s="248"/>
      <c r="L30" s="246"/>
      <c r="M30" s="246"/>
      <c r="N30" s="249">
        <f>'7. Cost_of_Capital'!P35</f>
        <v>710000.92996632401</v>
      </c>
      <c r="O30" s="246"/>
      <c r="P30" s="246"/>
      <c r="Q30" s="246"/>
      <c r="R30" s="249">
        <f>V30-N30</f>
        <v>-94520.534879863728</v>
      </c>
      <c r="S30" s="246"/>
      <c r="T30" s="246"/>
      <c r="U30" s="246"/>
      <c r="V30" s="249">
        <f>'7. Cost_of_Capital'!P51</f>
        <v>615480.39508646028</v>
      </c>
    </row>
    <row r="31" spans="2:26" x14ac:dyDescent="0.2">
      <c r="B31" s="166"/>
      <c r="F31" s="248"/>
      <c r="G31" s="248"/>
      <c r="H31" s="246"/>
      <c r="I31" s="246"/>
      <c r="J31" s="248"/>
      <c r="K31" s="248"/>
      <c r="L31" s="246"/>
      <c r="M31" s="246"/>
      <c r="N31" s="248"/>
      <c r="O31" s="246"/>
      <c r="P31" s="246"/>
      <c r="Q31" s="246"/>
      <c r="R31" s="248"/>
      <c r="S31" s="246"/>
      <c r="T31" s="246"/>
      <c r="U31" s="246"/>
      <c r="V31" s="248"/>
    </row>
    <row r="32" spans="2:26" x14ac:dyDescent="0.2">
      <c r="B32" s="166">
        <v>11</v>
      </c>
      <c r="D32" s="120" t="s">
        <v>158</v>
      </c>
      <c r="F32" s="248">
        <f>F27+F30</f>
        <v>4832406.8270832179</v>
      </c>
      <c r="G32" s="248"/>
      <c r="H32" s="246"/>
      <c r="I32" s="246"/>
      <c r="J32" s="248">
        <f>J30+J27</f>
        <v>6079.6072450957727</v>
      </c>
      <c r="K32" s="248"/>
      <c r="L32" s="246"/>
      <c r="M32" s="246"/>
      <c r="N32" s="248">
        <f>N30+N27</f>
        <v>4838486.4343283139</v>
      </c>
      <c r="O32" s="246"/>
      <c r="P32" s="246"/>
      <c r="Q32" s="246"/>
      <c r="R32" s="248">
        <f>R30+R27</f>
        <v>-94520.534879863728</v>
      </c>
      <c r="S32" s="246"/>
      <c r="T32" s="246"/>
      <c r="U32" s="246"/>
      <c r="V32" s="248">
        <f>V27+V30</f>
        <v>4743965.8994484507</v>
      </c>
    </row>
    <row r="33" spans="2:24" x14ac:dyDescent="0.2">
      <c r="B33" s="166"/>
      <c r="F33" s="374"/>
      <c r="G33" s="47"/>
      <c r="H33" s="262"/>
      <c r="I33" s="262"/>
      <c r="J33" s="374"/>
      <c r="K33" s="47"/>
      <c r="L33" s="262"/>
      <c r="M33" s="262"/>
      <c r="N33" s="374"/>
      <c r="O33" s="262"/>
      <c r="P33" s="262"/>
      <c r="Q33" s="262"/>
      <c r="R33" s="374"/>
      <c r="S33" s="262"/>
      <c r="T33" s="262"/>
      <c r="U33" s="262"/>
      <c r="V33" s="374"/>
    </row>
    <row r="34" spans="2:24" ht="26.25" thickBot="1" x14ac:dyDescent="0.25">
      <c r="B34" s="166">
        <v>12</v>
      </c>
      <c r="D34" s="55" t="s">
        <v>97</v>
      </c>
      <c r="E34" s="119"/>
      <c r="F34" s="375">
        <f>F18-(F32)</f>
        <v>1214956.1957515515</v>
      </c>
      <c r="G34" s="47"/>
      <c r="H34" s="121"/>
      <c r="I34" s="121"/>
      <c r="J34" s="375">
        <f>J18-(J32)</f>
        <v>-22346.520657889487</v>
      </c>
      <c r="K34" s="47"/>
      <c r="L34" s="122"/>
      <c r="M34" s="122"/>
      <c r="N34" s="375">
        <f>N18-(N32)</f>
        <v>1192609.675093662</v>
      </c>
      <c r="O34" s="122"/>
      <c r="P34" s="122"/>
      <c r="Q34" s="122"/>
      <c r="R34" s="375">
        <f>R18-(R32)</f>
        <v>94520.534879863728</v>
      </c>
      <c r="S34" s="122"/>
      <c r="T34" s="122"/>
      <c r="U34" s="122"/>
      <c r="V34" s="375">
        <f>V18-(V32)</f>
        <v>1287130.2099735253</v>
      </c>
      <c r="X34" s="21"/>
    </row>
    <row r="35" spans="2:24" ht="13.5" thickTop="1" x14ac:dyDescent="0.2">
      <c r="B35" s="166"/>
      <c r="F35" s="796">
        <f>'6. Taxes_PILs'!G31</f>
        <v>109827.80949031486</v>
      </c>
      <c r="G35" s="48"/>
      <c r="H35" s="262"/>
      <c r="I35" s="262"/>
      <c r="J35" s="796">
        <f>N35-F35</f>
        <v>-14225.765349437555</v>
      </c>
      <c r="K35" s="48"/>
      <c r="L35" s="262"/>
      <c r="M35" s="262"/>
      <c r="N35" s="796">
        <f>'6. Taxes_PILs'!K31</f>
        <v>95602.044140877304</v>
      </c>
      <c r="O35" s="262"/>
      <c r="P35" s="262"/>
      <c r="Q35" s="262"/>
      <c r="R35" s="796">
        <f>V35-N35</f>
        <v>0</v>
      </c>
      <c r="S35" s="262"/>
      <c r="T35" s="262"/>
      <c r="U35" s="262"/>
      <c r="V35" s="796">
        <f>IF('6. Taxes_PILs'!O31=0,N35,'6. Taxes_PILs'!O31)</f>
        <v>95602.044140877304</v>
      </c>
    </row>
    <row r="36" spans="2:24" x14ac:dyDescent="0.2">
      <c r="B36" s="166">
        <v>13</v>
      </c>
      <c r="D36" s="24" t="s">
        <v>108</v>
      </c>
      <c r="F36" s="797"/>
      <c r="G36" s="48"/>
      <c r="H36" s="262"/>
      <c r="I36" s="262"/>
      <c r="J36" s="797"/>
      <c r="K36" s="48"/>
      <c r="L36" s="262"/>
      <c r="M36" s="262"/>
      <c r="N36" s="797"/>
      <c r="O36" s="262"/>
      <c r="P36" s="262"/>
      <c r="Q36" s="262"/>
      <c r="R36" s="797"/>
      <c r="S36" s="262"/>
      <c r="T36" s="262"/>
      <c r="U36" s="262"/>
      <c r="V36" s="797"/>
    </row>
    <row r="37" spans="2:24" x14ac:dyDescent="0.2">
      <c r="B37" s="166"/>
      <c r="F37" s="798">
        <f>F34-F35</f>
        <v>1105128.3862612366</v>
      </c>
      <c r="G37" s="145"/>
      <c r="H37" s="262"/>
      <c r="I37" s="262"/>
      <c r="J37" s="798">
        <f>J34-J35</f>
        <v>-8120.7553084519313</v>
      </c>
      <c r="K37" s="145"/>
      <c r="L37" s="262"/>
      <c r="M37" s="262"/>
      <c r="N37" s="798">
        <f>N34-N35</f>
        <v>1097007.6309527848</v>
      </c>
      <c r="O37" s="262"/>
      <c r="P37" s="262"/>
      <c r="Q37" s="262"/>
      <c r="R37" s="798">
        <f>R34-R35</f>
        <v>94520.534879863728</v>
      </c>
      <c r="S37" s="262"/>
      <c r="T37" s="262"/>
      <c r="U37" s="262"/>
      <c r="V37" s="798">
        <f>V34-V35</f>
        <v>1191528.1658326481</v>
      </c>
    </row>
    <row r="38" spans="2:24" ht="13.5" thickBot="1" x14ac:dyDescent="0.25">
      <c r="B38" s="166">
        <v>14</v>
      </c>
      <c r="D38" s="16" t="s">
        <v>105</v>
      </c>
      <c r="F38" s="799"/>
      <c r="G38" s="145"/>
      <c r="H38" s="121"/>
      <c r="I38" s="121"/>
      <c r="J38" s="799"/>
      <c r="K38" s="145"/>
      <c r="L38" s="121"/>
      <c r="M38" s="121"/>
      <c r="N38" s="799"/>
      <c r="O38" s="121"/>
      <c r="P38" s="121"/>
      <c r="Q38" s="121"/>
      <c r="R38" s="799"/>
      <c r="S38" s="121"/>
      <c r="T38" s="121"/>
      <c r="U38" s="121"/>
      <c r="V38" s="799"/>
    </row>
    <row r="39" spans="2:24" ht="13.5" thickTop="1" x14ac:dyDescent="0.2"/>
    <row r="40" spans="2:24" ht="7.5" customHeight="1" x14ac:dyDescent="0.2"/>
    <row r="42" spans="2:24" x14ac:dyDescent="0.2">
      <c r="B42" s="806" t="s">
        <v>38</v>
      </c>
      <c r="C42" s="806"/>
      <c r="D42" s="806"/>
      <c r="E42" s="806"/>
      <c r="F42" s="806"/>
      <c r="G42" s="806"/>
      <c r="H42" s="806"/>
      <c r="I42" s="806"/>
      <c r="J42" s="806"/>
      <c r="K42" s="806"/>
      <c r="L42" s="806"/>
      <c r="M42" s="806"/>
      <c r="N42" s="806"/>
      <c r="O42" s="806"/>
      <c r="P42" s="806"/>
      <c r="Q42" s="806"/>
      <c r="R42" s="806"/>
      <c r="S42" s="806"/>
      <c r="T42" s="806"/>
      <c r="U42" s="806"/>
      <c r="V42" s="806"/>
    </row>
    <row r="43" spans="2:24" ht="13.5" thickBot="1" x14ac:dyDescent="0.25">
      <c r="D43" s="81"/>
      <c r="E43" s="33"/>
      <c r="F43" s="33"/>
      <c r="G43" s="33"/>
      <c r="H43" s="33"/>
      <c r="I43" s="33"/>
      <c r="J43" s="33"/>
      <c r="K43" s="33"/>
      <c r="L43" s="33"/>
      <c r="M43" s="33"/>
      <c r="N43" s="33"/>
      <c r="O43" s="33"/>
      <c r="P43" s="33"/>
      <c r="Q43" s="33"/>
      <c r="R43" s="33"/>
      <c r="S43" s="33"/>
      <c r="T43" s="33"/>
      <c r="U43" s="33"/>
      <c r="V43" s="33"/>
    </row>
    <row r="44" spans="2:24" ht="14.25" x14ac:dyDescent="0.2">
      <c r="B44" s="490" t="s">
        <v>2</v>
      </c>
      <c r="D44" s="491" t="s">
        <v>53</v>
      </c>
      <c r="E44" s="431"/>
      <c r="F44" s="492">
        <f>'3. Data_Input_Sheet'!E28</f>
        <v>87551.285769230759</v>
      </c>
      <c r="G44" s="492"/>
      <c r="H44" s="493"/>
      <c r="I44" s="494"/>
      <c r="J44" s="492">
        <f>'3. Data_Input_Sheet'!I28</f>
        <v>-23696.794999999998</v>
      </c>
      <c r="K44" s="492"/>
      <c r="L44" s="493"/>
      <c r="M44" s="431"/>
      <c r="N44" s="492">
        <f>'3. Data_Input_Sheet'!M28</f>
        <v>63854.490769230761</v>
      </c>
      <c r="O44" s="492"/>
      <c r="P44" s="493"/>
      <c r="Q44" s="431"/>
      <c r="R44" s="492" t="str">
        <f>'3. Data_Input_Sheet'!Q28</f>
        <v/>
      </c>
      <c r="S44" s="492"/>
      <c r="T44" s="493"/>
      <c r="U44" s="431"/>
      <c r="V44" s="492">
        <f>IF(ISBLANK('3. Data_Input_Sheet'!U28),N44,'3. Data_Input_Sheet'!U28)</f>
        <v>63854.490769230761</v>
      </c>
      <c r="W44" s="495"/>
    </row>
    <row r="45" spans="2:24" x14ac:dyDescent="0.2">
      <c r="D45" s="496" t="s">
        <v>54</v>
      </c>
      <c r="E45" s="33"/>
      <c r="F45" s="99">
        <f>'3. Data_Input_Sheet'!E29</f>
        <v>54283.837500000001</v>
      </c>
      <c r="G45" s="99"/>
      <c r="H45" s="356"/>
      <c r="I45" s="181"/>
      <c r="J45" s="99">
        <f>'3. Data_Input_Sheet'!I29</f>
        <v>0</v>
      </c>
      <c r="K45" s="99"/>
      <c r="L45" s="356"/>
      <c r="M45" s="33"/>
      <c r="N45" s="99">
        <f>'3. Data_Input_Sheet'!M29</f>
        <v>54283.837500000001</v>
      </c>
      <c r="O45" s="99"/>
      <c r="P45" s="356"/>
      <c r="Q45" s="33"/>
      <c r="R45" s="99" t="str">
        <f>'3. Data_Input_Sheet'!Q29</f>
        <v/>
      </c>
      <c r="S45" s="99"/>
      <c r="T45" s="356"/>
      <c r="U45" s="33"/>
      <c r="V45" s="99">
        <f>IF(ISBLANK('3. Data_Input_Sheet'!U29),N45,'3. Data_Input_Sheet'!U29)</f>
        <v>54283.837500000001</v>
      </c>
      <c r="W45" s="497"/>
    </row>
    <row r="46" spans="2:24" x14ac:dyDescent="0.2">
      <c r="D46" s="496" t="s">
        <v>55</v>
      </c>
      <c r="E46" s="33"/>
      <c r="F46" s="99">
        <f>'3. Data_Input_Sheet'!E30</f>
        <v>310169.87255292875</v>
      </c>
      <c r="G46" s="99"/>
      <c r="H46" s="356"/>
      <c r="I46" s="181"/>
      <c r="J46" s="99">
        <f>'3. Data_Input_Sheet'!I30</f>
        <v>3205.2904902686714</v>
      </c>
      <c r="K46" s="99"/>
      <c r="L46" s="356"/>
      <c r="M46" s="33"/>
      <c r="N46" s="99">
        <f>'3. Data_Input_Sheet'!M30</f>
        <v>313375.16304319742</v>
      </c>
      <c r="O46" s="99"/>
      <c r="P46" s="356"/>
      <c r="Q46" s="33"/>
      <c r="R46" s="99" t="str">
        <f>'3. Data_Input_Sheet'!Q30</f>
        <v/>
      </c>
      <c r="S46" s="99"/>
      <c r="T46" s="356"/>
      <c r="U46" s="33"/>
      <c r="V46" s="99">
        <f>IF(ISBLANK('3. Data_Input_Sheet'!U30),N46,'3. Data_Input_Sheet'!U30)</f>
        <v>313375.16304319742</v>
      </c>
      <c r="W46" s="497"/>
    </row>
    <row r="47" spans="2:24" x14ac:dyDescent="0.2">
      <c r="D47" s="496" t="s">
        <v>56</v>
      </c>
      <c r="E47" s="33"/>
      <c r="F47" s="99">
        <f>'3. Data_Input_Sheet'!E31</f>
        <v>50933.999999999978</v>
      </c>
      <c r="G47" s="99"/>
      <c r="H47" s="356"/>
      <c r="I47" s="181"/>
      <c r="J47" s="99">
        <f>'3. Data_Input_Sheet'!I31</f>
        <v>0</v>
      </c>
      <c r="K47" s="99"/>
      <c r="L47" s="356"/>
      <c r="M47" s="33"/>
      <c r="N47" s="99">
        <f>'3. Data_Input_Sheet'!M31</f>
        <v>50933.999999999978</v>
      </c>
      <c r="O47" s="99"/>
      <c r="P47" s="356"/>
      <c r="Q47" s="33"/>
      <c r="R47" s="99" t="str">
        <f>'3. Data_Input_Sheet'!Q31</f>
        <v/>
      </c>
      <c r="S47" s="99"/>
      <c r="T47" s="356"/>
      <c r="U47" s="33"/>
      <c r="V47" s="99">
        <f>IF(ISBLANK('3. Data_Input_Sheet'!U31),N47,'3. Data_Input_Sheet'!U31)</f>
        <v>50933.999999999978</v>
      </c>
      <c r="W47" s="497"/>
    </row>
    <row r="48" spans="2:24" x14ac:dyDescent="0.2">
      <c r="D48" s="496"/>
      <c r="E48" s="33"/>
      <c r="F48" s="794">
        <f>SUM(F44:F47)</f>
        <v>502938.99582215952</v>
      </c>
      <c r="G48" s="155"/>
      <c r="H48" s="33"/>
      <c r="I48" s="33"/>
      <c r="J48" s="794">
        <f>SUM(J44:J47)</f>
        <v>-20491.504509731327</v>
      </c>
      <c r="K48" s="33"/>
      <c r="L48" s="33"/>
      <c r="M48" s="33"/>
      <c r="N48" s="794">
        <f>SUM(N44:N47)</f>
        <v>482447.49131242814</v>
      </c>
      <c r="O48" s="33"/>
      <c r="P48" s="33"/>
      <c r="Q48" s="33"/>
      <c r="R48" s="794">
        <f>SUM(R44:R47)</f>
        <v>0</v>
      </c>
      <c r="S48" s="33"/>
      <c r="T48" s="33"/>
      <c r="U48" s="33"/>
      <c r="V48" s="794">
        <f>SUM(V44:V47)</f>
        <v>482447.49131242814</v>
      </c>
      <c r="W48" s="497"/>
    </row>
    <row r="49" spans="2:23" ht="13.5" thickBot="1" x14ac:dyDescent="0.25">
      <c r="D49" s="498" t="s">
        <v>57</v>
      </c>
      <c r="E49" s="33"/>
      <c r="F49" s="795"/>
      <c r="G49" s="155"/>
      <c r="H49" s="33"/>
      <c r="I49" s="33"/>
      <c r="J49" s="795"/>
      <c r="K49" s="33"/>
      <c r="L49" s="33"/>
      <c r="M49" s="33"/>
      <c r="N49" s="795"/>
      <c r="O49" s="33"/>
      <c r="P49" s="33"/>
      <c r="Q49" s="33"/>
      <c r="R49" s="795"/>
      <c r="S49" s="33"/>
      <c r="T49" s="33"/>
      <c r="U49" s="33"/>
      <c r="V49" s="795"/>
      <c r="W49" s="497"/>
    </row>
    <row r="50" spans="2:23" ht="14.25" thickTop="1" thickBot="1" x14ac:dyDescent="0.25">
      <c r="D50" s="499"/>
      <c r="E50" s="441"/>
      <c r="F50" s="441"/>
      <c r="G50" s="441"/>
      <c r="H50" s="441"/>
      <c r="I50" s="441"/>
      <c r="J50" s="441"/>
      <c r="K50" s="441"/>
      <c r="L50" s="441"/>
      <c r="M50" s="441"/>
      <c r="N50" s="441"/>
      <c r="O50" s="441"/>
      <c r="P50" s="441"/>
      <c r="Q50" s="441"/>
      <c r="R50" s="441"/>
      <c r="S50" s="441"/>
      <c r="T50" s="441"/>
      <c r="U50" s="441"/>
      <c r="V50" s="441"/>
      <c r="W50" s="500"/>
    </row>
    <row r="51" spans="2:23" x14ac:dyDescent="0.2">
      <c r="D51" s="33"/>
      <c r="E51" s="33"/>
      <c r="F51" s="33"/>
      <c r="G51" s="33"/>
      <c r="H51" s="33"/>
      <c r="I51" s="33"/>
      <c r="J51" s="33"/>
      <c r="K51" s="33"/>
      <c r="L51" s="33"/>
      <c r="M51" s="33"/>
      <c r="N51" s="33"/>
      <c r="O51" s="33"/>
      <c r="P51" s="33"/>
      <c r="Q51" s="33"/>
      <c r="R51" s="33"/>
      <c r="S51" s="33"/>
      <c r="T51" s="33"/>
      <c r="U51" s="33"/>
      <c r="V51" s="33"/>
    </row>
    <row r="52" spans="2:23" x14ac:dyDescent="0.2">
      <c r="B52" s="357"/>
      <c r="D52" s="804"/>
      <c r="E52" s="804"/>
      <c r="F52" s="804"/>
      <c r="G52" s="804"/>
      <c r="H52" s="804"/>
      <c r="I52" s="804"/>
      <c r="J52" s="804"/>
      <c r="K52" s="804"/>
      <c r="L52" s="804"/>
      <c r="M52" s="804"/>
      <c r="N52" s="804"/>
      <c r="O52" s="804"/>
      <c r="P52" s="804"/>
      <c r="Q52" s="804"/>
      <c r="R52" s="804"/>
      <c r="S52" s="804"/>
      <c r="T52" s="804"/>
      <c r="U52" s="804"/>
      <c r="V52" s="804"/>
    </row>
    <row r="53" spans="2:23" x14ac:dyDescent="0.2">
      <c r="B53" s="357"/>
      <c r="D53" s="804"/>
      <c r="E53" s="804"/>
      <c r="F53" s="804"/>
      <c r="G53" s="804"/>
      <c r="H53" s="804"/>
      <c r="I53" s="804"/>
      <c r="J53" s="804"/>
      <c r="K53" s="804"/>
      <c r="L53" s="804"/>
      <c r="M53" s="804"/>
      <c r="N53" s="804"/>
      <c r="O53" s="804"/>
      <c r="P53" s="804"/>
      <c r="Q53" s="804"/>
      <c r="R53" s="804"/>
      <c r="S53" s="804"/>
      <c r="T53" s="804"/>
      <c r="U53" s="804"/>
      <c r="V53" s="804"/>
    </row>
    <row r="54" spans="2:23" x14ac:dyDescent="0.2">
      <c r="B54" s="357"/>
      <c r="D54" s="805"/>
      <c r="E54" s="804"/>
      <c r="F54" s="804"/>
      <c r="G54" s="804"/>
      <c r="H54" s="804"/>
      <c r="I54" s="804"/>
      <c r="J54" s="804"/>
      <c r="K54" s="804"/>
      <c r="L54" s="804"/>
      <c r="M54" s="804"/>
      <c r="N54" s="804"/>
      <c r="O54" s="804"/>
      <c r="P54" s="804"/>
      <c r="Q54" s="804"/>
      <c r="R54" s="804"/>
      <c r="S54" s="804"/>
      <c r="T54" s="804"/>
      <c r="U54" s="804"/>
      <c r="V54" s="804"/>
    </row>
    <row r="55" spans="2:23" x14ac:dyDescent="0.2">
      <c r="B55" s="357"/>
      <c r="D55" s="804"/>
      <c r="E55" s="804"/>
      <c r="F55" s="804"/>
      <c r="G55" s="804"/>
      <c r="H55" s="804"/>
      <c r="I55" s="804"/>
      <c r="J55" s="804"/>
      <c r="K55" s="804"/>
      <c r="L55" s="804"/>
      <c r="M55" s="804"/>
      <c r="N55" s="804"/>
      <c r="O55" s="804"/>
      <c r="P55" s="804"/>
      <c r="Q55" s="804"/>
      <c r="R55" s="804"/>
      <c r="S55" s="804"/>
      <c r="T55" s="804"/>
      <c r="U55" s="804"/>
      <c r="V55" s="804"/>
    </row>
    <row r="56" spans="2:23" x14ac:dyDescent="0.2">
      <c r="B56" s="357"/>
      <c r="D56" s="804"/>
      <c r="E56" s="804"/>
      <c r="F56" s="804"/>
      <c r="G56" s="804"/>
      <c r="H56" s="804"/>
      <c r="I56" s="804"/>
      <c r="J56" s="804"/>
      <c r="K56" s="804"/>
      <c r="L56" s="804"/>
      <c r="M56" s="804"/>
      <c r="N56" s="804"/>
      <c r="O56" s="804"/>
      <c r="P56" s="804"/>
      <c r="Q56" s="804"/>
      <c r="R56" s="804"/>
      <c r="S56" s="804"/>
      <c r="T56" s="804"/>
      <c r="U56" s="804"/>
      <c r="V56" s="804"/>
    </row>
    <row r="57" spans="2:23" x14ac:dyDescent="0.2">
      <c r="B57" s="357"/>
      <c r="D57" s="804"/>
      <c r="E57" s="804"/>
      <c r="F57" s="804"/>
      <c r="G57" s="804"/>
      <c r="H57" s="804"/>
      <c r="I57" s="804"/>
      <c r="J57" s="804"/>
      <c r="K57" s="804"/>
      <c r="L57" s="804"/>
      <c r="M57" s="804"/>
      <c r="N57" s="804"/>
      <c r="O57" s="804"/>
      <c r="P57" s="804"/>
      <c r="Q57" s="804"/>
      <c r="R57" s="804"/>
      <c r="S57" s="804"/>
      <c r="T57" s="804"/>
      <c r="U57" s="804"/>
      <c r="V57" s="804"/>
    </row>
  </sheetData>
  <sheetProtection algorithmName="SHA-512" hashValue="affS/ETc6lHtuYbqKJG8KfguaoLXqs6rSg5BH1SaGEziP2omHigUTPW6DpEfSCMlOo4mnThqQLD/ZaiHWd2oag==" saltValue="GTdwBFJbJwhnp8egnRJOHw==" spinCount="100000" sheet="1" objects="1" scenarios="1"/>
  <mergeCells count="37">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 ref="C1:L1"/>
    <mergeCell ref="C3:H3"/>
    <mergeCell ref="C4:H4"/>
    <mergeCell ref="C2:V2"/>
    <mergeCell ref="V18:V19"/>
    <mergeCell ref="N18:N19"/>
    <mergeCell ref="R18:R19"/>
    <mergeCell ref="F8:V8"/>
    <mergeCell ref="F18:F19"/>
    <mergeCell ref="J18:J19"/>
    <mergeCell ref="J27:J28"/>
    <mergeCell ref="V35:V36"/>
    <mergeCell ref="F35:F36"/>
    <mergeCell ref="V37:V38"/>
    <mergeCell ref="F37:F38"/>
    <mergeCell ref="R37:R38"/>
    <mergeCell ref="J48:J49"/>
    <mergeCell ref="N48:N49"/>
    <mergeCell ref="R48:R49"/>
    <mergeCell ref="J35:J36"/>
    <mergeCell ref="J37:J38"/>
  </mergeCells>
  <phoneticPr fontId="2" type="noConversion"/>
  <conditionalFormatting sqref="J13">
    <cfRule type="cellIs" dxfId="72" priority="1" stopIfTrue="1" operator="equal">
      <formula>""</formula>
    </cfRule>
  </conditionalFormatting>
  <conditionalFormatting sqref="N13 R13">
    <cfRule type="cellIs" dxfId="71"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3" orientation="landscape"/>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U53"/>
  <sheetViews>
    <sheetView showGridLines="0" zoomScaleNormal="100" zoomScaleSheetLayoutView="100" workbookViewId="0">
      <selection activeCell="O18" sqref="O18"/>
    </sheetView>
  </sheetViews>
  <sheetFormatPr defaultColWidth="9.140625"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763"/>
      <c r="E1" s="763"/>
      <c r="F1" s="763"/>
      <c r="G1" s="763"/>
      <c r="H1" s="763"/>
      <c r="I1" s="763"/>
      <c r="J1" s="763"/>
      <c r="K1" s="763"/>
      <c r="L1" s="763"/>
      <c r="M1" s="763"/>
      <c r="N1" s="1"/>
      <c r="O1" s="143"/>
      <c r="P1" s="143"/>
    </row>
    <row r="2" spans="2:16" s="2" customFormat="1" ht="18" x14ac:dyDescent="0.25">
      <c r="C2" s="768"/>
      <c r="D2" s="768"/>
      <c r="E2" s="768"/>
      <c r="F2" s="768"/>
      <c r="G2" s="768"/>
      <c r="H2" s="768"/>
      <c r="I2" s="768"/>
      <c r="J2" s="768"/>
      <c r="K2" s="768"/>
      <c r="L2" s="768"/>
      <c r="M2" s="768"/>
      <c r="N2" s="768"/>
      <c r="O2" s="768"/>
      <c r="P2" s="35"/>
    </row>
    <row r="3" spans="2:16" s="2" customFormat="1" ht="18" x14ac:dyDescent="0.25">
      <c r="C3" s="768"/>
      <c r="D3" s="768"/>
      <c r="E3" s="768"/>
      <c r="F3" s="768"/>
      <c r="G3" s="768"/>
      <c r="H3" s="35"/>
      <c r="I3" s="35"/>
      <c r="J3" s="35"/>
      <c r="K3" s="35"/>
      <c r="L3" s="32"/>
      <c r="M3" s="32"/>
      <c r="N3" s="32"/>
      <c r="O3" s="32"/>
      <c r="P3" s="32"/>
    </row>
    <row r="4" spans="2:16" s="2" customFormat="1" ht="18" x14ac:dyDescent="0.25">
      <c r="C4" s="768"/>
      <c r="D4" s="768"/>
      <c r="E4" s="768"/>
      <c r="F4" s="768"/>
      <c r="G4" s="768"/>
      <c r="H4" s="35"/>
      <c r="I4" s="35"/>
      <c r="J4" s="35"/>
      <c r="K4" s="35"/>
      <c r="L4" s="32"/>
      <c r="M4" s="32"/>
      <c r="N4" s="32"/>
      <c r="O4" s="32"/>
      <c r="P4" s="32"/>
    </row>
    <row r="5" spans="2:16" s="2" customFormat="1" ht="15.75" x14ac:dyDescent="0.25">
      <c r="C5" s="32"/>
      <c r="D5" s="32"/>
      <c r="E5" s="96"/>
      <c r="F5" s="96"/>
      <c r="G5" s="32"/>
      <c r="H5" s="32"/>
      <c r="I5" s="32"/>
      <c r="J5" s="32"/>
      <c r="K5" s="32"/>
      <c r="L5" s="32"/>
      <c r="M5" s="32"/>
      <c r="N5" s="32"/>
      <c r="O5" s="32"/>
      <c r="P5" s="32"/>
    </row>
    <row r="6" spans="2:16" s="2" customFormat="1" ht="36.75" customHeight="1" x14ac:dyDescent="0.2"/>
    <row r="8" spans="2:16" ht="15.75" x14ac:dyDescent="0.25">
      <c r="P8" s="58"/>
    </row>
    <row r="9" spans="2:16" ht="15.75" x14ac:dyDescent="0.25">
      <c r="B9" s="809" t="s">
        <v>6</v>
      </c>
      <c r="C9" s="809"/>
      <c r="D9" s="809"/>
      <c r="E9" s="809"/>
      <c r="F9" s="809"/>
      <c r="G9" s="809"/>
      <c r="H9" s="809"/>
      <c r="I9" s="809"/>
      <c r="J9" s="809"/>
      <c r="K9" s="809"/>
      <c r="L9" s="809"/>
      <c r="M9" s="809"/>
      <c r="P9" s="58"/>
    </row>
    <row r="10" spans="2:16" ht="15.75" x14ac:dyDescent="0.25">
      <c r="P10" s="58"/>
    </row>
    <row r="11" spans="2:16" ht="15.75" x14ac:dyDescent="0.25">
      <c r="P11" s="58"/>
    </row>
    <row r="12" spans="2:16" ht="25.5" x14ac:dyDescent="0.2">
      <c r="B12" s="376" t="s">
        <v>37</v>
      </c>
      <c r="D12" s="41" t="s">
        <v>59</v>
      </c>
      <c r="E12" s="43"/>
      <c r="F12" s="43"/>
      <c r="G12" s="299" t="s">
        <v>4</v>
      </c>
      <c r="H12" s="300"/>
      <c r="I12" s="300"/>
      <c r="J12" s="300"/>
      <c r="K12" s="301" t="str">
        <f>IF(ISBLANK('3. Data_Input_Sheet'!M12),"",'3. Data_Input_Sheet'!M12)</f>
        <v>Settlement Agreement</v>
      </c>
      <c r="L12" s="300"/>
      <c r="M12" s="300"/>
      <c r="N12" s="300"/>
      <c r="O12" s="301" t="str">
        <f>'3. Data_Input_Sheet'!U12</f>
        <v>Per Board Decision</v>
      </c>
      <c r="P12" s="141"/>
    </row>
    <row r="13" spans="2:16" x14ac:dyDescent="0.2">
      <c r="B13" s="296"/>
      <c r="F13" s="33"/>
      <c r="L13" s="33"/>
      <c r="M13" s="33"/>
      <c r="N13" s="33"/>
    </row>
    <row r="14" spans="2:16" x14ac:dyDescent="0.2">
      <c r="B14" s="296"/>
      <c r="D14" s="22" t="s">
        <v>28</v>
      </c>
      <c r="E14" s="97"/>
      <c r="F14" s="98"/>
      <c r="G14" s="97"/>
      <c r="H14" s="97"/>
      <c r="I14" s="97"/>
      <c r="J14" s="97"/>
      <c r="K14" s="97"/>
      <c r="L14" s="98"/>
      <c r="M14" s="98"/>
      <c r="N14" s="98"/>
      <c r="O14" s="97"/>
      <c r="P14" s="97"/>
    </row>
    <row r="15" spans="2:16" x14ac:dyDescent="0.2">
      <c r="B15" s="296"/>
      <c r="F15" s="33"/>
      <c r="L15" s="33"/>
      <c r="M15" s="33"/>
      <c r="N15" s="33"/>
    </row>
    <row r="16" spans="2:16" x14ac:dyDescent="0.2">
      <c r="B16" s="343">
        <v>1</v>
      </c>
      <c r="D16" s="779" t="s">
        <v>145</v>
      </c>
      <c r="E16" s="779"/>
      <c r="F16" s="33"/>
      <c r="G16" s="244">
        <f>'7. Cost_of_Capital'!P22</f>
        <v>1105128.3862612378</v>
      </c>
      <c r="H16" s="244"/>
      <c r="I16" s="244"/>
      <c r="J16" s="244"/>
      <c r="K16" s="244">
        <f>'7. Cost_of_Capital'!P38</f>
        <v>1097007.630952785</v>
      </c>
      <c r="L16" s="250"/>
      <c r="M16" s="250"/>
      <c r="N16" s="250"/>
      <c r="O16" s="244">
        <f>'7. Cost_of_Capital'!P54</f>
        <v>1021450.0379454438</v>
      </c>
      <c r="P16" s="99"/>
    </row>
    <row r="17" spans="2:21" x14ac:dyDescent="0.2">
      <c r="B17" s="343"/>
      <c r="F17" s="33"/>
      <c r="G17" s="251"/>
      <c r="H17" s="251"/>
      <c r="I17" s="251"/>
      <c r="J17" s="251"/>
      <c r="K17" s="251"/>
      <c r="L17" s="250"/>
      <c r="M17" s="250"/>
      <c r="N17" s="250"/>
      <c r="O17" s="251"/>
      <c r="P17" s="52"/>
    </row>
    <row r="18" spans="2:21" ht="24.75" customHeight="1" x14ac:dyDescent="0.2">
      <c r="B18" s="343">
        <v>2</v>
      </c>
      <c r="D18" s="810" t="s">
        <v>29</v>
      </c>
      <c r="E18" s="810"/>
      <c r="F18" s="33"/>
      <c r="G18" s="243">
        <f>'3. Data_Input_Sheet'!E44</f>
        <v>-800511.63163715601</v>
      </c>
      <c r="H18" s="244"/>
      <c r="I18" s="353"/>
      <c r="J18" s="244"/>
      <c r="K18" s="243">
        <f>'3. Data_Input_Sheet'!M44</f>
        <v>-831847.24437337043</v>
      </c>
      <c r="L18" s="234"/>
      <c r="M18" s="353"/>
      <c r="N18" s="234"/>
      <c r="O18" s="243">
        <f>IF(ISBLANK('3. Data_Input_Sheet'!U44),K18,'3. Data_Input_Sheet'!U44)</f>
        <v>-831847.24437337043</v>
      </c>
      <c r="P18" s="99"/>
      <c r="Q18" s="353"/>
    </row>
    <row r="19" spans="2:21" x14ac:dyDescent="0.2">
      <c r="B19" s="343"/>
      <c r="F19" s="33"/>
      <c r="G19" s="251"/>
      <c r="H19" s="251"/>
      <c r="I19" s="251"/>
      <c r="J19" s="251"/>
      <c r="K19" s="251"/>
      <c r="L19" s="250"/>
      <c r="M19" s="250"/>
      <c r="N19" s="250"/>
      <c r="O19" s="251"/>
      <c r="P19" s="52"/>
    </row>
    <row r="20" spans="2:21" ht="13.5" thickBot="1" x14ac:dyDescent="0.25">
      <c r="B20" s="343">
        <v>3</v>
      </c>
      <c r="D20" s="779" t="s">
        <v>30</v>
      </c>
      <c r="E20" s="779"/>
      <c r="F20" s="33"/>
      <c r="G20" s="252">
        <f>G16+G18</f>
        <v>304616.75462408178</v>
      </c>
      <c r="H20" s="253"/>
      <c r="I20" s="253"/>
      <c r="J20" s="253"/>
      <c r="K20" s="252">
        <f>K16+K18</f>
        <v>265160.3865794146</v>
      </c>
      <c r="L20" s="250"/>
      <c r="M20" s="250"/>
      <c r="N20" s="250"/>
      <c r="O20" s="252">
        <f>O16+O18</f>
        <v>189602.79357207334</v>
      </c>
      <c r="P20" s="157"/>
    </row>
    <row r="21" spans="2:21" ht="13.5" thickTop="1" x14ac:dyDescent="0.2">
      <c r="B21" s="343"/>
      <c r="F21" s="33"/>
      <c r="G21" s="251"/>
      <c r="H21" s="251"/>
      <c r="I21" s="251"/>
      <c r="J21" s="251"/>
      <c r="K21" s="251"/>
      <c r="L21" s="250"/>
      <c r="M21" s="250"/>
      <c r="N21" s="250"/>
      <c r="O21" s="251"/>
      <c r="P21" s="52"/>
    </row>
    <row r="22" spans="2:21" x14ac:dyDescent="0.2">
      <c r="B22" s="343"/>
      <c r="D22" s="26" t="s">
        <v>31</v>
      </c>
      <c r="E22" s="102"/>
      <c r="F22" s="103"/>
      <c r="G22" s="254"/>
      <c r="H22" s="254"/>
      <c r="I22" s="254"/>
      <c r="J22" s="254"/>
      <c r="K22" s="254"/>
      <c r="L22" s="255"/>
      <c r="M22" s="255"/>
      <c r="N22" s="255"/>
      <c r="O22" s="254"/>
      <c r="P22" s="104"/>
    </row>
    <row r="23" spans="2:21" x14ac:dyDescent="0.2">
      <c r="B23" s="343"/>
      <c r="C23" s="15"/>
      <c r="D23" s="15"/>
      <c r="E23" s="15"/>
      <c r="F23" s="88"/>
      <c r="G23" s="256"/>
      <c r="H23" s="256"/>
      <c r="I23" s="256"/>
      <c r="J23" s="256"/>
      <c r="K23" s="256"/>
      <c r="L23" s="250"/>
      <c r="M23" s="250"/>
      <c r="N23" s="250"/>
      <c r="O23" s="256"/>
      <c r="P23" s="105"/>
      <c r="Q23" s="15"/>
      <c r="R23" s="15"/>
      <c r="S23" s="15"/>
      <c r="T23" s="15"/>
      <c r="U23" s="15"/>
    </row>
    <row r="24" spans="2:21" x14ac:dyDescent="0.2">
      <c r="B24" s="343">
        <v>4</v>
      </c>
      <c r="C24" s="15"/>
      <c r="D24" s="15" t="s">
        <v>27</v>
      </c>
      <c r="E24" s="15"/>
      <c r="F24" s="88"/>
      <c r="G24" s="244">
        <f>'3. Data_Input_Sheet'!E46</f>
        <v>80723.439975381421</v>
      </c>
      <c r="H24" s="244"/>
      <c r="I24" s="353"/>
      <c r="J24" s="244"/>
      <c r="K24" s="244">
        <f>IF(ISBLANK('3. Data_Input_Sheet'!M46),'6. Taxes_PILs'!G24,'3. Data_Input_Sheet'!M46)</f>
        <v>70267.502443544814</v>
      </c>
      <c r="L24" s="234"/>
      <c r="M24" s="353"/>
      <c r="N24" s="234"/>
      <c r="O24" s="244">
        <f>IF(ISBLANK('3. Data_Input_Sheet'!U46),'6. Taxes_PILs'!K24,'3. Data_Input_Sheet'!U46)</f>
        <v>70267.502443544814</v>
      </c>
      <c r="P24" s="106"/>
      <c r="Q24" s="353"/>
      <c r="R24" s="15"/>
      <c r="S24" s="15"/>
      <c r="T24" s="15"/>
      <c r="U24" s="15"/>
    </row>
    <row r="25" spans="2:21" ht="3" customHeight="1" x14ac:dyDescent="0.2">
      <c r="B25" s="378">
        <v>5</v>
      </c>
      <c r="C25" s="306"/>
      <c r="D25" s="306" t="inlineStr">
        <is>
          <t/>
        </is>
      </c>
      <c r="E25" s="306"/>
      <c r="F25" s="307"/>
      <c r="G25" s="308">
        <f>'3. Data_Input_Sheet'!E48</f>
        <v>0</v>
      </c>
      <c r="H25" s="309"/>
      <c r="I25" s="310"/>
      <c r="J25" s="309"/>
      <c r="K25" s="308">
        <f>IF(ISBLANK('3. Data_Input_Sheet'!M48),'6. Taxes_PILs'!G25,'3. Data_Input_Sheet'!M48)</f>
        <v>0</v>
      </c>
      <c r="L25" s="311"/>
      <c r="M25" s="312"/>
      <c r="N25" s="311"/>
      <c r="O25" s="308">
        <f>IF(ISBLANK('3. Data_Input_Sheet'!U48),'6. Taxes_PILs'!K25,'3. Data_Input_Sheet'!U48)</f>
        <v>0</v>
      </c>
      <c r="P25" s="313"/>
      <c r="Q25" s="314"/>
    </row>
    <row r="26" spans="2:21" x14ac:dyDescent="0.2">
      <c r="B26" s="343"/>
      <c r="F26" s="33"/>
      <c r="G26" s="788">
        <f>SUM(G24:G25)</f>
        <v>80723.439975381421</v>
      </c>
      <c r="H26" s="48"/>
      <c r="I26" s="48"/>
      <c r="J26" s="48"/>
      <c r="K26" s="788">
        <f>SUM(K24:K25)</f>
        <v>70267.502443544814</v>
      </c>
      <c r="L26" s="107"/>
      <c r="M26" s="107"/>
      <c r="N26" s="159"/>
      <c r="O26" s="788">
        <f>SUM(O24:O25)</f>
        <v>70267.502443544814</v>
      </c>
      <c r="P26" s="48"/>
    </row>
    <row r="27" spans="2:21" ht="13.5" thickBot="1" x14ac:dyDescent="0.25">
      <c r="B27" s="343">
        <v>6</v>
      </c>
      <c r="D27" s="5" t="s">
        <v>32</v>
      </c>
      <c r="F27" s="33"/>
      <c r="G27" s="789"/>
      <c r="H27" s="48"/>
      <c r="I27" s="48"/>
      <c r="J27" s="48"/>
      <c r="K27" s="789"/>
      <c r="L27" s="107"/>
      <c r="M27" s="107"/>
      <c r="N27" s="159"/>
      <c r="O27" s="789"/>
      <c r="P27" s="48"/>
    </row>
    <row r="28" spans="2:21" ht="13.5" thickTop="1" x14ac:dyDescent="0.2">
      <c r="B28" s="343"/>
      <c r="F28" s="33"/>
      <c r="G28" s="259"/>
      <c r="H28" s="259"/>
      <c r="I28" s="259"/>
      <c r="J28" s="259"/>
      <c r="K28" s="259"/>
      <c r="L28" s="250"/>
      <c r="M28" s="250"/>
      <c r="N28" s="236"/>
      <c r="O28" s="259"/>
      <c r="P28" s="108"/>
    </row>
    <row r="29" spans="2:21" x14ac:dyDescent="0.2">
      <c r="B29" s="343">
        <v>7</v>
      </c>
      <c r="D29" s="5" t="s">
        <v>96</v>
      </c>
      <c r="F29" s="33"/>
      <c r="G29" s="249">
        <f>(G24/(1-G41))-G24</f>
        <v>29104.369514933438</v>
      </c>
      <c r="H29" s="248"/>
      <c r="I29" s="248"/>
      <c r="J29" s="248"/>
      <c r="K29" s="249">
        <f>(K24/(1-K41))-K24</f>
        <v>25334.54169733249</v>
      </c>
      <c r="L29" s="257"/>
      <c r="M29" s="257"/>
      <c r="N29" s="258"/>
      <c r="O29" s="249">
        <f>(O24/(1-O41))-O24</f>
        <v>25334.54169733249</v>
      </c>
      <c r="P29" s="48"/>
    </row>
    <row r="30" spans="2:21" x14ac:dyDescent="0.2">
      <c r="B30" s="343"/>
      <c r="F30" s="33"/>
      <c r="G30" s="248"/>
      <c r="H30" s="248"/>
      <c r="I30" s="248"/>
      <c r="J30" s="248"/>
      <c r="K30" s="248"/>
      <c r="L30" s="257"/>
      <c r="M30" s="257"/>
      <c r="N30" s="258"/>
      <c r="O30" s="248"/>
      <c r="P30" s="48"/>
    </row>
    <row r="31" spans="2:21" ht="13.5" thickBot="1" x14ac:dyDescent="0.25">
      <c r="B31" s="343">
        <v>8</v>
      </c>
      <c r="D31" s="5" t="s">
        <v>106</v>
      </c>
      <c r="F31" s="33"/>
      <c r="G31" s="260">
        <f>G24+G29</f>
        <v>109827.80949031486</v>
      </c>
      <c r="H31" s="248"/>
      <c r="I31" s="248"/>
      <c r="J31" s="248"/>
      <c r="K31" s="260">
        <f>K24+K29</f>
        <v>95602.044140877304</v>
      </c>
      <c r="L31" s="257"/>
      <c r="M31" s="257"/>
      <c r="N31" s="258"/>
      <c r="O31" s="260">
        <f>O24+O29</f>
        <v>95602.044140877304</v>
      </c>
      <c r="P31" s="48"/>
    </row>
    <row r="32" spans="2:21" ht="13.5" thickTop="1" x14ac:dyDescent="0.2">
      <c r="B32" s="343"/>
      <c r="F32" s="33"/>
      <c r="G32" s="248"/>
      <c r="H32" s="248"/>
      <c r="I32" s="248"/>
      <c r="J32" s="248"/>
      <c r="K32" s="248"/>
      <c r="L32" s="257"/>
      <c r="M32" s="257"/>
      <c r="N32" s="258"/>
      <c r="O32" s="248"/>
      <c r="P32" s="48"/>
    </row>
    <row r="33" spans="2:17" ht="25.5" customHeight="1" thickBot="1" x14ac:dyDescent="0.25">
      <c r="B33" s="343">
        <v>9</v>
      </c>
      <c r="D33" s="782" t="s">
        <v>107</v>
      </c>
      <c r="E33" s="782"/>
      <c r="F33" s="33"/>
      <c r="G33" s="138">
        <f>G26+G29</f>
        <v>109827.80949031486</v>
      </c>
      <c r="H33" s="48"/>
      <c r="I33" s="48"/>
      <c r="J33" s="48"/>
      <c r="K33" s="138">
        <f>K29+K26</f>
        <v>95602.044140877304</v>
      </c>
      <c r="L33" s="107"/>
      <c r="M33" s="107"/>
      <c r="N33" s="159"/>
      <c r="O33" s="138">
        <f>O29+O26</f>
        <v>95602.044140877304</v>
      </c>
      <c r="P33" s="48"/>
    </row>
    <row r="34" spans="2:17" ht="12.75" customHeight="1" thickTop="1" x14ac:dyDescent="0.2">
      <c r="B34" s="343"/>
      <c r="D34" s="27"/>
      <c r="E34" s="27"/>
      <c r="F34" s="33"/>
      <c r="G34" s="248"/>
      <c r="H34" s="248"/>
      <c r="I34" s="248"/>
      <c r="J34" s="248"/>
      <c r="K34" s="248"/>
      <c r="L34" s="257"/>
      <c r="M34" s="257"/>
      <c r="N34" s="258"/>
      <c r="O34" s="248"/>
      <c r="P34" s="48"/>
    </row>
    <row r="35" spans="2:17" ht="14.25" customHeight="1" x14ac:dyDescent="0.2">
      <c r="B35" s="343">
        <v>10</v>
      </c>
      <c r="D35" s="27" t="s">
        <v>131</v>
      </c>
      <c r="E35" s="27"/>
      <c r="F35" s="33"/>
      <c r="G35" s="248">
        <f>'3. Data_Input_Sheet'!E51</f>
        <v>0</v>
      </c>
      <c r="H35" s="248"/>
      <c r="I35" s="353"/>
      <c r="J35" s="248"/>
      <c r="K35" s="248">
        <f>IF(ISBLANK('3. Data_Input_Sheet'!M51),G35,'3. Data_Input_Sheet'!M51)</f>
        <v>0</v>
      </c>
      <c r="L35" s="234"/>
      <c r="M35" s="353"/>
      <c r="N35" s="261"/>
      <c r="O35" s="248">
        <f>IF(ISBLANK('3. Data_Input_Sheet'!U51),K35,'3. Data_Input_Sheet'!U51)</f>
        <v>0</v>
      </c>
      <c r="P35" s="48"/>
      <c r="Q35" s="353"/>
    </row>
    <row r="36" spans="2:17" x14ac:dyDescent="0.2">
      <c r="B36" s="343"/>
      <c r="F36" s="33"/>
      <c r="L36" s="29"/>
      <c r="M36" s="33"/>
      <c r="N36" s="29"/>
    </row>
    <row r="37" spans="2:17" x14ac:dyDescent="0.2">
      <c r="B37" s="343"/>
      <c r="D37" s="26" t="s">
        <v>33</v>
      </c>
      <c r="E37" s="109"/>
      <c r="F37" s="110"/>
      <c r="G37" s="109"/>
      <c r="H37" s="109"/>
      <c r="I37" s="109"/>
      <c r="J37" s="109"/>
      <c r="L37" s="160"/>
      <c r="M37" s="110"/>
      <c r="N37" s="160"/>
    </row>
    <row r="38" spans="2:17" x14ac:dyDescent="0.2">
      <c r="B38" s="343"/>
      <c r="F38" s="33"/>
      <c r="G38" s="111"/>
      <c r="H38" s="111"/>
      <c r="I38" s="111"/>
      <c r="J38" s="111"/>
      <c r="K38" s="113"/>
      <c r="L38" s="161"/>
      <c r="M38" s="112"/>
      <c r="N38" s="161"/>
      <c r="O38" s="113"/>
      <c r="P38" s="113"/>
    </row>
    <row r="39" spans="2:17" x14ac:dyDescent="0.2">
      <c r="B39" s="343">
        <v>11</v>
      </c>
      <c r="D39" s="5" t="s">
        <v>136</v>
      </c>
      <c r="F39" s="33"/>
      <c r="G39" s="79">
        <f>'3. Data_Input_Sheet'!E49</f>
        <v>0.15</v>
      </c>
      <c r="H39" s="79"/>
      <c r="I39" s="353"/>
      <c r="J39" s="79"/>
      <c r="K39" s="114">
        <f>IF(ISBLANK('3. Data_Input_Sheet'!M49),G39,'3. Data_Input_Sheet'!M49)</f>
        <v>0.15</v>
      </c>
      <c r="L39" s="175"/>
      <c r="M39" s="353"/>
      <c r="N39" s="175"/>
      <c r="O39" s="114">
        <f>IF(ISBLANK('3. Data_Input_Sheet'!U49),K39,'3. Data_Input_Sheet'!U49)</f>
        <v>0.15</v>
      </c>
      <c r="P39" s="114"/>
      <c r="Q39" s="353"/>
    </row>
    <row r="40" spans="2:17" x14ac:dyDescent="0.2">
      <c r="B40" s="343">
        <v>12</v>
      </c>
      <c r="D40" s="5" t="s">
        <v>137</v>
      </c>
      <c r="F40" s="33"/>
      <c r="G40" s="80">
        <f>'3. Data_Input_Sheet'!E50</f>
        <v>0.11499999999999999</v>
      </c>
      <c r="H40" s="79"/>
      <c r="I40" s="353"/>
      <c r="J40" s="79"/>
      <c r="K40" s="92">
        <f>IF(ISBLANK('3. Data_Input_Sheet'!M50),G40,'3. Data_Input_Sheet'!M50)</f>
        <v>0.115</v>
      </c>
      <c r="L40" s="175"/>
      <c r="M40" s="353"/>
      <c r="N40" s="175"/>
      <c r="O40" s="92">
        <f>IF(ISBLANK('3. Data_Input_Sheet'!U50),K40,'3. Data_Input_Sheet'!U50)</f>
        <v>0.115</v>
      </c>
      <c r="P40" s="91"/>
      <c r="Q40" s="353"/>
    </row>
    <row r="41" spans="2:17" ht="13.5" thickBot="1" x14ac:dyDescent="0.25">
      <c r="B41" s="343">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5" thickTop="1" x14ac:dyDescent="0.2">
      <c r="F42" s="33"/>
      <c r="L42" s="33"/>
      <c r="M42" s="33"/>
      <c r="N42" s="33"/>
    </row>
    <row r="43" spans="2:17" x14ac:dyDescent="0.2">
      <c r="L43" s="33"/>
      <c r="M43" s="33"/>
      <c r="N43" s="33"/>
    </row>
    <row r="44" spans="2:17" x14ac:dyDescent="0.2">
      <c r="B44" s="808" t="s">
        <v>38</v>
      </c>
      <c r="C44" s="808"/>
      <c r="D44" s="808"/>
      <c r="E44" s="808"/>
      <c r="F44" s="808"/>
      <c r="G44" s="808"/>
      <c r="H44" s="808"/>
      <c r="I44" s="808"/>
      <c r="J44" s="808"/>
      <c r="K44" s="808"/>
      <c r="L44" s="808"/>
      <c r="M44" s="808"/>
      <c r="N44" s="808"/>
      <c r="O44" s="808"/>
      <c r="P44" s="153"/>
    </row>
    <row r="45" spans="2:17" ht="12.75" customHeight="1" x14ac:dyDescent="0.2">
      <c r="B45" s="315"/>
      <c r="C45" s="316"/>
      <c r="D45" s="807" t="inlineStr">
        <is>
          <t/>
        </is>
      </c>
      <c r="E45" s="807"/>
      <c r="F45" s="807"/>
      <c r="G45" s="807"/>
      <c r="H45" s="807"/>
      <c r="I45" s="807"/>
      <c r="J45" s="807"/>
      <c r="K45" s="807"/>
      <c r="L45" s="807"/>
      <c r="M45" s="807"/>
      <c r="N45" s="807"/>
      <c r="O45" s="807"/>
      <c r="P45" s="172"/>
    </row>
    <row r="46" spans="2:17" x14ac:dyDescent="0.2">
      <c r="B46" s="359"/>
      <c r="D46" s="785"/>
      <c r="E46" s="785"/>
      <c r="F46" s="785"/>
      <c r="G46" s="785"/>
      <c r="H46" s="785"/>
      <c r="I46" s="785"/>
      <c r="J46" s="785"/>
      <c r="K46" s="785"/>
      <c r="L46" s="785"/>
      <c r="M46" s="785"/>
      <c r="N46" s="785"/>
      <c r="O46" s="785"/>
      <c r="P46" s="172"/>
    </row>
    <row r="47" spans="2:17" x14ac:dyDescent="0.2">
      <c r="B47" s="359"/>
      <c r="D47" s="358"/>
      <c r="E47" s="358"/>
      <c r="F47" s="358"/>
      <c r="G47" s="358"/>
      <c r="H47" s="358"/>
      <c r="I47" s="358"/>
      <c r="J47" s="358"/>
      <c r="K47" s="358"/>
      <c r="L47" s="358"/>
      <c r="M47" s="358"/>
      <c r="N47" s="358"/>
      <c r="O47" s="358"/>
      <c r="P47" s="172"/>
    </row>
    <row r="48" spans="2:17" x14ac:dyDescent="0.2">
      <c r="B48" s="359"/>
      <c r="D48" s="358"/>
      <c r="E48" s="358"/>
      <c r="F48" s="358"/>
      <c r="G48" s="358"/>
      <c r="H48" s="358"/>
      <c r="I48" s="358"/>
      <c r="J48" s="358"/>
      <c r="K48" s="358"/>
      <c r="L48" s="358"/>
      <c r="M48" s="358"/>
      <c r="N48" s="358"/>
      <c r="O48" s="358"/>
      <c r="P48" s="172"/>
    </row>
    <row r="49" spans="2:16" x14ac:dyDescent="0.2">
      <c r="B49" s="359"/>
      <c r="D49" s="358"/>
      <c r="E49" s="358"/>
      <c r="F49" s="358"/>
      <c r="G49" s="358"/>
      <c r="H49" s="358"/>
      <c r="I49" s="358"/>
      <c r="J49" s="358"/>
      <c r="K49" s="358"/>
      <c r="L49" s="358"/>
      <c r="M49" s="358"/>
      <c r="N49" s="358"/>
      <c r="O49" s="358"/>
      <c r="P49" s="172"/>
    </row>
    <row r="50" spans="2:16" x14ac:dyDescent="0.2">
      <c r="B50" s="359"/>
      <c r="D50" s="785"/>
      <c r="E50" s="785"/>
      <c r="F50" s="785"/>
      <c r="G50" s="785"/>
      <c r="H50" s="785"/>
      <c r="I50" s="785"/>
      <c r="J50" s="785"/>
      <c r="K50" s="785"/>
      <c r="L50" s="785"/>
      <c r="M50" s="785"/>
      <c r="N50" s="785"/>
      <c r="O50" s="785"/>
      <c r="P50" s="172"/>
    </row>
    <row r="51" spans="2:16" x14ac:dyDescent="0.2">
      <c r="B51" s="359"/>
      <c r="D51" s="785"/>
      <c r="E51" s="785"/>
      <c r="F51" s="785"/>
      <c r="G51" s="785"/>
      <c r="H51" s="785"/>
      <c r="I51" s="785"/>
      <c r="J51" s="785"/>
      <c r="K51" s="785"/>
      <c r="L51" s="785"/>
      <c r="M51" s="785"/>
      <c r="N51" s="785"/>
      <c r="O51" s="785"/>
      <c r="P51" s="172"/>
    </row>
    <row r="52" spans="2:16" x14ac:dyDescent="0.2">
      <c r="B52" s="359"/>
      <c r="D52" s="785"/>
      <c r="E52" s="785"/>
      <c r="F52" s="785"/>
      <c r="G52" s="785"/>
      <c r="H52" s="785"/>
      <c r="I52" s="785"/>
      <c r="J52" s="785"/>
      <c r="K52" s="785"/>
      <c r="L52" s="785"/>
      <c r="M52" s="785"/>
      <c r="N52" s="785"/>
      <c r="O52" s="785"/>
      <c r="P52" s="172"/>
    </row>
    <row r="53" spans="2:16" x14ac:dyDescent="0.2">
      <c r="B53" s="359"/>
      <c r="D53" s="785"/>
      <c r="E53" s="785"/>
      <c r="F53" s="785"/>
      <c r="G53" s="785"/>
      <c r="H53" s="785"/>
      <c r="I53" s="785"/>
      <c r="J53" s="785"/>
      <c r="K53" s="785"/>
      <c r="L53" s="785"/>
      <c r="M53" s="785"/>
      <c r="N53" s="785"/>
      <c r="O53" s="785"/>
      <c r="P53" s="172"/>
    </row>
  </sheetData>
  <sheetProtection algorithmName="SHA-512" hashValue="4x/xdwvFactyXX/FTUReGFRELHIVUAUnVZCk6DSVZ58HeVimdKy7EjJBJ+cOxKzdGakb31Ua4EGkSZNchjkYEg==" saltValue="WM6oRn58yO4E9ELmhKH4wA==" spinCount="100000" sheet="1" objects="1" scenarios="1"/>
  <mergeCells count="19">
    <mergeCell ref="D1:M1"/>
    <mergeCell ref="C3:G3"/>
    <mergeCell ref="C4:G4"/>
    <mergeCell ref="C2:O2"/>
    <mergeCell ref="B44:O44"/>
    <mergeCell ref="B9:M9"/>
    <mergeCell ref="G26:G27"/>
    <mergeCell ref="O26:O27"/>
    <mergeCell ref="D16:E16"/>
    <mergeCell ref="D18:E18"/>
    <mergeCell ref="D20:E20"/>
    <mergeCell ref="D33:E33"/>
    <mergeCell ref="K26:K27"/>
    <mergeCell ref="D45:O45"/>
    <mergeCell ref="D52:O52"/>
    <mergeCell ref="D53:O53"/>
    <mergeCell ref="D46:O46"/>
    <mergeCell ref="D50:O50"/>
    <mergeCell ref="D51:O51"/>
  </mergeCells>
  <phoneticPr fontId="2" type="noConversion"/>
  <conditionalFormatting sqref="K12">
    <cfRule type="cellIs" dxfId="70" priority="1" stopIfTrue="1" operator="equal">
      <formula>""</formula>
    </cfRule>
  </conditionalFormatting>
  <pageMargins left="0.75" right="0.75" top="0.47" bottom="1" header="0.31" footer="0.5"/>
  <pageSetup scale="70" orientation="portrait"/>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68"/>
  <sheetViews>
    <sheetView showGridLines="0" zoomScaleNormal="100" zoomScaleSheetLayoutView="100" workbookViewId="0">
      <selection activeCell="P42" sqref="P42"/>
    </sheetView>
  </sheetViews>
  <sheetFormatPr defaultColWidth="9.140625"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814"/>
      <c r="D1" s="814"/>
      <c r="E1" s="814"/>
      <c r="F1" s="814"/>
      <c r="G1" s="814"/>
      <c r="H1" s="814"/>
      <c r="I1" s="814"/>
      <c r="J1" s="814"/>
      <c r="K1" s="814"/>
      <c r="L1" s="814"/>
      <c r="M1" s="814"/>
      <c r="N1" s="814"/>
      <c r="O1" s="150"/>
      <c r="P1" s="143"/>
    </row>
    <row r="2" spans="1:18" s="2" customFormat="1" ht="36.75" customHeight="1" x14ac:dyDescent="0.25">
      <c r="C2" s="815"/>
      <c r="D2" s="815"/>
      <c r="E2" s="815"/>
      <c r="F2" s="815"/>
      <c r="G2" s="815"/>
      <c r="H2" s="815"/>
      <c r="I2" s="815"/>
      <c r="J2" s="815"/>
      <c r="K2" s="815"/>
      <c r="L2" s="815"/>
      <c r="M2" s="815"/>
      <c r="N2" s="815"/>
      <c r="O2" s="815"/>
      <c r="P2" s="815"/>
      <c r="Q2" s="815"/>
      <c r="R2" s="815"/>
    </row>
    <row r="3" spans="1:18" s="2" customFormat="1" ht="36.75" customHeight="1" x14ac:dyDescent="0.25">
      <c r="C3" s="815"/>
      <c r="D3" s="815"/>
      <c r="E3" s="815"/>
      <c r="F3" s="815"/>
      <c r="G3" s="815"/>
      <c r="H3" s="815"/>
      <c r="I3" s="815"/>
      <c r="J3" s="815"/>
      <c r="K3" s="815"/>
      <c r="L3" s="815"/>
      <c r="M3" s="815"/>
      <c r="N3" s="815"/>
      <c r="O3" s="151"/>
    </row>
    <row r="4" spans="1:18" s="2" customFormat="1" ht="36.75" customHeight="1" x14ac:dyDescent="0.25">
      <c r="C4" s="815"/>
      <c r="D4" s="815"/>
      <c r="E4" s="815"/>
      <c r="F4" s="815"/>
      <c r="G4" s="815"/>
      <c r="H4" s="815"/>
      <c r="I4" s="815"/>
      <c r="J4" s="815"/>
      <c r="K4" s="37"/>
      <c r="L4" s="37"/>
      <c r="M4" s="37"/>
      <c r="N4" s="37"/>
      <c r="O4" s="37"/>
    </row>
    <row r="5" spans="1:18" s="2" customFormat="1" ht="36.75" customHeight="1" x14ac:dyDescent="0.2">
      <c r="B5" s="816" t="s">
        <v>50</v>
      </c>
      <c r="C5" s="816"/>
      <c r="D5" s="816"/>
      <c r="E5" s="816"/>
      <c r="F5" s="816"/>
      <c r="G5" s="816"/>
      <c r="H5" s="816"/>
      <c r="I5" s="816"/>
      <c r="J5" s="816"/>
      <c r="K5" s="816"/>
      <c r="L5" s="816"/>
      <c r="M5" s="816"/>
      <c r="N5" s="816"/>
    </row>
    <row r="6" spans="1:18" s="2" customFormat="1" ht="2.25" customHeight="1" x14ac:dyDescent="0.2"/>
    <row r="7" spans="1:18" ht="2.25" customHeight="1" x14ac:dyDescent="0.2"/>
    <row r="8" spans="1:18" ht="2.25" customHeight="1" x14ac:dyDescent="0.25">
      <c r="Q8" s="57"/>
    </row>
    <row r="9" spans="1:18" ht="2.25" customHeight="1" x14ac:dyDescent="0.2"/>
    <row r="10" spans="1:18" x14ac:dyDescent="0.2">
      <c r="C10" s="33"/>
      <c r="D10" s="33"/>
      <c r="E10" s="33"/>
      <c r="F10" s="33"/>
      <c r="G10" s="33"/>
      <c r="H10" s="33"/>
      <c r="I10" s="33"/>
      <c r="J10" s="33"/>
      <c r="K10" s="33"/>
      <c r="L10" s="33"/>
      <c r="M10" s="33"/>
      <c r="N10" s="33"/>
      <c r="O10" s="33"/>
      <c r="P10" s="33"/>
      <c r="Q10" s="33"/>
    </row>
    <row r="11" spans="1:18" ht="25.5" x14ac:dyDescent="0.2">
      <c r="A11" s="4"/>
      <c r="B11" s="40" t="s">
        <v>37</v>
      </c>
      <c r="C11" s="33"/>
      <c r="D11" s="41" t="s">
        <v>36</v>
      </c>
      <c r="E11" s="33"/>
      <c r="F11" s="817" t="s">
        <v>46</v>
      </c>
      <c r="G11" s="817"/>
      <c r="H11" s="817"/>
      <c r="I11" s="817"/>
      <c r="J11" s="817"/>
      <c r="K11" s="74"/>
      <c r="L11" s="41" t="s">
        <v>21</v>
      </c>
      <c r="M11" s="43"/>
      <c r="N11" s="33"/>
      <c r="O11" s="33"/>
      <c r="P11" s="41" t="s">
        <v>22</v>
      </c>
      <c r="Q11" s="33"/>
    </row>
    <row r="12" spans="1:18" x14ac:dyDescent="0.2">
      <c r="A12" s="4"/>
      <c r="B12" s="4"/>
      <c r="C12" s="33"/>
      <c r="D12" s="33"/>
      <c r="E12" s="33"/>
      <c r="F12" s="33"/>
      <c r="G12" s="33"/>
      <c r="H12" s="33"/>
      <c r="I12" s="33"/>
      <c r="J12" s="75"/>
      <c r="K12" s="75"/>
      <c r="L12" s="33"/>
      <c r="M12" s="33"/>
      <c r="N12" s="33"/>
      <c r="O12" s="33"/>
      <c r="P12" s="33"/>
      <c r="Q12" s="33"/>
    </row>
    <row r="13" spans="1:18" x14ac:dyDescent="0.2">
      <c r="A13" s="4"/>
      <c r="B13" s="65"/>
      <c r="C13" s="33"/>
      <c r="D13" s="33"/>
      <c r="E13" s="33"/>
      <c r="F13" s="813" t="s">
        <v>155</v>
      </c>
      <c r="G13" s="813"/>
      <c r="H13" s="813"/>
      <c r="I13" s="813"/>
      <c r="J13" s="813"/>
      <c r="K13" s="75"/>
      <c r="L13" s="33"/>
      <c r="M13" s="33"/>
      <c r="N13" s="33"/>
      <c r="O13" s="33"/>
      <c r="P13" s="33"/>
      <c r="Q13" s="33"/>
    </row>
    <row r="14" spans="1:18" x14ac:dyDescent="0.2">
      <c r="A14" s="4"/>
      <c r="B14" s="65"/>
      <c r="C14" s="76"/>
      <c r="D14" s="811"/>
      <c r="E14" s="811"/>
      <c r="F14" s="811"/>
      <c r="G14" s="811"/>
      <c r="H14" s="811"/>
      <c r="I14" s="811"/>
      <c r="J14" s="811"/>
      <c r="K14" s="811"/>
      <c r="L14" s="811"/>
      <c r="M14" s="811"/>
      <c r="N14" s="811"/>
      <c r="O14" s="811"/>
      <c r="P14" s="811"/>
      <c r="Q14" s="33"/>
    </row>
    <row r="15" spans="1:18" x14ac:dyDescent="0.2">
      <c r="A15" s="4"/>
      <c r="B15" s="65"/>
      <c r="C15" s="33"/>
      <c r="D15" s="33"/>
      <c r="E15" s="33"/>
      <c r="F15" s="165" t="s">
        <v>20</v>
      </c>
      <c r="G15" s="165"/>
      <c r="H15" s="165"/>
      <c r="I15" s="165"/>
      <c r="J15" s="165" t="s">
        <v>8</v>
      </c>
      <c r="K15" s="75"/>
      <c r="L15" s="165" t="s">
        <v>20</v>
      </c>
      <c r="M15" s="165"/>
      <c r="N15" s="75"/>
      <c r="O15" s="75"/>
      <c r="P15" s="75" t="s">
        <v>8</v>
      </c>
      <c r="Q15" s="33"/>
    </row>
    <row r="16" spans="1:18" x14ac:dyDescent="0.2">
      <c r="A16" s="4"/>
      <c r="B16" s="65"/>
      <c r="C16" s="33"/>
      <c r="D16" s="78" t="s">
        <v>11</v>
      </c>
      <c r="E16" s="33"/>
      <c r="F16" s="33"/>
      <c r="G16" s="33"/>
      <c r="H16" s="33"/>
      <c r="I16" s="33"/>
      <c r="J16" s="33"/>
      <c r="K16" s="33"/>
      <c r="L16" s="33"/>
      <c r="M16" s="33"/>
      <c r="N16" s="33"/>
      <c r="O16" s="33"/>
      <c r="P16" s="33"/>
      <c r="Q16" s="33"/>
    </row>
    <row r="17" spans="1:18" x14ac:dyDescent="0.2">
      <c r="A17" s="4"/>
      <c r="B17" s="65">
        <v>1</v>
      </c>
      <c r="C17" s="33"/>
      <c r="D17" s="77" t="s">
        <v>12</v>
      </c>
      <c r="E17" s="33"/>
      <c r="F17" s="79">
        <f>'3. Data_Input_Sheet'!E55</f>
        <v>0.56000000000000016</v>
      </c>
      <c r="G17" s="79"/>
      <c r="H17" s="356"/>
      <c r="I17" s="181"/>
      <c r="J17" s="46">
        <f>$J$26*F17</f>
        <v>17190886.00850815</v>
      </c>
      <c r="K17" s="33"/>
      <c r="L17" s="79">
        <f>'3. Data_Input_Sheet'!E62</f>
        <v>3.7100000000000001E-2</v>
      </c>
      <c r="M17" s="79"/>
      <c r="N17" s="356"/>
      <c r="O17" s="181"/>
      <c r="P17" s="46">
        <f>L17*J17</f>
        <v>637781.87091565237</v>
      </c>
      <c r="Q17" s="33"/>
    </row>
    <row r="18" spans="1:18" x14ac:dyDescent="0.2">
      <c r="A18" s="4"/>
      <c r="B18" s="65">
        <v>2</v>
      </c>
      <c r="C18" s="33"/>
      <c r="D18" s="77" t="s">
        <v>13</v>
      </c>
      <c r="E18" s="33"/>
      <c r="F18" s="80">
        <f>'3. Data_Input_Sheet'!E56</f>
        <v>0.04</v>
      </c>
      <c r="G18" s="79"/>
      <c r="H18" s="356"/>
      <c r="I18" s="181"/>
      <c r="J18" s="53">
        <f>$J$26*F18</f>
        <v>1227920.4291791532</v>
      </c>
      <c r="K18" s="33"/>
      <c r="L18" s="80">
        <f>'3. Data_Input_Sheet'!E63</f>
        <v>2.29E-2</v>
      </c>
      <c r="M18" s="79"/>
      <c r="N18" s="356"/>
      <c r="O18" s="181"/>
      <c r="P18" s="53">
        <f>L18*J18</f>
        <v>28119.377828202607</v>
      </c>
      <c r="Q18" s="33"/>
    </row>
    <row r="19" spans="1:18" ht="13.5" thickBot="1" x14ac:dyDescent="0.25">
      <c r="A19" s="4"/>
      <c r="B19" s="65">
        <v>3</v>
      </c>
      <c r="C19" s="33"/>
      <c r="D19" s="81" t="s">
        <v>14</v>
      </c>
      <c r="E19" s="33"/>
      <c r="F19" s="82">
        <f>SUM(F17:F18)</f>
        <v>0.6000000000000002</v>
      </c>
      <c r="G19" s="82"/>
      <c r="H19" s="83"/>
      <c r="I19" s="168"/>
      <c r="J19" s="84">
        <f>SUM(J17:J18)</f>
        <v>18418806.437687304</v>
      </c>
      <c r="K19" s="33"/>
      <c r="L19" s="82">
        <f>IF(F19=0,0,SUMPRODUCT(F17:F18,L17:L18)/F19)</f>
        <v>3.6153333333333329E-2</v>
      </c>
      <c r="M19" s="87"/>
      <c r="N19" s="33"/>
      <c r="O19" s="29"/>
      <c r="P19" s="84">
        <f>SUM(P17:P18)</f>
        <v>665901.24874385493</v>
      </c>
      <c r="Q19" s="33"/>
    </row>
    <row r="20" spans="1:18" ht="13.5" thickTop="1" x14ac:dyDescent="0.2">
      <c r="A20" s="4"/>
      <c r="B20" s="65"/>
      <c r="C20" s="33"/>
      <c r="D20" s="33"/>
      <c r="E20" s="33"/>
      <c r="F20" s="85"/>
      <c r="G20" s="85"/>
      <c r="H20" s="85"/>
      <c r="I20" s="167"/>
      <c r="J20" s="86"/>
      <c r="K20" s="33"/>
      <c r="L20" s="87"/>
      <c r="M20" s="87"/>
      <c r="N20" s="33"/>
      <c r="O20" s="29"/>
      <c r="P20" s="86"/>
      <c r="Q20" s="33"/>
    </row>
    <row r="21" spans="1:18" x14ac:dyDescent="0.2">
      <c r="A21" s="4"/>
      <c r="B21" s="65"/>
      <c r="C21" s="33"/>
      <c r="D21" s="78" t="s">
        <v>15</v>
      </c>
      <c r="E21" s="33"/>
      <c r="F21" s="85"/>
      <c r="G21" s="85"/>
      <c r="H21" s="85"/>
      <c r="I21" s="167"/>
      <c r="J21" s="86"/>
      <c r="K21" s="33"/>
      <c r="L21" s="87"/>
      <c r="M21" s="87"/>
      <c r="N21" s="33"/>
      <c r="O21" s="29"/>
      <c r="P21" s="86"/>
      <c r="Q21" s="33"/>
    </row>
    <row r="22" spans="1:18" x14ac:dyDescent="0.2">
      <c r="A22" s="4"/>
      <c r="B22" s="69">
        <v>4</v>
      </c>
      <c r="C22" s="88"/>
      <c r="D22" s="89" t="s">
        <v>16</v>
      </c>
      <c r="E22" s="88"/>
      <c r="F22" s="90">
        <f>'3. Data_Input_Sheet'!E57</f>
        <v>0.4</v>
      </c>
      <c r="G22" s="90"/>
      <c r="H22" s="356"/>
      <c r="I22" s="181"/>
      <c r="J22" s="47">
        <f>$J$26*F22</f>
        <v>12279204.291791532</v>
      </c>
      <c r="K22" s="88"/>
      <c r="L22" s="91">
        <f>'3. Data_Input_Sheet'!E64</f>
        <v>0.09</v>
      </c>
      <c r="M22" s="91"/>
      <c r="N22" s="356"/>
      <c r="O22" s="181"/>
      <c r="P22" s="47">
        <f>L22*J22</f>
        <v>1105128.3862612378</v>
      </c>
      <c r="Q22" s="88"/>
      <c r="R22" s="15"/>
    </row>
    <row r="23" spans="1:18" x14ac:dyDescent="0.2">
      <c r="A23" s="4"/>
      <c r="B23" s="69">
        <v>5</v>
      </c>
      <c r="C23" s="88"/>
      <c r="D23" s="89" t="s">
        <v>17</v>
      </c>
      <c r="E23" s="88"/>
      <c r="F23" s="92">
        <f>'3. Data_Input_Sheet'!E58</f>
        <v>0</v>
      </c>
      <c r="G23" s="91"/>
      <c r="H23" s="356"/>
      <c r="I23" s="181"/>
      <c r="J23" s="54">
        <f>$J$26*F23</f>
        <v>0</v>
      </c>
      <c r="K23" s="88"/>
      <c r="L23" s="92">
        <f>'3. Data_Input_Sheet'!E65</f>
        <v>0</v>
      </c>
      <c r="M23" s="91"/>
      <c r="N23" s="356"/>
      <c r="O23" s="181"/>
      <c r="P23" s="54">
        <f>L23*J23</f>
        <v>0</v>
      </c>
      <c r="Q23" s="88"/>
      <c r="R23" s="15"/>
    </row>
    <row r="24" spans="1:18" ht="13.5" thickBot="1" x14ac:dyDescent="0.25">
      <c r="A24" s="4"/>
      <c r="B24" s="65">
        <v>6</v>
      </c>
      <c r="C24" s="33"/>
      <c r="D24" s="81" t="s">
        <v>18</v>
      </c>
      <c r="E24" s="33"/>
      <c r="F24" s="82">
        <f>SUM(F22:F23)</f>
        <v>0.4</v>
      </c>
      <c r="G24" s="82"/>
      <c r="H24" s="83"/>
      <c r="I24" s="83"/>
      <c r="J24" s="84">
        <f>SUM(J22:J23)</f>
        <v>12279204.291791532</v>
      </c>
      <c r="K24" s="33"/>
      <c r="L24" s="82">
        <f>IF(F24=0,0,SUMPRODUCT(F22:F23,L22:L23)/F24)</f>
        <v>8.9999999999999983E-2</v>
      </c>
      <c r="M24" s="87"/>
      <c r="N24" s="33"/>
      <c r="O24" s="33"/>
      <c r="P24" s="84">
        <f>SUM(P22:P23)</f>
        <v>1105128.3862612378</v>
      </c>
      <c r="Q24" s="33"/>
    </row>
    <row r="25" spans="1:18" ht="13.5" thickTop="1" x14ac:dyDescent="0.2">
      <c r="A25" s="4"/>
      <c r="B25" s="65"/>
      <c r="C25" s="33"/>
      <c r="D25" s="33"/>
      <c r="E25" s="33"/>
      <c r="F25" s="33"/>
      <c r="G25" s="33"/>
      <c r="H25" s="33"/>
      <c r="I25" s="33"/>
      <c r="J25" s="86"/>
      <c r="K25" s="33"/>
      <c r="L25" s="87"/>
      <c r="M25" s="87"/>
      <c r="N25" s="33"/>
      <c r="O25" s="33"/>
      <c r="P25" s="86"/>
      <c r="Q25" s="33"/>
    </row>
    <row r="26" spans="1:18" ht="13.5" thickBot="1" x14ac:dyDescent="0.25">
      <c r="A26" s="4"/>
      <c r="B26" s="65">
        <v>7</v>
      </c>
      <c r="C26" s="33"/>
      <c r="D26" s="78" t="s">
        <v>19</v>
      </c>
      <c r="E26" s="33"/>
      <c r="F26" s="173">
        <f>SUM(F19,F24)</f>
        <v>1.0000000000000002</v>
      </c>
      <c r="G26" s="93"/>
      <c r="H26" s="93"/>
      <c r="I26" s="93"/>
      <c r="J26" s="94">
        <f>'4. Rate_Base'!G18</f>
        <v>30698010.729478829</v>
      </c>
      <c r="K26" s="33"/>
      <c r="L26" s="95">
        <f>(L19*F19)+(L24*F24)</f>
        <v>5.7692E-2</v>
      </c>
      <c r="M26" s="87"/>
      <c r="N26" s="33"/>
      <c r="O26" s="33"/>
      <c r="P26" s="94">
        <f>P19+P24</f>
        <v>1771029.6350050927</v>
      </c>
      <c r="Q26" s="33"/>
    </row>
    <row r="27" spans="1:18" ht="13.5" thickTop="1" x14ac:dyDescent="0.2">
      <c r="A27" s="4"/>
      <c r="B27" s="65"/>
      <c r="C27" s="33"/>
      <c r="D27" s="33"/>
      <c r="E27" s="33"/>
      <c r="F27" s="33"/>
      <c r="G27" s="33"/>
      <c r="H27" s="33"/>
      <c r="I27" s="33"/>
      <c r="J27" s="33"/>
      <c r="K27" s="33"/>
      <c r="L27" s="33"/>
      <c r="M27" s="33"/>
      <c r="N27" s="33"/>
      <c r="O27" s="33"/>
      <c r="P27" s="33"/>
      <c r="Q27" s="33"/>
    </row>
    <row r="28" spans="1:18" x14ac:dyDescent="0.2">
      <c r="A28" s="4"/>
      <c r="B28" s="4"/>
      <c r="C28" s="33"/>
      <c r="D28" s="33"/>
      <c r="E28" s="33"/>
      <c r="F28" s="33"/>
      <c r="G28" s="33"/>
      <c r="K28" s="33"/>
      <c r="L28" s="33"/>
      <c r="M28" s="33"/>
      <c r="N28" s="33"/>
      <c r="O28" s="33"/>
      <c r="P28" s="33"/>
      <c r="Q28" s="33"/>
    </row>
    <row r="29" spans="1:18" x14ac:dyDescent="0.2">
      <c r="A29" s="4"/>
      <c r="B29" s="65"/>
      <c r="C29" s="33"/>
      <c r="D29" s="33"/>
      <c r="E29" s="33"/>
      <c r="F29" s="813" t="str">
        <f>'1. Info'!AC1</f>
        <v>Settlement Agreement</v>
      </c>
      <c r="G29" s="813"/>
      <c r="H29" s="813"/>
      <c r="I29" s="813"/>
      <c r="J29" s="813"/>
      <c r="K29" s="33"/>
      <c r="L29" s="33"/>
      <c r="M29" s="33"/>
      <c r="N29" s="33"/>
      <c r="O29" s="33"/>
      <c r="P29" s="33"/>
      <c r="Q29" s="33"/>
    </row>
    <row r="30" spans="1:18" x14ac:dyDescent="0.2">
      <c r="A30" s="4"/>
      <c r="B30" s="65"/>
      <c r="C30" s="76"/>
      <c r="D30" s="812"/>
      <c r="E30" s="812"/>
      <c r="F30" s="812"/>
      <c r="G30" s="812"/>
      <c r="H30" s="812"/>
      <c r="I30" s="812"/>
      <c r="J30" s="812"/>
      <c r="K30" s="812"/>
      <c r="L30" s="812"/>
      <c r="M30" s="812"/>
      <c r="N30" s="812"/>
      <c r="O30" s="812"/>
      <c r="P30" s="812"/>
      <c r="Q30" s="33"/>
    </row>
    <row r="31" spans="1:18" x14ac:dyDescent="0.2">
      <c r="A31" s="4"/>
      <c r="B31" s="65"/>
      <c r="C31" s="33"/>
      <c r="D31" s="33"/>
      <c r="E31" s="33"/>
      <c r="F31" s="165" t="s">
        <v>20</v>
      </c>
      <c r="G31" s="165"/>
      <c r="H31" s="165"/>
      <c r="I31" s="165"/>
      <c r="J31" s="165" t="s">
        <v>8</v>
      </c>
      <c r="K31" s="75"/>
      <c r="L31" s="165" t="s">
        <v>20</v>
      </c>
      <c r="M31" s="165"/>
      <c r="N31" s="75"/>
      <c r="O31" s="75"/>
      <c r="P31" s="75" t="s">
        <v>8</v>
      </c>
      <c r="Q31" s="33"/>
    </row>
    <row r="32" spans="1:18" x14ac:dyDescent="0.2">
      <c r="A32" s="4"/>
      <c r="B32" s="65"/>
      <c r="C32" s="33"/>
      <c r="D32" s="78" t="s">
        <v>11</v>
      </c>
      <c r="E32" s="33"/>
      <c r="F32" s="33"/>
      <c r="G32" s="33"/>
      <c r="H32" s="33"/>
      <c r="I32" s="33"/>
      <c r="J32" s="33"/>
      <c r="K32" s="33"/>
      <c r="L32" s="33"/>
      <c r="M32" s="33"/>
      <c r="N32" s="33"/>
      <c r="O32" s="33"/>
      <c r="P32" s="33"/>
      <c r="Q32" s="33"/>
    </row>
    <row r="33" spans="1:17" x14ac:dyDescent="0.2">
      <c r="A33" s="4"/>
      <c r="B33" s="65">
        <v>1</v>
      </c>
      <c r="C33" s="33"/>
      <c r="D33" s="77" t="s">
        <v>12</v>
      </c>
      <c r="E33" s="33"/>
      <c r="F33" s="79">
        <f>'3. Data_Input_Sheet'!M55</f>
        <v>0.56000000000000016</v>
      </c>
      <c r="G33" s="79"/>
      <c r="H33" s="356"/>
      <c r="I33" s="181"/>
      <c r="J33" s="46">
        <f>$J$42*F33</f>
        <v>17102568.85672494</v>
      </c>
      <c r="K33" s="33"/>
      <c r="L33" s="79">
        <f>'3. Data_Input_Sheet'!M62</f>
        <v>3.95E-2</v>
      </c>
      <c r="M33" s="79"/>
      <c r="N33" s="356"/>
      <c r="O33" s="181"/>
      <c r="P33" s="46">
        <f>L33*J33</f>
        <v>675551.4698406352</v>
      </c>
      <c r="Q33" s="33"/>
    </row>
    <row r="34" spans="1:17" x14ac:dyDescent="0.2">
      <c r="A34" s="4"/>
      <c r="B34" s="65">
        <v>2</v>
      </c>
      <c r="C34" s="33"/>
      <c r="D34" s="77" t="s">
        <v>13</v>
      </c>
      <c r="E34" s="33"/>
      <c r="F34" s="80">
        <f>'3. Data_Input_Sheet'!M56</f>
        <v>0.04</v>
      </c>
      <c r="G34" s="79"/>
      <c r="H34" s="356"/>
      <c r="I34" s="181"/>
      <c r="J34" s="53">
        <f>$J$42*F34</f>
        <v>1221612.0611946383</v>
      </c>
      <c r="K34" s="33"/>
      <c r="L34" s="80">
        <f>'3. Data_Input_Sheet'!M63</f>
        <v>2.8199999999999999E-2</v>
      </c>
      <c r="M34" s="79"/>
      <c r="N34" s="356"/>
      <c r="O34" s="181"/>
      <c r="P34" s="53">
        <f>L34*J34</f>
        <v>34449.460125688798</v>
      </c>
      <c r="Q34" s="33"/>
    </row>
    <row r="35" spans="1:17" ht="13.5" thickBot="1" x14ac:dyDescent="0.25">
      <c r="A35" s="4"/>
      <c r="B35" s="65">
        <v>3</v>
      </c>
      <c r="C35" s="33"/>
      <c r="D35" s="81" t="s">
        <v>14</v>
      </c>
      <c r="E35" s="33"/>
      <c r="F35" s="82">
        <f>SUM(F33:F34)</f>
        <v>0.6000000000000002</v>
      </c>
      <c r="G35" s="87"/>
      <c r="H35" s="85"/>
      <c r="I35" s="167"/>
      <c r="J35" s="84">
        <f>SUM(J33:J34)</f>
        <v>18324180.91791958</v>
      </c>
      <c r="K35" s="33"/>
      <c r="L35" s="82">
        <f>IF(F35=0,0,SUMPRODUCT(F33:F34,L33:L34)/F35)</f>
        <v>3.8746666666666665E-2</v>
      </c>
      <c r="M35" s="87"/>
      <c r="N35" s="33"/>
      <c r="O35" s="29"/>
      <c r="P35" s="84">
        <f>SUM(P33:P34)</f>
        <v>710000.92996632401</v>
      </c>
      <c r="Q35" s="33"/>
    </row>
    <row r="36" spans="1:17" ht="13.5" thickTop="1" x14ac:dyDescent="0.2">
      <c r="A36" s="4"/>
      <c r="B36" s="65"/>
      <c r="C36" s="33"/>
      <c r="D36" s="33"/>
      <c r="E36" s="33"/>
      <c r="F36" s="85"/>
      <c r="G36" s="85"/>
      <c r="H36" s="85"/>
      <c r="I36" s="167"/>
      <c r="J36" s="86"/>
      <c r="K36" s="33"/>
      <c r="L36" s="87"/>
      <c r="M36" s="87"/>
      <c r="N36" s="33"/>
      <c r="O36" s="29"/>
      <c r="P36" s="86"/>
      <c r="Q36" s="33"/>
    </row>
    <row r="37" spans="1:17" x14ac:dyDescent="0.2">
      <c r="A37" s="4"/>
      <c r="B37" s="65"/>
      <c r="C37" s="33"/>
      <c r="D37" s="78" t="s">
        <v>15</v>
      </c>
      <c r="E37" s="33"/>
      <c r="F37" s="85"/>
      <c r="G37" s="85"/>
      <c r="H37" s="85"/>
      <c r="I37" s="167"/>
      <c r="J37" s="86"/>
      <c r="K37" s="33"/>
      <c r="L37" s="87"/>
      <c r="M37" s="87"/>
      <c r="N37" s="33"/>
      <c r="O37" s="29"/>
      <c r="P37" s="86"/>
      <c r="Q37" s="33"/>
    </row>
    <row r="38" spans="1:17" x14ac:dyDescent="0.2">
      <c r="A38" s="4"/>
      <c r="B38" s="69">
        <v>4</v>
      </c>
      <c r="C38" s="88"/>
      <c r="D38" s="89" t="s">
        <v>16</v>
      </c>
      <c r="E38" s="88"/>
      <c r="F38" s="90">
        <f>'3. Data_Input_Sheet'!M57</f>
        <v>0.4</v>
      </c>
      <c r="G38" s="90"/>
      <c r="H38" s="356"/>
      <c r="I38" s="181"/>
      <c r="J38" s="47">
        <f>$J$42*F38</f>
        <v>12216120.611946382</v>
      </c>
      <c r="K38" s="88"/>
      <c r="L38" s="91">
        <f>'3. Data_Input_Sheet'!M64</f>
        <v>8.9800000000000005E-2</v>
      </c>
      <c r="M38" s="91"/>
      <c r="N38" s="356"/>
      <c r="O38" s="181"/>
      <c r="P38" s="47">
        <f>L38*J38</f>
        <v>1097007.630952785</v>
      </c>
      <c r="Q38" s="33"/>
    </row>
    <row r="39" spans="1:17" x14ac:dyDescent="0.2">
      <c r="A39" s="4"/>
      <c r="B39" s="69">
        <v>5</v>
      </c>
      <c r="C39" s="88"/>
      <c r="D39" s="89" t="s">
        <v>17</v>
      </c>
      <c r="E39" s="88"/>
      <c r="F39" s="92">
        <f>'3. Data_Input_Sheet'!M58</f>
        <v>0</v>
      </c>
      <c r="G39" s="91"/>
      <c r="H39" s="356"/>
      <c r="I39" s="181"/>
      <c r="J39" s="54">
        <f>$J$42*F39</f>
        <v>0</v>
      </c>
      <c r="K39" s="88"/>
      <c r="L39" s="92">
        <f>'3. Data_Input_Sheet'!M65</f>
        <v>0</v>
      </c>
      <c r="M39" s="91"/>
      <c r="N39" s="356"/>
      <c r="O39" s="181"/>
      <c r="P39" s="54">
        <f>L39*J39</f>
        <v>0</v>
      </c>
      <c r="Q39" s="33"/>
    </row>
    <row r="40" spans="1:17" ht="13.5" thickBot="1" x14ac:dyDescent="0.25">
      <c r="A40" s="4"/>
      <c r="B40" s="65">
        <v>6</v>
      </c>
      <c r="C40" s="33"/>
      <c r="D40" s="81" t="s">
        <v>18</v>
      </c>
      <c r="E40" s="33"/>
      <c r="F40" s="82">
        <f>SUM(F38:F39)</f>
        <v>0.4</v>
      </c>
      <c r="G40" s="87"/>
      <c r="H40" s="85"/>
      <c r="I40" s="85"/>
      <c r="J40" s="84">
        <f>SUM(J38:J39)</f>
        <v>12216120.611946382</v>
      </c>
      <c r="K40" s="33"/>
      <c r="L40" s="82">
        <f>IF(F40=0,0,SUMPRODUCT(F38:F39,L38:L39)/F40)</f>
        <v>8.9799999999999991E-2</v>
      </c>
      <c r="M40" s="87"/>
      <c r="N40" s="33"/>
      <c r="O40" s="33"/>
      <c r="P40" s="84">
        <f>SUM(P38:P39)</f>
        <v>1097007.630952785</v>
      </c>
      <c r="Q40" s="33"/>
    </row>
    <row r="41" spans="1:17" ht="13.5" thickTop="1" x14ac:dyDescent="0.2">
      <c r="A41" s="4"/>
      <c r="B41" s="65"/>
      <c r="C41" s="33"/>
      <c r="D41" s="33"/>
      <c r="E41" s="33"/>
      <c r="F41" s="33"/>
      <c r="G41" s="33"/>
      <c r="H41" s="33"/>
      <c r="I41" s="33"/>
      <c r="J41" s="86"/>
      <c r="K41" s="33"/>
      <c r="L41" s="87"/>
      <c r="M41" s="87"/>
      <c r="N41" s="33"/>
      <c r="O41" s="33"/>
      <c r="P41" s="86"/>
      <c r="Q41" s="33"/>
    </row>
    <row r="42" spans="1:17" ht="13.5" thickBot="1" x14ac:dyDescent="0.25">
      <c r="A42" s="4"/>
      <c r="B42" s="65">
        <v>7</v>
      </c>
      <c r="C42" s="33"/>
      <c r="D42" s="78" t="s">
        <v>19</v>
      </c>
      <c r="E42" s="33"/>
      <c r="F42" s="173">
        <f>F35+F40</f>
        <v>1.0000000000000002</v>
      </c>
      <c r="G42" s="116"/>
      <c r="H42" s="116"/>
      <c r="I42" s="116"/>
      <c r="J42" s="94">
        <f>'4. Rate_Base'!O18</f>
        <v>30540301.529865954</v>
      </c>
      <c r="K42" s="33"/>
      <c r="L42" s="95">
        <f>(L35*F35)+(L40*F40)</f>
        <v>5.9168000000000012E-2</v>
      </c>
      <c r="M42" s="87"/>
      <c r="N42" s="33"/>
      <c r="O42" s="33"/>
      <c r="P42" s="94">
        <f>P35+P40</f>
        <v>1807008.560919109</v>
      </c>
      <c r="Q42" s="33"/>
    </row>
    <row r="43" spans="1:17" ht="13.5" thickTop="1" x14ac:dyDescent="0.2">
      <c r="A43" s="4"/>
      <c r="B43" s="65"/>
      <c r="C43" s="33"/>
      <c r="D43" s="33"/>
      <c r="E43" s="33"/>
      <c r="F43" s="33"/>
      <c r="G43" s="33"/>
      <c r="H43" s="33"/>
      <c r="I43" s="33"/>
      <c r="J43" s="33"/>
      <c r="K43" s="33"/>
      <c r="L43" s="33"/>
      <c r="M43" s="33"/>
      <c r="N43" s="33"/>
      <c r="O43" s="33"/>
      <c r="P43" s="33"/>
      <c r="Q43" s="33"/>
    </row>
    <row r="44" spans="1:17" x14ac:dyDescent="0.2">
      <c r="A44" s="4"/>
      <c r="B44" s="4"/>
      <c r="C44" s="33"/>
      <c r="D44" s="33"/>
      <c r="E44" s="33"/>
      <c r="F44" s="33"/>
      <c r="G44" s="33"/>
      <c r="H44" s="33"/>
      <c r="I44" s="33"/>
      <c r="J44" s="33"/>
      <c r="K44" s="33"/>
      <c r="L44" s="33"/>
      <c r="M44" s="33"/>
      <c r="N44" s="33"/>
      <c r="O44" s="33"/>
      <c r="P44" s="33"/>
      <c r="Q44" s="33"/>
    </row>
    <row r="45" spans="1:17" x14ac:dyDescent="0.2">
      <c r="A45" s="4"/>
      <c r="B45" s="65"/>
      <c r="C45" s="33"/>
      <c r="D45" s="33"/>
      <c r="E45" s="33"/>
      <c r="F45" s="813" t="s">
        <v>154</v>
      </c>
      <c r="G45" s="813"/>
      <c r="H45" s="813"/>
      <c r="I45" s="813"/>
      <c r="J45" s="813"/>
      <c r="K45" s="33"/>
      <c r="L45" s="33"/>
      <c r="M45" s="33"/>
      <c r="N45" s="33"/>
      <c r="O45" s="33"/>
      <c r="P45" s="33"/>
      <c r="Q45" s="33"/>
    </row>
    <row r="46" spans="1:17" x14ac:dyDescent="0.2">
      <c r="A46" s="4"/>
      <c r="B46" s="65"/>
      <c r="C46" s="33"/>
      <c r="D46" s="812"/>
      <c r="E46" s="812"/>
      <c r="F46" s="812"/>
      <c r="G46" s="812"/>
      <c r="H46" s="812"/>
      <c r="I46" s="812"/>
      <c r="J46" s="812"/>
      <c r="K46" s="812"/>
      <c r="L46" s="812"/>
      <c r="M46" s="812"/>
      <c r="N46" s="812"/>
      <c r="O46" s="812"/>
      <c r="P46" s="812"/>
      <c r="Q46" s="33"/>
    </row>
    <row r="47" spans="1:17" x14ac:dyDescent="0.2">
      <c r="A47" s="4"/>
      <c r="B47" s="65"/>
      <c r="C47" s="33"/>
      <c r="D47" s="33"/>
      <c r="E47" s="33"/>
      <c r="F47" s="165" t="s">
        <v>20</v>
      </c>
      <c r="G47" s="165"/>
      <c r="H47" s="165"/>
      <c r="I47" s="165"/>
      <c r="J47" s="165" t="s">
        <v>8</v>
      </c>
      <c r="K47" s="75"/>
      <c r="L47" s="165" t="s">
        <v>20</v>
      </c>
      <c r="M47" s="165"/>
      <c r="N47" s="75"/>
      <c r="O47" s="75"/>
      <c r="P47" s="165" t="s">
        <v>8</v>
      </c>
      <c r="Q47" s="33"/>
    </row>
    <row r="48" spans="1:17" x14ac:dyDescent="0.2">
      <c r="A48" s="4"/>
      <c r="B48" s="65"/>
      <c r="C48" s="33"/>
      <c r="D48" s="78" t="s">
        <v>11</v>
      </c>
      <c r="E48" s="33"/>
      <c r="F48" s="33"/>
      <c r="G48" s="33"/>
      <c r="H48" s="33"/>
      <c r="I48" s="33"/>
      <c r="J48" s="33"/>
      <c r="K48" s="33"/>
      <c r="L48" s="33"/>
      <c r="M48" s="33"/>
      <c r="N48" s="33"/>
      <c r="O48" s="33"/>
      <c r="P48" s="33"/>
      <c r="Q48" s="33"/>
    </row>
    <row r="49" spans="1:17" x14ac:dyDescent="0.2">
      <c r="A49" s="4"/>
      <c r="B49" s="65">
        <v>8</v>
      </c>
      <c r="C49" s="33"/>
      <c r="D49" s="77" t="s">
        <v>12</v>
      </c>
      <c r="E49" s="33"/>
      <c r="F49" s="79">
        <f>IF(ISBLANK('3. Data_Input_Sheet'!U55),F33,'3. Data_Input_Sheet'!U55)</f>
        <v>0.56000000000000016</v>
      </c>
      <c r="G49" s="79"/>
      <c r="H49" s="356"/>
      <c r="I49" s="181"/>
      <c r="J49" s="46">
        <f>$J$58*F49</f>
        <v>15889222.812484683</v>
      </c>
      <c r="K49" s="33"/>
      <c r="L49" s="79">
        <f>IF(ISBLANK('3. Data_Input_Sheet'!U62),L17,'3. Data_Input_Sheet'!U62)</f>
        <v>3.7100000000000001E-2</v>
      </c>
      <c r="M49" s="79"/>
      <c r="N49" s="356"/>
      <c r="O49" s="181"/>
      <c r="P49" s="46">
        <f>L49*J49</f>
        <v>589490.16634318174</v>
      </c>
      <c r="Q49" s="33"/>
    </row>
    <row r="50" spans="1:17" x14ac:dyDescent="0.2">
      <c r="A50" s="4"/>
      <c r="B50" s="65">
        <v>9</v>
      </c>
      <c r="C50" s="33"/>
      <c r="D50" s="77" t="s">
        <v>13</v>
      </c>
      <c r="E50" s="33"/>
      <c r="F50" s="80">
        <f>IF(ISBLANK('3. Data_Input_Sheet'!U56),F34,'3. Data_Input_Sheet'!U56)</f>
        <v>0.04</v>
      </c>
      <c r="G50" s="79"/>
      <c r="H50" s="356"/>
      <c r="I50" s="181"/>
      <c r="J50" s="53">
        <f>$J$58*F50</f>
        <v>1134944.4866060484</v>
      </c>
      <c r="K50" s="33"/>
      <c r="L50" s="80">
        <f>IF(ISBLANK('3. Data_Input_Sheet'!U63),L18,'3. Data_Input_Sheet'!U63)</f>
        <v>2.29E-2</v>
      </c>
      <c r="M50" s="79"/>
      <c r="N50" s="356"/>
      <c r="O50" s="181"/>
      <c r="P50" s="53">
        <f>L50*J50</f>
        <v>25990.228743278509</v>
      </c>
      <c r="Q50" s="33"/>
    </row>
    <row r="51" spans="1:17" ht="13.5" thickBot="1" x14ac:dyDescent="0.25">
      <c r="A51" s="4"/>
      <c r="B51" s="65">
        <v>10</v>
      </c>
      <c r="C51" s="33"/>
      <c r="D51" s="81" t="s">
        <v>14</v>
      </c>
      <c r="E51" s="33"/>
      <c r="F51" s="82">
        <f>SUM(F49:F50)</f>
        <v>0.6000000000000002</v>
      </c>
      <c r="G51" s="87"/>
      <c r="H51" s="85"/>
      <c r="I51" s="167"/>
      <c r="J51" s="84">
        <f>SUM(J49:J50)</f>
        <v>17024167.299090732</v>
      </c>
      <c r="K51" s="33"/>
      <c r="L51" s="82">
        <f>IF(F51=0,0,SUMPRODUCT(F49:F50,L49:L50)/F51)</f>
        <v>3.6153333333333329E-2</v>
      </c>
      <c r="M51" s="87"/>
      <c r="N51" s="33"/>
      <c r="O51" s="29"/>
      <c r="P51" s="84">
        <f>SUM(P49:P50)</f>
        <v>615480.39508646028</v>
      </c>
      <c r="Q51" s="33"/>
    </row>
    <row r="52" spans="1:17" ht="13.5" thickTop="1" x14ac:dyDescent="0.2">
      <c r="A52" s="4"/>
      <c r="B52" s="65"/>
      <c r="C52" s="33"/>
      <c r="D52" s="33"/>
      <c r="E52" s="33"/>
      <c r="F52" s="85"/>
      <c r="G52" s="85"/>
      <c r="H52" s="85"/>
      <c r="I52" s="167"/>
      <c r="J52" s="86"/>
      <c r="K52" s="33"/>
      <c r="L52" s="87"/>
      <c r="M52" s="87"/>
      <c r="N52" s="33"/>
      <c r="O52" s="29"/>
      <c r="P52" s="86"/>
      <c r="Q52" s="33"/>
    </row>
    <row r="53" spans="1:17" x14ac:dyDescent="0.2">
      <c r="A53" s="4"/>
      <c r="B53" s="65"/>
      <c r="C53" s="33"/>
      <c r="D53" s="78" t="s">
        <v>15</v>
      </c>
      <c r="E53" s="33"/>
      <c r="F53" s="85"/>
      <c r="G53" s="85"/>
      <c r="H53" s="85"/>
      <c r="I53" s="167"/>
      <c r="J53" s="86"/>
      <c r="K53" s="33"/>
      <c r="L53" s="87"/>
      <c r="M53" s="87"/>
      <c r="N53" s="33"/>
      <c r="O53" s="29"/>
      <c r="P53" s="86"/>
      <c r="Q53" s="33"/>
    </row>
    <row r="54" spans="1:17" x14ac:dyDescent="0.2">
      <c r="A54" s="4"/>
      <c r="B54" s="65">
        <v>11</v>
      </c>
      <c r="C54" s="33"/>
      <c r="D54" s="77" t="s">
        <v>16</v>
      </c>
      <c r="E54" s="33"/>
      <c r="F54" s="87">
        <f>IF(ISBLANK('3. Data_Input_Sheet'!U57),F38,'3. Data_Input_Sheet'!U57)</f>
        <v>0.4</v>
      </c>
      <c r="G54" s="85"/>
      <c r="H54" s="356"/>
      <c r="I54" s="181"/>
      <c r="J54" s="46">
        <f>$J$58*F54</f>
        <v>11349444.866060486</v>
      </c>
      <c r="K54" s="33"/>
      <c r="L54" s="79">
        <f>IF(ISBLANK('3. Data_Input_Sheet'!U64),L22,'3. Data_Input_Sheet'!U64)</f>
        <v>0.09</v>
      </c>
      <c r="M54" s="79"/>
      <c r="N54" s="356"/>
      <c r="O54" s="181"/>
      <c r="P54" s="46">
        <f>L54*J54</f>
        <v>1021450.0379454438</v>
      </c>
      <c r="Q54" s="33"/>
    </row>
    <row r="55" spans="1:17" x14ac:dyDescent="0.2">
      <c r="A55" s="4"/>
      <c r="B55" s="65">
        <v>12</v>
      </c>
      <c r="C55" s="33"/>
      <c r="D55" s="77" t="s">
        <v>17</v>
      </c>
      <c r="E55" s="33"/>
      <c r="F55" s="80">
        <f>IF(ISBLANK('3. Data_Input_Sheet'!U58),F39,'3. Data_Input_Sheet'!U58)</f>
        <v>0</v>
      </c>
      <c r="G55" s="167"/>
      <c r="H55" s="356"/>
      <c r="I55" s="181"/>
      <c r="J55" s="53">
        <f>$J$58*F55</f>
        <v>0</v>
      </c>
      <c r="K55" s="33"/>
      <c r="L55" s="80">
        <f>IF(ISBLANK('3. Data_Input_Sheet'!U65),L23,'3. Data_Input_Sheet'!U65)</f>
        <v>0</v>
      </c>
      <c r="M55" s="79"/>
      <c r="N55" s="356"/>
      <c r="O55" s="181"/>
      <c r="P55" s="53">
        <f>L55*J55</f>
        <v>0</v>
      </c>
      <c r="Q55" s="33"/>
    </row>
    <row r="56" spans="1:17" ht="13.5" thickBot="1" x14ac:dyDescent="0.25">
      <c r="A56" s="4"/>
      <c r="B56" s="65">
        <v>13</v>
      </c>
      <c r="C56" s="33"/>
      <c r="D56" s="81" t="s">
        <v>18</v>
      </c>
      <c r="E56" s="33"/>
      <c r="F56" s="82">
        <f>SUM(F54:F55)</f>
        <v>0.4</v>
      </c>
      <c r="G56" s="85"/>
      <c r="H56" s="85"/>
      <c r="I56" s="85"/>
      <c r="J56" s="84">
        <f>SUM(J54:J55)</f>
        <v>11349444.866060486</v>
      </c>
      <c r="K56" s="33"/>
      <c r="L56" s="82">
        <f>IF(F56=0,0,SUMPRODUCT(F54:F55,L54:L55)/F56)</f>
        <v>8.9999999999999983E-2</v>
      </c>
      <c r="M56" s="87"/>
      <c r="N56" s="33"/>
      <c r="O56" s="33"/>
      <c r="P56" s="84">
        <f>SUM(P54:P55)</f>
        <v>1021450.0379454438</v>
      </c>
      <c r="Q56" s="33"/>
    </row>
    <row r="57" spans="1:17" ht="13.5" thickTop="1" x14ac:dyDescent="0.2">
      <c r="A57" s="4"/>
      <c r="B57" s="65"/>
      <c r="C57" s="33"/>
      <c r="D57" s="33"/>
      <c r="E57" s="33"/>
      <c r="F57" s="33"/>
      <c r="G57" s="33"/>
      <c r="H57" s="33"/>
      <c r="I57" s="33"/>
      <c r="J57" s="86"/>
      <c r="K57" s="33"/>
      <c r="L57" s="87"/>
      <c r="M57" s="87"/>
      <c r="N57" s="33"/>
      <c r="O57" s="33"/>
      <c r="P57" s="86"/>
      <c r="Q57" s="33"/>
    </row>
    <row r="58" spans="1:17" ht="13.5" thickBot="1" x14ac:dyDescent="0.25">
      <c r="A58" s="4"/>
      <c r="B58" s="65">
        <v>14</v>
      </c>
      <c r="C58" s="33"/>
      <c r="D58" s="81" t="s">
        <v>19</v>
      </c>
      <c r="E58" s="33"/>
      <c r="F58" s="173">
        <f>F51+F56</f>
        <v>1.0000000000000002</v>
      </c>
      <c r="G58" s="116"/>
      <c r="H58" s="116"/>
      <c r="I58" s="116"/>
      <c r="J58" s="94">
        <f>'4. Rate_Base'!W18</f>
        <v>28373612.165151212</v>
      </c>
      <c r="K58" s="33"/>
      <c r="L58" s="95">
        <f>(L51*F51)+(L56*F56)</f>
        <v>5.7692E-2</v>
      </c>
      <c r="M58" s="87"/>
      <c r="N58" s="33"/>
      <c r="O58" s="33"/>
      <c r="P58" s="94">
        <f>P51+P56</f>
        <v>1636930.433031904</v>
      </c>
      <c r="Q58" s="33"/>
    </row>
    <row r="59" spans="1:17" ht="13.5" thickTop="1" x14ac:dyDescent="0.2">
      <c r="B59" s="33"/>
      <c r="C59" s="33"/>
      <c r="D59" s="33"/>
      <c r="E59" s="33"/>
      <c r="F59" s="33"/>
      <c r="G59" s="33"/>
      <c r="H59" s="33"/>
      <c r="I59" s="33"/>
      <c r="J59" s="33"/>
      <c r="K59" s="33"/>
      <c r="L59" s="33"/>
      <c r="M59" s="33"/>
      <c r="N59" s="33"/>
      <c r="O59" s="33"/>
      <c r="P59" s="33"/>
      <c r="Q59" s="33"/>
    </row>
    <row r="61" spans="1:17" x14ac:dyDescent="0.2">
      <c r="B61" s="806" t="s">
        <v>38</v>
      </c>
      <c r="C61" s="806"/>
      <c r="D61" s="806"/>
      <c r="E61" s="806"/>
      <c r="F61" s="806"/>
      <c r="G61" s="806"/>
      <c r="H61" s="806"/>
      <c r="I61" s="806"/>
      <c r="J61" s="806"/>
      <c r="K61" s="806"/>
      <c r="L61" s="806"/>
      <c r="M61" s="806"/>
      <c r="N61" s="806"/>
      <c r="O61" s="806"/>
      <c r="P61" s="806"/>
    </row>
    <row r="62" spans="1:17" x14ac:dyDescent="0.2">
      <c r="B62" s="447"/>
      <c r="C62" s="447"/>
      <c r="D62" s="447"/>
      <c r="E62" s="447"/>
      <c r="F62" s="447"/>
      <c r="G62" s="447"/>
      <c r="H62" s="447"/>
      <c r="I62" s="447"/>
      <c r="J62" s="447"/>
      <c r="K62" s="447"/>
      <c r="L62" s="447"/>
      <c r="M62" s="447"/>
      <c r="N62" s="447"/>
      <c r="O62" s="447"/>
      <c r="P62" s="447"/>
    </row>
    <row r="63" spans="1:17" x14ac:dyDescent="0.2">
      <c r="B63" s="354"/>
      <c r="D63" s="785"/>
      <c r="E63" s="785"/>
      <c r="F63" s="785"/>
      <c r="G63" s="785"/>
      <c r="H63" s="785"/>
      <c r="I63" s="785"/>
      <c r="J63" s="785"/>
      <c r="K63" s="785"/>
      <c r="L63" s="785"/>
      <c r="M63" s="785"/>
      <c r="N63" s="785"/>
      <c r="O63" s="785"/>
      <c r="P63" s="785"/>
    </row>
    <row r="64" spans="1:17" x14ac:dyDescent="0.2">
      <c r="B64" s="354"/>
      <c r="D64" s="785"/>
      <c r="E64" s="785"/>
      <c r="F64" s="785"/>
      <c r="G64" s="785"/>
      <c r="H64" s="785"/>
      <c r="I64" s="785"/>
      <c r="J64" s="785"/>
      <c r="K64" s="785"/>
      <c r="L64" s="785"/>
      <c r="M64" s="785"/>
      <c r="N64" s="785"/>
      <c r="O64" s="785"/>
      <c r="P64" s="785"/>
    </row>
    <row r="65" spans="2:16" x14ac:dyDescent="0.2">
      <c r="B65" s="354"/>
      <c r="D65" s="785"/>
      <c r="E65" s="785"/>
      <c r="F65" s="785"/>
      <c r="G65" s="785"/>
      <c r="H65" s="785"/>
      <c r="I65" s="785"/>
      <c r="J65" s="785"/>
      <c r="K65" s="785"/>
      <c r="L65" s="785"/>
      <c r="M65" s="785"/>
      <c r="N65" s="785"/>
      <c r="O65" s="785"/>
      <c r="P65" s="785"/>
    </row>
    <row r="66" spans="2:16" x14ac:dyDescent="0.2">
      <c r="B66" s="354"/>
      <c r="D66" s="785"/>
      <c r="E66" s="785"/>
      <c r="F66" s="785"/>
      <c r="G66" s="785"/>
      <c r="H66" s="785"/>
      <c r="I66" s="785"/>
      <c r="J66" s="785"/>
      <c r="K66" s="785"/>
      <c r="L66" s="785"/>
      <c r="M66" s="785"/>
      <c r="N66" s="785"/>
      <c r="O66" s="785"/>
      <c r="P66" s="785"/>
    </row>
    <row r="67" spans="2:16" x14ac:dyDescent="0.2">
      <c r="B67" s="354"/>
      <c r="D67" s="785"/>
      <c r="E67" s="785"/>
      <c r="F67" s="785"/>
      <c r="G67" s="785"/>
      <c r="H67" s="785"/>
      <c r="I67" s="785"/>
      <c r="J67" s="785"/>
      <c r="K67" s="785"/>
      <c r="L67" s="785"/>
      <c r="M67" s="785"/>
      <c r="N67" s="785"/>
      <c r="O67" s="785"/>
      <c r="P67" s="785"/>
    </row>
    <row r="68" spans="2:16" x14ac:dyDescent="0.2">
      <c r="B68" s="354"/>
      <c r="D68" s="785"/>
      <c r="E68" s="785"/>
      <c r="F68" s="785"/>
      <c r="G68" s="785"/>
      <c r="H68" s="785"/>
      <c r="I68" s="785"/>
      <c r="J68" s="785"/>
      <c r="K68" s="785"/>
      <c r="L68" s="785"/>
      <c r="M68" s="785"/>
      <c r="N68" s="785"/>
      <c r="O68" s="785"/>
      <c r="P68" s="785"/>
    </row>
  </sheetData>
  <sheetProtection algorithmName="SHA-512" hashValue="1s6mOHK3vF6UOaClO+LQFpKpUTXXpkf4bYBbjiHLlFQygU2IN7ohktC8/fBjSP3qfUV2U5NZ6m2K3CHXn21Xmg==" saltValue="Mqhgty4LPW9kJqiSRzpitg==" spinCount="100000" sheet="1" objects="1" scenarios="1"/>
  <mergeCells count="19">
    <mergeCell ref="C1:N1"/>
    <mergeCell ref="C3:N3"/>
    <mergeCell ref="C4:J4"/>
    <mergeCell ref="C2:R2"/>
    <mergeCell ref="F13:J13"/>
    <mergeCell ref="B5:N5"/>
    <mergeCell ref="F11:J11"/>
    <mergeCell ref="D68:P68"/>
    <mergeCell ref="D66:P66"/>
    <mergeCell ref="D63:P63"/>
    <mergeCell ref="D64:P64"/>
    <mergeCell ref="D65:P65"/>
    <mergeCell ref="D14:P14"/>
    <mergeCell ref="D30:P30"/>
    <mergeCell ref="F45:J45"/>
    <mergeCell ref="F29:J29"/>
    <mergeCell ref="D67:P67"/>
    <mergeCell ref="B61:P61"/>
    <mergeCell ref="D46:P46"/>
  </mergeCells>
  <phoneticPr fontId="2" type="noConversion"/>
  <conditionalFormatting sqref="D30:P30">
    <cfRule type="cellIs" dxfId="69"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71" orientation="portrait"/>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B1:R60"/>
  <sheetViews>
    <sheetView showGridLines="0" zoomScaleNormal="100" zoomScaleSheetLayoutView="100" workbookViewId="0">
      <selection activeCell="L20" sqref="L20"/>
    </sheetView>
  </sheetViews>
  <sheetFormatPr defaultColWidth="9.140625"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824"/>
      <c r="D1" s="824"/>
      <c r="E1" s="824"/>
      <c r="F1" s="824"/>
      <c r="G1" s="824"/>
      <c r="H1" s="824"/>
      <c r="I1" s="824"/>
      <c r="J1" s="824"/>
      <c r="K1" s="824"/>
      <c r="L1" s="824"/>
      <c r="M1" s="824"/>
      <c r="N1" s="824"/>
      <c r="O1" s="824"/>
      <c r="P1" s="143" t="str">
        <f>CONCATENATE('2. Table of Contents'!$F$6," ",'2. Table of Contents'!$G$6)</f>
        <v xml:space="preserve"> </v>
      </c>
    </row>
    <row r="2" spans="2:16" s="2" customFormat="1" ht="18" x14ac:dyDescent="0.25">
      <c r="C2" s="825"/>
      <c r="D2" s="825"/>
      <c r="E2" s="825"/>
      <c r="F2" s="825"/>
      <c r="G2" s="825"/>
      <c r="H2" s="825"/>
      <c r="I2" s="825"/>
      <c r="J2" s="825"/>
      <c r="K2" s="825"/>
      <c r="L2" s="825"/>
      <c r="M2" s="825"/>
      <c r="N2" s="825"/>
      <c r="O2" s="825"/>
    </row>
    <row r="3" spans="2:16" s="2" customFormat="1" ht="18" x14ac:dyDescent="0.25">
      <c r="C3" s="825"/>
      <c r="D3" s="825"/>
      <c r="E3" s="825"/>
      <c r="F3" s="825"/>
      <c r="G3" s="825"/>
      <c r="H3" s="825"/>
      <c r="I3" s="825"/>
      <c r="J3" s="825"/>
      <c r="K3" s="825"/>
      <c r="L3" s="825"/>
      <c r="M3" s="825"/>
      <c r="N3" s="825"/>
      <c r="O3" s="825"/>
    </row>
    <row r="4" spans="2:16" s="2" customFormat="1" ht="18" x14ac:dyDescent="0.25">
      <c r="C4" s="825"/>
      <c r="D4" s="825"/>
      <c r="E4" s="825"/>
      <c r="F4" s="825"/>
      <c r="G4" s="825"/>
      <c r="H4" s="825"/>
    </row>
    <row r="5" spans="2:16" s="2" customFormat="1" ht="15.75" x14ac:dyDescent="0.25">
      <c r="E5" s="3"/>
      <c r="F5" s="3"/>
    </row>
    <row r="6" spans="2:16" s="2" customFormat="1" ht="36.75" customHeight="1" x14ac:dyDescent="0.2"/>
    <row r="7" spans="2:16" ht="4.5" customHeight="1" x14ac:dyDescent="0.2"/>
    <row r="8" spans="2:16" ht="15.75" x14ac:dyDescent="0.25">
      <c r="E8" s="57"/>
      <c r="F8" s="803"/>
      <c r="G8" s="803"/>
      <c r="H8" s="803"/>
      <c r="I8" s="803"/>
      <c r="J8" s="803"/>
      <c r="K8" s="803"/>
      <c r="L8" s="803"/>
      <c r="M8" s="803"/>
      <c r="N8" s="803"/>
      <c r="O8" s="803"/>
      <c r="P8" s="803"/>
    </row>
    <row r="9" spans="2:16" ht="15.75" x14ac:dyDescent="0.25">
      <c r="E9" s="57"/>
      <c r="F9" s="58"/>
      <c r="G9" s="58"/>
      <c r="H9" s="58"/>
      <c r="I9" s="58"/>
      <c r="J9" s="58"/>
      <c r="K9" s="58"/>
      <c r="L9" s="58"/>
      <c r="M9" s="58"/>
      <c r="N9" s="58"/>
      <c r="O9" s="58"/>
      <c r="P9" s="58"/>
    </row>
    <row r="10" spans="2:16" ht="18" x14ac:dyDescent="0.25">
      <c r="B10" s="369" t="s">
        <v>240</v>
      </c>
      <c r="E10" s="57"/>
      <c r="F10" s="58"/>
      <c r="G10" s="58"/>
      <c r="H10" s="58"/>
      <c r="I10" s="58"/>
      <c r="J10" s="58"/>
      <c r="K10" s="58"/>
      <c r="L10" s="58"/>
      <c r="M10" s="58"/>
      <c r="N10" s="58"/>
      <c r="O10" s="58"/>
      <c r="P10" s="58"/>
    </row>
    <row r="11" spans="2:16" ht="15.75" x14ac:dyDescent="0.25">
      <c r="E11" s="57"/>
      <c r="F11" s="58"/>
      <c r="G11" s="58"/>
      <c r="H11" s="58"/>
      <c r="I11" s="58"/>
      <c r="J11" s="58"/>
      <c r="K11" s="58"/>
      <c r="L11" s="58"/>
      <c r="M11" s="58"/>
      <c r="N11" s="58"/>
      <c r="O11" s="58"/>
      <c r="P11" s="58"/>
    </row>
    <row r="12" spans="2:16" ht="15.75" x14ac:dyDescent="0.25">
      <c r="E12" s="57"/>
      <c r="F12" s="58"/>
      <c r="G12" s="58"/>
      <c r="H12" s="58"/>
      <c r="I12" s="58"/>
      <c r="J12" s="58"/>
      <c r="K12" s="58"/>
      <c r="L12" s="58"/>
      <c r="M12" s="58"/>
      <c r="N12" s="58"/>
      <c r="O12" s="58"/>
      <c r="P12" s="58"/>
    </row>
    <row r="13" spans="2:16" ht="15.75" x14ac:dyDescent="0.25">
      <c r="E13" s="57"/>
      <c r="F13" s="823" t="s">
        <v>155</v>
      </c>
      <c r="G13" s="823"/>
      <c r="H13" s="823"/>
      <c r="I13" s="302"/>
      <c r="J13" s="823" t="str">
        <f>IF(ISBLANK('3. Data_Input_Sheet'!M12),"",'3. Data_Input_Sheet'!M12)</f>
        <v>Settlement Agreement</v>
      </c>
      <c r="K13" s="823"/>
      <c r="L13" s="823"/>
      <c r="M13" s="302"/>
      <c r="N13" s="823" t="str">
        <f>'3. Data_Input_Sheet'!U12</f>
        <v>Per Board Decision</v>
      </c>
      <c r="O13" s="823"/>
      <c r="P13" s="823"/>
    </row>
    <row r="14" spans="2:16" ht="6" customHeight="1" x14ac:dyDescent="0.25">
      <c r="D14" s="58"/>
      <c r="E14" s="58"/>
      <c r="F14" s="302"/>
      <c r="G14" s="302"/>
      <c r="H14" s="302"/>
      <c r="I14" s="302"/>
      <c r="J14" s="302"/>
      <c r="K14" s="302"/>
      <c r="L14" s="302"/>
      <c r="M14" s="302"/>
      <c r="N14" s="302"/>
      <c r="O14" s="302"/>
      <c r="P14" s="303"/>
    </row>
    <row r="15" spans="2:16" x14ac:dyDescent="0.2">
      <c r="B15" s="828" t="s">
        <v>37</v>
      </c>
      <c r="D15" s="827" t="s">
        <v>36</v>
      </c>
      <c r="F15" s="821" t="s">
        <v>127</v>
      </c>
      <c r="G15" s="304"/>
      <c r="H15" s="819" t="s">
        <v>128</v>
      </c>
      <c r="I15" s="305"/>
      <c r="J15" s="821" t="s">
        <v>127</v>
      </c>
      <c r="K15" s="304"/>
      <c r="L15" s="819" t="s">
        <v>128</v>
      </c>
      <c r="M15" s="305"/>
      <c r="N15" s="821" t="s">
        <v>127</v>
      </c>
      <c r="O15" s="304"/>
      <c r="P15" s="819" t="s">
        <v>128</v>
      </c>
    </row>
    <row r="16" spans="2:16" ht="24.75" customHeight="1" x14ac:dyDescent="0.2">
      <c r="B16" s="829"/>
      <c r="C16" s="60"/>
      <c r="D16" s="817"/>
      <c r="E16" s="43"/>
      <c r="F16" s="822"/>
      <c r="G16" s="300"/>
      <c r="H16" s="820"/>
      <c r="I16" s="305"/>
      <c r="J16" s="822"/>
      <c r="K16" s="2"/>
      <c r="L16" s="820"/>
      <c r="M16" s="305"/>
      <c r="N16" s="822"/>
      <c r="O16" s="2"/>
      <c r="P16" s="820"/>
    </row>
    <row r="17" spans="2:18" x14ac:dyDescent="0.2">
      <c r="B17" s="61"/>
      <c r="C17" s="60"/>
      <c r="D17" s="43"/>
      <c r="E17" s="43"/>
      <c r="F17" s="62"/>
      <c r="G17" s="43"/>
      <c r="H17" s="63"/>
      <c r="J17" s="64"/>
      <c r="K17" s="65"/>
      <c r="L17" s="66"/>
      <c r="N17" s="64"/>
      <c r="O17" s="65"/>
      <c r="P17" s="66"/>
      <c r="Q17" s="135"/>
    </row>
    <row r="18" spans="2:18" x14ac:dyDescent="0.2">
      <c r="B18" s="4"/>
      <c r="D18" s="4"/>
      <c r="F18" s="64"/>
      <c r="G18" s="65"/>
      <c r="H18" s="34"/>
      <c r="J18" s="64"/>
      <c r="K18" s="65"/>
      <c r="L18" s="34"/>
      <c r="N18" s="64"/>
      <c r="O18" s="65"/>
      <c r="P18" s="34"/>
      <c r="Q18" s="135"/>
    </row>
    <row r="19" spans="2:18" x14ac:dyDescent="0.2">
      <c r="B19" s="166">
        <v>1</v>
      </c>
      <c r="D19" s="5" t="s">
        <v>149</v>
      </c>
      <c r="F19" s="199"/>
      <c r="G19" s="200"/>
      <c r="H19" s="201">
        <f>F52</f>
        <v>50401.404456559212</v>
      </c>
      <c r="I19" s="192"/>
      <c r="J19" s="199"/>
      <c r="K19" s="200"/>
      <c r="L19" s="201">
        <f>J52</f>
        <v>55692.704754182436</v>
      </c>
      <c r="M19" s="192"/>
      <c r="N19" s="199"/>
      <c r="O19" s="200"/>
      <c r="P19" s="201">
        <f>N52</f>
        <v>-141627.27639417222</v>
      </c>
      <c r="Q19" s="135"/>
    </row>
    <row r="20" spans="2:18" x14ac:dyDescent="0.2">
      <c r="B20" s="166">
        <v>2</v>
      </c>
      <c r="D20" s="5" t="s">
        <v>150</v>
      </c>
      <c r="F20" s="202">
        <f>'3. Data_Input_Sheet'!E25</f>
        <v>5494022.6225560522</v>
      </c>
      <c r="G20" s="200"/>
      <c r="H20" s="201">
        <f>'3. Data_Input_Sheet'!E26-H19</f>
        <v>5494022.6225560503</v>
      </c>
      <c r="I20" s="192"/>
      <c r="J20" s="202">
        <f>IF(ISBLANK('3. Data_Input_Sheet'!M25),'3. Data_Input_Sheet'!E25,'3. Data_Input_Sheet'!M25)</f>
        <v>5492955.9133553654</v>
      </c>
      <c r="K20" s="200"/>
      <c r="L20" s="201">
        <f>IF(ISBLANK('3. Data_Input_Sheet'!M26),'3. Data_Input_Sheet'!E26-L19,'3. Data_Input_Sheet'!M26-L19)</f>
        <v>5492955.9133553654</v>
      </c>
      <c r="M20" s="192"/>
      <c r="N20" s="202">
        <f>IF(ISBLANK('3. Data_Input_Sheet'!U25),'3. Data_Input_Sheet'!M25,'3. Data_Input_Sheet'!U25)</f>
        <v>5492955.9133553654</v>
      </c>
      <c r="O20" s="200"/>
      <c r="P20" s="201">
        <f>IF(ISBLANK('3. Data_Input_Sheet'!U26),'3. Data_Input_Sheet'!M26-P19,'3. Data_Input_Sheet'!U26-P19)</f>
        <v>5690275.8945037201</v>
      </c>
      <c r="Q20" s="135"/>
    </row>
    <row r="21" spans="2:18" ht="25.5" x14ac:dyDescent="0.2">
      <c r="B21" s="166">
        <v>3</v>
      </c>
      <c r="D21" s="27" t="s">
        <v>151</v>
      </c>
      <c r="F21" s="203">
        <f>'5. Utility Income'!F48</f>
        <v>502938.99582215952</v>
      </c>
      <c r="G21" s="200"/>
      <c r="H21" s="204">
        <f>'5. Utility Income'!F48</f>
        <v>502938.99582215952</v>
      </c>
      <c r="I21" s="192"/>
      <c r="J21" s="203">
        <f>'5. Utility Income'!N48</f>
        <v>482447.49131242814</v>
      </c>
      <c r="K21" s="200"/>
      <c r="L21" s="201">
        <f>J21</f>
        <v>482447.49131242814</v>
      </c>
      <c r="M21" s="192"/>
      <c r="N21" s="203">
        <f>'5. Utility Income'!V48</f>
        <v>482447.49131242814</v>
      </c>
      <c r="O21" s="200"/>
      <c r="P21" s="201">
        <f>'5. Utility Income'!V48</f>
        <v>482447.49131242814</v>
      </c>
      <c r="Q21" s="135"/>
    </row>
    <row r="22" spans="2:18" ht="13.5" thickBot="1" x14ac:dyDescent="0.25">
      <c r="B22" s="166">
        <v>4</v>
      </c>
      <c r="D22" s="16" t="s">
        <v>110</v>
      </c>
      <c r="F22" s="205">
        <f>SUM(F20:F21)</f>
        <v>5996961.6183782117</v>
      </c>
      <c r="G22" s="200"/>
      <c r="H22" s="206">
        <f>SUM(H19:H21)</f>
        <v>6047363.0228347695</v>
      </c>
      <c r="I22" s="192"/>
      <c r="J22" s="207">
        <f>SUM(J20:J21)</f>
        <v>5975403.4046677938</v>
      </c>
      <c r="K22" s="200"/>
      <c r="L22" s="206">
        <f>SUM(L19:L21)</f>
        <v>6031096.1094219759</v>
      </c>
      <c r="M22" s="192"/>
      <c r="N22" s="207">
        <f>SUM(N20:N21)</f>
        <v>5975403.4046677938</v>
      </c>
      <c r="O22" s="200"/>
      <c r="P22" s="206">
        <f>SUM(P19:P21)</f>
        <v>6031096.1094219759</v>
      </c>
      <c r="Q22" s="135"/>
    </row>
    <row r="23" spans="2:18" ht="13.5" thickTop="1" x14ac:dyDescent="0.2">
      <c r="B23" s="166"/>
      <c r="F23" s="208"/>
      <c r="G23" s="200"/>
      <c r="H23" s="209"/>
      <c r="I23" s="192"/>
      <c r="J23" s="208"/>
      <c r="K23" s="200"/>
      <c r="L23" s="201"/>
      <c r="M23" s="192"/>
      <c r="N23" s="208"/>
      <c r="O23" s="200"/>
      <c r="P23" s="201"/>
      <c r="Q23" s="135"/>
    </row>
    <row r="24" spans="2:18" x14ac:dyDescent="0.2">
      <c r="B24" s="166">
        <v>5</v>
      </c>
      <c r="C24" s="15"/>
      <c r="D24" s="23" t="s">
        <v>117</v>
      </c>
      <c r="E24" s="15"/>
      <c r="F24" s="202">
        <f>'5. Utility Income'!F27</f>
        <v>4166505.578339363</v>
      </c>
      <c r="G24" s="200"/>
      <c r="H24" s="201">
        <f>'5. Utility Income'!F27</f>
        <v>4166505.578339363</v>
      </c>
      <c r="I24" s="192"/>
      <c r="J24" s="202">
        <f>'5. Utility Income'!N27</f>
        <v>4128485.5043619899</v>
      </c>
      <c r="K24" s="200"/>
      <c r="L24" s="201">
        <f>'5. Utility Income'!N27</f>
        <v>4128485.5043619899</v>
      </c>
      <c r="M24" s="192"/>
      <c r="N24" s="202">
        <f>'5. Utility Income'!V27</f>
        <v>4128485.5043619899</v>
      </c>
      <c r="O24" s="200"/>
      <c r="P24" s="201">
        <f>'5. Utility Income'!V27</f>
        <v>4128485.5043619899</v>
      </c>
      <c r="Q24" s="136"/>
      <c r="R24" s="15"/>
    </row>
    <row r="25" spans="2:18" x14ac:dyDescent="0.2">
      <c r="B25" s="166">
        <v>6</v>
      </c>
      <c r="C25" s="15"/>
      <c r="D25" s="23" t="s">
        <v>95</v>
      </c>
      <c r="E25" s="15"/>
      <c r="F25" s="202">
        <f>'5. Utility Income'!F30</f>
        <v>665901.24874385493</v>
      </c>
      <c r="G25" s="200"/>
      <c r="H25" s="201">
        <f>'5. Utility Income'!F30</f>
        <v>665901.24874385493</v>
      </c>
      <c r="I25" s="192"/>
      <c r="J25" s="202">
        <f>'5. Utility Income'!N30</f>
        <v>710000.92996632401</v>
      </c>
      <c r="K25" s="200"/>
      <c r="L25" s="201">
        <f>'5. Utility Income'!N30</f>
        <v>710000.92996632401</v>
      </c>
      <c r="M25" s="192"/>
      <c r="N25" s="202">
        <f>'5. Utility Income'!V30</f>
        <v>615480.39508646028</v>
      </c>
      <c r="O25" s="200"/>
      <c r="P25" s="201">
        <f>'5. Utility Income'!V30</f>
        <v>615480.39508646028</v>
      </c>
      <c r="Q25" s="136"/>
      <c r="R25" s="15"/>
    </row>
    <row r="26" spans="2:18" ht="13.5" thickBot="1" x14ac:dyDescent="0.25">
      <c r="B26" s="166">
        <v>8</v>
      </c>
      <c r="D26" s="16" t="s">
        <v>118</v>
      </c>
      <c r="F26" s="205">
        <f>SUM(F24:F25)</f>
        <v>4832406.8270832179</v>
      </c>
      <c r="G26" s="200"/>
      <c r="H26" s="206">
        <f>SUM(H24:H25)</f>
        <v>4832406.8270832179</v>
      </c>
      <c r="I26" s="192"/>
      <c r="J26" s="207">
        <f>SUM(J24:J25)</f>
        <v>4838486.4343283139</v>
      </c>
      <c r="K26" s="200"/>
      <c r="L26" s="206">
        <f>SUM(L24:L25)</f>
        <v>4838486.4343283139</v>
      </c>
      <c r="M26" s="192"/>
      <c r="N26" s="207">
        <f>SUM(N24:N25)</f>
        <v>4743965.8994484507</v>
      </c>
      <c r="O26" s="200"/>
      <c r="P26" s="206">
        <f>SUM(P24:P25)</f>
        <v>4743965.8994484507</v>
      </c>
      <c r="Q26" s="135"/>
    </row>
    <row r="27" spans="2:18" ht="13.5" thickTop="1" x14ac:dyDescent="0.2">
      <c r="B27" s="166"/>
      <c r="D27" s="4"/>
      <c r="F27" s="202"/>
      <c r="G27" s="200"/>
      <c r="H27" s="201"/>
      <c r="I27" s="192"/>
      <c r="J27" s="208"/>
      <c r="K27" s="200"/>
      <c r="L27" s="201"/>
      <c r="M27" s="192"/>
      <c r="N27" s="208"/>
      <c r="O27" s="200"/>
      <c r="P27" s="201"/>
      <c r="Q27" s="135"/>
    </row>
    <row r="28" spans="2:18" ht="25.5" x14ac:dyDescent="0.2">
      <c r="B28" s="166">
        <v>9</v>
      </c>
      <c r="D28" s="55" t="s">
        <v>111</v>
      </c>
      <c r="F28" s="202">
        <f>F22-F26</f>
        <v>1164554.7912949938</v>
      </c>
      <c r="G28" s="200"/>
      <c r="H28" s="201">
        <f>H22-H26</f>
        <v>1214956.1957515515</v>
      </c>
      <c r="I28" s="192"/>
      <c r="J28" s="208">
        <f>J22-J26</f>
        <v>1136916.9703394799</v>
      </c>
      <c r="K28" s="200"/>
      <c r="L28" s="201">
        <f>L22-L26</f>
        <v>1192609.675093662</v>
      </c>
      <c r="M28" s="192"/>
      <c r="N28" s="208">
        <f>N22-N26</f>
        <v>1231437.5052193431</v>
      </c>
      <c r="O28" s="200"/>
      <c r="P28" s="201">
        <f>P22-P26</f>
        <v>1287130.2099735253</v>
      </c>
      <c r="Q28" s="135"/>
    </row>
    <row r="29" spans="2:18" x14ac:dyDescent="0.2">
      <c r="B29" s="166"/>
      <c r="D29" s="5" t="s">
        <v>60</v>
      </c>
      <c r="F29" s="208"/>
      <c r="G29" s="200"/>
      <c r="H29" s="209"/>
      <c r="I29" s="192"/>
      <c r="J29" s="208"/>
      <c r="K29" s="200"/>
      <c r="L29" s="201"/>
      <c r="M29" s="192"/>
      <c r="N29" s="208"/>
      <c r="O29" s="200"/>
      <c r="P29" s="201"/>
      <c r="Q29" s="135"/>
    </row>
    <row r="30" spans="2:18" ht="25.5" customHeight="1" x14ac:dyDescent="0.2">
      <c r="B30" s="166">
        <v>10</v>
      </c>
      <c r="D30" s="70" t="s">
        <v>255</v>
      </c>
      <c r="F30" s="203">
        <f>'3. Data_Input_Sheet'!E44</f>
        <v>-800511.63163715601</v>
      </c>
      <c r="G30" s="200"/>
      <c r="H30" s="204">
        <f>'3. Data_Input_Sheet'!E44</f>
        <v>-800511.63163715601</v>
      </c>
      <c r="I30" s="192"/>
      <c r="J30" s="203">
        <f>IF(ISBLANK('3. Data_Input_Sheet'!M44),'3. Data_Input_Sheet'!E44,'3. Data_Input_Sheet'!M44)</f>
        <v>-831847.24437337043</v>
      </c>
      <c r="K30" s="200"/>
      <c r="L30" s="204">
        <f>IF(ISBLANK('3. Data_Input_Sheet'!M44),'3. Data_Input_Sheet'!E44,'3. Data_Input_Sheet'!M44)</f>
        <v>-831847.24437337043</v>
      </c>
      <c r="M30" s="192"/>
      <c r="N30" s="203">
        <f>IF(ISBLANK('3. Data_Input_Sheet'!U44),'3. Data_Input_Sheet'!M44,'3. Data_Input_Sheet'!U44)</f>
        <v>-831847.24437337043</v>
      </c>
      <c r="O30" s="200"/>
      <c r="P30" s="204">
        <f>IF(ISBLANK('3. Data_Input_Sheet'!U44),'3. Data_Input_Sheet'!M44,'3. Data_Input_Sheet'!U44)</f>
        <v>-831847.24437337043</v>
      </c>
      <c r="Q30" s="135"/>
    </row>
    <row r="31" spans="2:18" x14ac:dyDescent="0.2">
      <c r="B31" s="166">
        <v>11</v>
      </c>
      <c r="D31" s="16" t="s">
        <v>115</v>
      </c>
      <c r="F31" s="208">
        <f>SUM(F28:F30)</f>
        <v>364043.15965783782</v>
      </c>
      <c r="G31" s="200"/>
      <c r="H31" s="209">
        <f>SUM(H28:H30)</f>
        <v>414444.56411439553</v>
      </c>
      <c r="I31" s="192"/>
      <c r="J31" s="208">
        <f>SUM(J28+J30)</f>
        <v>305069.72596610943</v>
      </c>
      <c r="K31" s="200"/>
      <c r="L31" s="201">
        <f>L28+L30</f>
        <v>360762.43072029157</v>
      </c>
      <c r="M31" s="192"/>
      <c r="N31" s="208">
        <f>SUM(N28+N30)</f>
        <v>399590.26084597269</v>
      </c>
      <c r="O31" s="200"/>
      <c r="P31" s="201">
        <f>P28+P30</f>
        <v>455282.96560015483</v>
      </c>
      <c r="Q31" s="135"/>
    </row>
    <row r="32" spans="2:18" x14ac:dyDescent="0.2">
      <c r="B32" s="166"/>
      <c r="D32" s="4"/>
      <c r="F32" s="208"/>
      <c r="G32" s="200"/>
      <c r="H32" s="209"/>
      <c r="I32" s="192"/>
      <c r="J32" s="208"/>
      <c r="K32" s="200"/>
      <c r="L32" s="209"/>
      <c r="M32" s="192"/>
      <c r="N32" s="208"/>
      <c r="O32" s="200"/>
      <c r="P32" s="209"/>
      <c r="Q32" s="135"/>
    </row>
    <row r="33" spans="2:17" x14ac:dyDescent="0.2">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7" ht="25.5" x14ac:dyDescent="0.2">
      <c r="B34" s="166">
        <v>13</v>
      </c>
      <c r="D34" s="162" t="s">
        <v>153</v>
      </c>
      <c r="F34" s="725">
        <f>MAX(F31*F33,0)</f>
        <v>96471.437309327026</v>
      </c>
      <c r="G34" s="200"/>
      <c r="H34" s="201">
        <f>MAX(H31*H33,0)</f>
        <v>109827.80949031482</v>
      </c>
      <c r="I34" s="192"/>
      <c r="J34" s="726">
        <f>MAX(J31*J33,0)</f>
        <v>80843.477381019009</v>
      </c>
      <c r="K34" s="200"/>
      <c r="L34" s="201">
        <f>MAX(L31*L33,0)</f>
        <v>95602.044140877275</v>
      </c>
      <c r="M34" s="192"/>
      <c r="N34" s="726">
        <f>MAX(N31*N33,0)</f>
        <v>105891.41912418276</v>
      </c>
      <c r="O34" s="200"/>
      <c r="P34" s="201">
        <f>MAX(P31*P33,0)</f>
        <v>120649.98588404103</v>
      </c>
      <c r="Q34" s="135"/>
    </row>
    <row r="35" spans="2:17" x14ac:dyDescent="0.2">
      <c r="B35" s="166">
        <v>14</v>
      </c>
      <c r="D35" s="4" t="s">
        <v>116</v>
      </c>
      <c r="F35" s="202">
        <f>'3. Data_Input_Sheet'!E51</f>
        <v>0</v>
      </c>
      <c r="G35" s="200"/>
      <c r="H35" s="201">
        <f>'3. Data_Input_Sheet'!E51</f>
        <v>0</v>
      </c>
      <c r="I35" s="192"/>
      <c r="J35" s="202">
        <f>IF(ISBLANK('3. Data_Input_Sheet'!M51),'3. Data_Input_Sheet'!E51,'3. Data_Input_Sheet'!M51)</f>
        <v>0</v>
      </c>
      <c r="K35" s="200"/>
      <c r="L35" s="201">
        <f>IF(ISBLANK('3. Data_Input_Sheet'!M51),'3. Data_Input_Sheet'!E51,'3. Data_Input_Sheet'!M51)</f>
        <v>0</v>
      </c>
      <c r="M35" s="192"/>
      <c r="N35" s="202">
        <f>IF(ISBLANK('3. Data_Input_Sheet'!U51),'3. Data_Input_Sheet'!M51,'3. Data_Input_Sheet'!U51)</f>
        <v>0</v>
      </c>
      <c r="O35" s="200"/>
      <c r="P35" s="201">
        <f>IF(ISBLANK('3. Data_Input_Sheet'!U51),'3. Data_Input_Sheet'!M51,'3. Data_Input_Sheet'!U51)</f>
        <v>0</v>
      </c>
      <c r="Q35" s="135"/>
    </row>
    <row r="36" spans="2:17" ht="13.5" thickBot="1" x14ac:dyDescent="0.25">
      <c r="B36" s="166">
        <v>15</v>
      </c>
      <c r="D36" s="16" t="s">
        <v>112</v>
      </c>
      <c r="F36" s="205">
        <f>F28-SUM(F34:F35)</f>
        <v>1068083.3539856668</v>
      </c>
      <c r="G36" s="200"/>
      <c r="H36" s="206">
        <f>'5. Utility Income'!F37</f>
        <v>1105128.3862612366</v>
      </c>
      <c r="I36" s="192"/>
      <c r="J36" s="207">
        <f>J28-SUM(J34:J35)</f>
        <v>1056073.4929584609</v>
      </c>
      <c r="K36" s="200"/>
      <c r="L36" s="206">
        <f>'5. Utility Income'!N37</f>
        <v>1097007.6309527848</v>
      </c>
      <c r="M36" s="192"/>
      <c r="N36" s="207">
        <f>N28-SUM(N34:N35)</f>
        <v>1125546.0860951603</v>
      </c>
      <c r="O36" s="200"/>
      <c r="P36" s="206">
        <f>'5. Utility Income'!V37</f>
        <v>1191528.1658326481</v>
      </c>
      <c r="Q36" s="135"/>
    </row>
    <row r="37" spans="2:17" ht="13.5" thickTop="1" x14ac:dyDescent="0.2">
      <c r="B37" s="166"/>
      <c r="F37" s="208"/>
      <c r="G37" s="200"/>
      <c r="H37" s="209"/>
      <c r="I37" s="192"/>
      <c r="J37" s="208"/>
      <c r="K37" s="200"/>
      <c r="L37" s="209"/>
      <c r="M37" s="192"/>
      <c r="N37" s="208"/>
      <c r="O37" s="200"/>
      <c r="P37" s="209"/>
      <c r="Q37" s="135"/>
    </row>
    <row r="38" spans="2:17" x14ac:dyDescent="0.2">
      <c r="B38" s="166">
        <v>16</v>
      </c>
      <c r="D38" s="16" t="s">
        <v>48</v>
      </c>
      <c r="F38" s="202">
        <f>'4. Rate_Base'!G18</f>
        <v>30698010.729478829</v>
      </c>
      <c r="G38" s="200"/>
      <c r="H38" s="201">
        <f>'4. Rate_Base'!G18</f>
        <v>30698010.729478829</v>
      </c>
      <c r="I38" s="192"/>
      <c r="J38" s="202">
        <f>'4. Rate_Base'!O18</f>
        <v>30540301.529865954</v>
      </c>
      <c r="K38" s="200"/>
      <c r="L38" s="201">
        <f>'4. Rate_Base'!O18</f>
        <v>30540301.529865954</v>
      </c>
      <c r="M38" s="192"/>
      <c r="N38" s="202">
        <f>'4. Rate_Base'!W18</f>
        <v>28373612.165151212</v>
      </c>
      <c r="O38" s="200"/>
      <c r="P38" s="201">
        <f>'4. Rate_Base'!W18</f>
        <v>28373612.165151212</v>
      </c>
      <c r="Q38" s="135"/>
    </row>
    <row r="39" spans="2:17" x14ac:dyDescent="0.2">
      <c r="B39" s="166"/>
      <c r="D39" s="4"/>
      <c r="F39" s="202"/>
      <c r="G39" s="200"/>
      <c r="H39" s="201"/>
      <c r="I39" s="192"/>
      <c r="J39" s="208"/>
      <c r="K39" s="200"/>
      <c r="L39" s="201"/>
      <c r="M39" s="192"/>
      <c r="N39" s="208"/>
      <c r="O39" s="200"/>
      <c r="P39" s="201"/>
      <c r="Q39" s="135"/>
    </row>
    <row r="40" spans="2:17" ht="25.5" x14ac:dyDescent="0.2">
      <c r="B40" s="166">
        <v>17</v>
      </c>
      <c r="D40" s="163" t="s">
        <v>132</v>
      </c>
      <c r="E40" s="71"/>
      <c r="F40" s="213">
        <f>'7. Cost_of_Capital'!J24</f>
        <v>12279204.291791532</v>
      </c>
      <c r="G40" s="214"/>
      <c r="H40" s="215">
        <f>F40</f>
        <v>12279204.291791532</v>
      </c>
      <c r="I40" s="192"/>
      <c r="J40" s="202">
        <f>'7. Cost_of_Capital'!J40</f>
        <v>12216120.611946382</v>
      </c>
      <c r="K40" s="200"/>
      <c r="L40" s="209">
        <f>J40</f>
        <v>12216120.611946382</v>
      </c>
      <c r="M40" s="192"/>
      <c r="N40" s="202">
        <f>'7. Cost_of_Capital'!J56</f>
        <v>11349444.866060486</v>
      </c>
      <c r="O40" s="200"/>
      <c r="P40" s="209">
        <f>N40</f>
        <v>11349444.866060486</v>
      </c>
      <c r="Q40" s="135"/>
    </row>
    <row r="41" spans="2:17" x14ac:dyDescent="0.2">
      <c r="B41" s="166"/>
      <c r="D41" s="71"/>
      <c r="E41" s="71"/>
      <c r="F41" s="216"/>
      <c r="G41" s="214"/>
      <c r="H41" s="217"/>
      <c r="I41" s="192"/>
      <c r="J41" s="199"/>
      <c r="K41" s="200"/>
      <c r="L41" s="194"/>
      <c r="M41" s="192"/>
      <c r="N41" s="199"/>
      <c r="O41" s="200"/>
      <c r="P41" s="194"/>
      <c r="Q41" s="135"/>
    </row>
    <row r="42" spans="2:17" ht="25.5" x14ac:dyDescent="0.2">
      <c r="B42" s="166">
        <v>18</v>
      </c>
      <c r="D42" s="27" t="s">
        <v>226</v>
      </c>
      <c r="F42" s="210">
        <f>IF(F40=0,0,F36/F40)</f>
        <v>8.6983108074817586E-2</v>
      </c>
      <c r="G42" s="200"/>
      <c r="H42" s="198">
        <f>IF(H40=0,0,H36/H40)</f>
        <v>8.99999999999999E-2</v>
      </c>
      <c r="I42" s="192"/>
      <c r="J42" s="210">
        <f>IF(J40=0,0,J36/J40)</f>
        <v>8.6449170444969747E-2</v>
      </c>
      <c r="K42" s="200"/>
      <c r="L42" s="198">
        <f>IF(L40=0,0,L36/L40)</f>
        <v>8.9799999999999977E-2</v>
      </c>
      <c r="M42" s="192"/>
      <c r="N42" s="210">
        <f>IF(N40=0,0,N36/N40)</f>
        <v>9.9171906589106101E-2</v>
      </c>
      <c r="O42" s="200"/>
      <c r="P42" s="198">
        <f>IF(P40=0,0,P36/P40)</f>
        <v>0.10498559003496355</v>
      </c>
      <c r="Q42" s="135"/>
    </row>
    <row r="43" spans="2:17" ht="25.5" x14ac:dyDescent="0.2">
      <c r="B43" s="166">
        <v>19</v>
      </c>
      <c r="D43" s="27" t="s">
        <v>119</v>
      </c>
      <c r="F43" s="218">
        <f>'7. Cost_of_Capital'!L24</f>
        <v>8.9999999999999983E-2</v>
      </c>
      <c r="G43" s="200"/>
      <c r="H43" s="219">
        <f>'7. Cost_of_Capital'!L24</f>
        <v>8.9999999999999983E-2</v>
      </c>
      <c r="I43" s="192"/>
      <c r="J43" s="220">
        <f>'7. Cost_of_Capital'!L40</f>
        <v>8.9799999999999991E-2</v>
      </c>
      <c r="K43" s="200"/>
      <c r="L43" s="219">
        <f>'7. Cost_of_Capital'!L40</f>
        <v>8.9799999999999991E-2</v>
      </c>
      <c r="M43" s="192"/>
      <c r="N43" s="220">
        <f>'7. Cost_of_Capital'!L56</f>
        <v>8.9999999999999983E-2</v>
      </c>
      <c r="O43" s="200"/>
      <c r="P43" s="219">
        <f>'7. Cost_of_Capital'!L56</f>
        <v>8.9999999999999983E-2</v>
      </c>
      <c r="Q43" s="135"/>
    </row>
    <row r="44" spans="2:17" ht="25.5" x14ac:dyDescent="0.2">
      <c r="B44" s="166">
        <v>20</v>
      </c>
      <c r="D44" s="27" t="s">
        <v>221</v>
      </c>
      <c r="F44" s="210">
        <f>F42-F43</f>
        <v>-3.0168919251823967E-3</v>
      </c>
      <c r="G44" s="200"/>
      <c r="H44" s="198">
        <f>H42-H43</f>
        <v>0</v>
      </c>
      <c r="I44" s="192"/>
      <c r="J44" s="221">
        <f>J42-J43</f>
        <v>-3.3508295550302436E-3</v>
      </c>
      <c r="K44" s="200"/>
      <c r="L44" s="198">
        <f>L42-L43</f>
        <v>0</v>
      </c>
      <c r="M44" s="192"/>
      <c r="N44" s="221">
        <f>N42-N43</f>
        <v>9.1719065891061186E-3</v>
      </c>
      <c r="O44" s="200"/>
      <c r="P44" s="198">
        <f>P42-P43</f>
        <v>1.4985590034963567E-2</v>
      </c>
      <c r="Q44" s="135"/>
    </row>
    <row r="45" spans="2:17" x14ac:dyDescent="0.2">
      <c r="B45" s="166"/>
      <c r="F45" s="210"/>
      <c r="G45" s="200"/>
      <c r="H45" s="198"/>
      <c r="I45" s="192"/>
      <c r="J45" s="199"/>
      <c r="K45" s="200"/>
      <c r="L45" s="194"/>
      <c r="M45" s="192"/>
      <c r="N45" s="199"/>
      <c r="O45" s="200"/>
      <c r="P45" s="194"/>
      <c r="Q45" s="135"/>
    </row>
    <row r="46" spans="2:17" x14ac:dyDescent="0.2">
      <c r="B46" s="166">
        <v>21</v>
      </c>
      <c r="D46" s="5" t="s">
        <v>49</v>
      </c>
      <c r="F46" s="210">
        <f>IF(F38=0,0,(F36+F25)/F38)</f>
        <v>5.648524322992704E-2</v>
      </c>
      <c r="G46" s="200"/>
      <c r="H46" s="198">
        <f>IF(H38=0,0,(H36+H25)/H38)</f>
        <v>5.7691999999999966E-2</v>
      </c>
      <c r="I46" s="192"/>
      <c r="J46" s="210">
        <f>IF(J38=0,0,(J36+J25)/J38)</f>
        <v>5.7827668177987908E-2</v>
      </c>
      <c r="K46" s="200"/>
      <c r="L46" s="198">
        <f>IF(L40=0,0,(L36+L25)/L38)</f>
        <v>5.9167999999999998E-2</v>
      </c>
      <c r="M46" s="192"/>
      <c r="N46" s="210">
        <f>IF(N38=0,0,(N36+N25)/N38)</f>
        <v>6.1360762635642455E-2</v>
      </c>
      <c r="O46" s="200"/>
      <c r="P46" s="198">
        <f>IF(P40=0,0,(P36+P25)/P38)</f>
        <v>6.3686236013985431E-2</v>
      </c>
      <c r="Q46" s="135"/>
    </row>
    <row r="47" spans="2:17" ht="25.5" x14ac:dyDescent="0.2">
      <c r="B47" s="166">
        <v>22</v>
      </c>
      <c r="D47" s="27" t="s">
        <v>120</v>
      </c>
      <c r="F47" s="220">
        <f>'7. Cost_of_Capital'!L26</f>
        <v>5.7692E-2</v>
      </c>
      <c r="G47" s="200"/>
      <c r="H47" s="222">
        <f>'7. Cost_of_Capital'!L26</f>
        <v>5.7692E-2</v>
      </c>
      <c r="I47" s="192"/>
      <c r="J47" s="220">
        <f>'7. Cost_of_Capital'!L42</f>
        <v>5.9168000000000012E-2</v>
      </c>
      <c r="K47" s="200"/>
      <c r="L47" s="219">
        <f>'7. Cost_of_Capital'!L42</f>
        <v>5.9168000000000012E-2</v>
      </c>
      <c r="M47" s="192"/>
      <c r="N47" s="220">
        <f>'7. Cost_of_Capital'!L58</f>
        <v>5.7692E-2</v>
      </c>
      <c r="O47" s="200"/>
      <c r="P47" s="219">
        <f>'7. Cost_of_Capital'!L58</f>
        <v>5.7692E-2</v>
      </c>
      <c r="Q47" s="135"/>
    </row>
    <row r="48" spans="2:17" ht="25.5" x14ac:dyDescent="0.2">
      <c r="B48" s="166">
        <v>23</v>
      </c>
      <c r="D48" s="27" t="s">
        <v>222</v>
      </c>
      <c r="F48" s="221">
        <f>F46-F47</f>
        <v>-1.2067567700729601E-3</v>
      </c>
      <c r="G48" s="200"/>
      <c r="H48" s="223">
        <f>H46-H47</f>
        <v>0</v>
      </c>
      <c r="I48" s="192"/>
      <c r="J48" s="221">
        <f>J46-J47</f>
        <v>-1.3403318220121044E-3</v>
      </c>
      <c r="K48" s="200"/>
      <c r="L48" s="223">
        <f>L46-L47</f>
        <v>0</v>
      </c>
      <c r="M48" s="192"/>
      <c r="N48" s="221">
        <f>N46-N47</f>
        <v>3.6687626356424544E-3</v>
      </c>
      <c r="O48" s="200"/>
      <c r="P48" s="223">
        <f>P46-P47</f>
        <v>5.9942360139854309E-3</v>
      </c>
      <c r="Q48" s="135"/>
    </row>
    <row r="49" spans="2:17" x14ac:dyDescent="0.2">
      <c r="B49" s="166"/>
      <c r="F49" s="199"/>
      <c r="G49" s="200"/>
      <c r="H49" s="194"/>
      <c r="I49" s="192"/>
      <c r="J49" s="199"/>
      <c r="K49" s="200"/>
      <c r="L49" s="194"/>
      <c r="M49" s="192"/>
      <c r="N49" s="199"/>
      <c r="O49" s="200"/>
      <c r="P49" s="194"/>
      <c r="Q49" s="135"/>
    </row>
    <row r="50" spans="2:17" x14ac:dyDescent="0.2">
      <c r="B50" s="166">
        <v>24</v>
      </c>
      <c r="D50" s="5" t="s">
        <v>130</v>
      </c>
      <c r="F50" s="202">
        <f>H50</f>
        <v>1105128.3862612378</v>
      </c>
      <c r="G50" s="224"/>
      <c r="H50" s="201">
        <f>'7. Cost_of_Capital'!P24</f>
        <v>1105128.3862612378</v>
      </c>
      <c r="I50" s="225"/>
      <c r="J50" s="202">
        <f>L50</f>
        <v>1097007.630952785</v>
      </c>
      <c r="K50" s="224"/>
      <c r="L50" s="201">
        <f>'7. Cost_of_Capital'!P40</f>
        <v>1097007.630952785</v>
      </c>
      <c r="M50" s="225"/>
      <c r="N50" s="202">
        <f>P50</f>
        <v>1021450.0379454438</v>
      </c>
      <c r="O50" s="224"/>
      <c r="P50" s="201">
        <f>'7. Cost_of_Capital'!P56</f>
        <v>1021450.0379454438</v>
      </c>
      <c r="Q50" s="135"/>
    </row>
    <row r="51" spans="2:17" x14ac:dyDescent="0.2">
      <c r="B51" s="166">
        <v>25</v>
      </c>
      <c r="D51" s="5" t="s">
        <v>161</v>
      </c>
      <c r="F51" s="202">
        <f>F50-F36</f>
        <v>37045.032275571022</v>
      </c>
      <c r="G51" s="224" t="s">
        <v>121</v>
      </c>
      <c r="H51" s="209">
        <f>H38*H48</f>
        <v>0</v>
      </c>
      <c r="I51" s="225"/>
      <c r="J51" s="202">
        <f>J50-J36</f>
        <v>40934.13799432409</v>
      </c>
      <c r="K51" s="224"/>
      <c r="L51" s="209">
        <f>L38*L48</f>
        <v>0</v>
      </c>
      <c r="M51" s="225"/>
      <c r="N51" s="202">
        <f>N50-N36</f>
        <v>-104096.04814971657</v>
      </c>
      <c r="O51" s="224"/>
      <c r="P51" s="209">
        <f>P38*P48</f>
        <v>170078.12788720452</v>
      </c>
      <c r="Q51" s="135"/>
    </row>
    <row r="52" spans="2:17" ht="25.5" x14ac:dyDescent="0.2">
      <c r="B52" s="166">
        <v>26</v>
      </c>
      <c r="D52" s="55" t="s">
        <v>160</v>
      </c>
      <c r="F52" s="203">
        <f>F51/(1-F33)</f>
        <v>50401.404456559212</v>
      </c>
      <c r="G52" s="480" t="s">
        <v>2</v>
      </c>
      <c r="H52" s="226"/>
      <c r="I52" s="225"/>
      <c r="J52" s="203">
        <f>J51/(1-J33)</f>
        <v>55692.704754182436</v>
      </c>
      <c r="K52" s="480" t="s">
        <v>2</v>
      </c>
      <c r="L52" s="226"/>
      <c r="M52" s="225"/>
      <c r="N52" s="203">
        <f>N51/(1-N33)</f>
        <v>-141627.27639417222</v>
      </c>
      <c r="O52" s="480" t="s">
        <v>2</v>
      </c>
      <c r="P52" s="226"/>
    </row>
    <row r="55" spans="2:17" x14ac:dyDescent="0.2">
      <c r="B55" s="826" t="s">
        <v>42</v>
      </c>
      <c r="C55" s="826"/>
      <c r="D55" s="826"/>
      <c r="E55" s="826"/>
      <c r="F55" s="826"/>
      <c r="G55" s="826"/>
      <c r="H55" s="826"/>
      <c r="I55" s="826"/>
      <c r="J55" s="73"/>
      <c r="K55" s="73"/>
      <c r="L55" s="73"/>
      <c r="M55" s="73"/>
      <c r="N55" s="73"/>
      <c r="O55" s="73"/>
    </row>
    <row r="56" spans="2:17" ht="14.25" x14ac:dyDescent="0.2">
      <c r="B56" s="481" t="s">
        <v>2</v>
      </c>
      <c r="D56" s="767" t="s">
        <v>225</v>
      </c>
      <c r="E56" s="767"/>
      <c r="F56" s="767"/>
      <c r="G56" s="767"/>
      <c r="H56" s="767"/>
      <c r="I56" s="767"/>
      <c r="J56" s="767"/>
      <c r="K56" s="767"/>
      <c r="L56" s="767"/>
      <c r="M56" s="767"/>
      <c r="N56" s="767"/>
      <c r="O56" s="767"/>
      <c r="P56" s="767"/>
    </row>
    <row r="57" spans="2:17" x14ac:dyDescent="0.2">
      <c r="B57" s="354"/>
      <c r="D57" s="818"/>
      <c r="E57" s="818"/>
      <c r="F57" s="818"/>
      <c r="G57" s="818"/>
      <c r="H57" s="818"/>
      <c r="I57" s="818"/>
      <c r="J57" s="818"/>
      <c r="K57" s="818"/>
      <c r="L57" s="818"/>
      <c r="M57" s="818"/>
      <c r="N57" s="818"/>
      <c r="O57" s="818"/>
      <c r="P57" s="818"/>
    </row>
    <row r="58" spans="2:17" x14ac:dyDescent="0.2">
      <c r="B58" s="354"/>
      <c r="D58" s="818"/>
      <c r="E58" s="818"/>
      <c r="F58" s="818"/>
      <c r="G58" s="818"/>
      <c r="H58" s="818"/>
      <c r="I58" s="818"/>
      <c r="J58" s="818"/>
      <c r="K58" s="818"/>
      <c r="L58" s="818"/>
      <c r="M58" s="818"/>
      <c r="N58" s="818"/>
      <c r="O58" s="818"/>
      <c r="P58" s="818"/>
    </row>
    <row r="59" spans="2:17" x14ac:dyDescent="0.2">
      <c r="B59" s="354"/>
      <c r="D59" s="818"/>
      <c r="E59" s="818"/>
      <c r="F59" s="818"/>
      <c r="G59" s="818"/>
      <c r="H59" s="818"/>
      <c r="I59" s="818"/>
      <c r="J59" s="818"/>
      <c r="K59" s="818"/>
      <c r="L59" s="818"/>
      <c r="M59" s="818"/>
      <c r="N59" s="818"/>
      <c r="O59" s="818"/>
      <c r="P59" s="818"/>
    </row>
    <row r="60" spans="2:17" x14ac:dyDescent="0.2">
      <c r="B60" s="354"/>
      <c r="D60" s="818"/>
      <c r="E60" s="818"/>
      <c r="F60" s="818"/>
      <c r="G60" s="818"/>
      <c r="H60" s="818"/>
      <c r="I60" s="818"/>
      <c r="J60" s="818"/>
      <c r="K60" s="818"/>
      <c r="L60" s="818"/>
      <c r="M60" s="818"/>
      <c r="N60" s="818"/>
      <c r="O60" s="818"/>
      <c r="P60" s="818"/>
    </row>
  </sheetData>
  <sheetProtection algorithmName="SHA-512" hashValue="Bmqe6iIVmjiY+2AbA+5nBAwApsK/CyyOko45S3NZZ+2ayGeI+pYD88BqmTcOXFGuc6VVEkzMMvkyP/fc2OaNrQ==" saltValue="TaIYuibjC+NBtrGoQtc6nQ==" spinCount="100000" sheet="1" objects="1" scenarios="1"/>
  <mergeCells count="22">
    <mergeCell ref="C1:O1"/>
    <mergeCell ref="C2:O2"/>
    <mergeCell ref="C3:O3"/>
    <mergeCell ref="C4:H4"/>
    <mergeCell ref="B55:I55"/>
    <mergeCell ref="D15:D16"/>
    <mergeCell ref="B15:B16"/>
    <mergeCell ref="F13:H13"/>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s>
  <phoneticPr fontId="2" type="noConversion"/>
  <conditionalFormatting sqref="J13:L13">
    <cfRule type="cellIs" dxfId="68" priority="1" stopIfTrue="1" operator="equal">
      <formula>""</formula>
    </cfRule>
  </conditionalFormatting>
  <pageMargins left="0.75" right="0.75" top="0.65" bottom="1" header="0.4" footer="0.5"/>
  <pageSetup scale="62" orientation="portrait"/>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TitlesOfParts>
    <vt:vector size="54"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