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olors37.xml" ContentType="application/vnd.ms-office.chartcolorstyle+xml"/>
  <Override PartName="/xl/charts/style37.xml" ContentType="application/vnd.ms-office.chartstyle+xml"/>
  <Override PartName="/xl/charts/colors36.xml" ContentType="application/vnd.ms-office.chartcolorstyle+xml"/>
  <Override PartName="/xl/charts/style36.xml" ContentType="application/vnd.ms-office.chartstyle+xml"/>
  <Override PartName="/xl/charts/colors35.xml" ContentType="application/vnd.ms-office.chartcolorstyle+xml"/>
  <Override PartName="/xl/charts/style35.xml" ContentType="application/vnd.ms-office.chartstyle+xml"/>
  <Override PartName="/xl/charts/style38.xml" ContentType="application/vnd.ms-office.chartstyle+xml"/>
  <Override PartName="/xl/charts/colors38.xml" ContentType="application/vnd.ms-office.chartcolorstyle+xml"/>
  <Override PartName="/xl/charts/colors40.xml" ContentType="application/vnd.ms-office.chartcolorstyle+xml"/>
  <Override PartName="/xl/charts/style40.xml" ContentType="application/vnd.ms-office.chartstyle+xml"/>
  <Override PartName="/xl/charts/colors39.xml" ContentType="application/vnd.ms-office.chartcolorstyle+xml"/>
  <Override PartName="/xl/charts/style39.xml" ContentType="application/vnd.ms-office.chartstyle+xml"/>
  <Override PartName="/xl/charts/colors30.xml" ContentType="application/vnd.ms-office.chartcolorstyle+xml"/>
  <Override PartName="/xl/charts/style30.xml" ContentType="application/vnd.ms-office.chartstyle+xml"/>
  <Override PartName="/xl/charts/colors29.xml" ContentType="application/vnd.ms-office.chartcolorstyle+xml"/>
  <Override PartName="/xl/charts/style29.xml" ContentType="application/vnd.ms-office.chartstyle+xml"/>
  <Override PartName="/xl/charts/style31.xml" ContentType="application/vnd.ms-office.chartstyle+xml"/>
  <Override PartName="/xl/charts/colors31.xml" ContentType="application/vnd.ms-office.chartcolorstyle+xml"/>
  <Override PartName="/xl/charts/colors34.xml" ContentType="application/vnd.ms-office.chartcolorstyle+xml"/>
  <Override PartName="/xl/charts/style34.xml" ContentType="application/vnd.ms-office.chartstyle+xml"/>
  <Override PartName="/xl/charts/colors33.xml" ContentType="application/vnd.ms-office.chartcolorstyle+xml"/>
  <Override PartName="/xl/charts/style33.xml" ContentType="application/vnd.ms-office.chartstyle+xml"/>
  <Override PartName="/xl/charts/colors32.xml" ContentType="application/vnd.ms-office.chartcolorstyle+xml"/>
  <Override PartName="/xl/charts/style32.xml" ContentType="application/vnd.ms-office.chartstyle+xml"/>
  <Override PartName="/xl/charts/style28.xml" ContentType="application/vnd.ms-office.chartstyle+xml"/>
  <Override PartName="/xl/charts/colors28.xml" ContentType="application/vnd.ms-office.chartcolorstyle+xml"/>
  <Override PartName="/xl/charts/colors27.xml" ContentType="application/vnd.ms-office.chartcolorstyle+xml"/>
  <Override PartName="/xl/charts/colors9.xml" ContentType="application/vnd.ms-office.chartcolorstyle+xml"/>
  <Override PartName="/xl/charts/style9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style10.xml" ContentType="application/vnd.ms-office.chartstyle+xml"/>
  <Override PartName="/xl/charts/colors10.xml" ContentType="application/vnd.ms-office.chartcolorstyle+xml"/>
  <Override PartName="/xl/charts/colors13.xml" ContentType="application/vnd.ms-office.chartcolorstyle+xml"/>
  <Override PartName="/xl/charts/style13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1.xml" ContentType="application/vnd.ms-office.chartcolorstyle+xml"/>
  <Override PartName="/xl/charts/style1.xml" ContentType="application/vnd.ms-office.chartsty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style2.xml" ContentType="application/vnd.ms-office.chartstyle+xml"/>
  <Override PartName="/xl/charts/colors2.xml" ContentType="application/vnd.ms-office.chartcolorstyle+xml"/>
  <Override PartName="/xl/charts/colors5.xml" ContentType="application/vnd.ms-office.chartcolorstyle+xml"/>
  <Override PartName="/xl/charts/style5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style22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6.xml" ContentType="application/vnd.ms-office.chartcolorstyle+xml"/>
  <Override PartName="/xl/charts/style14.xml" ContentType="application/vnd.ms-office.chartstyle+xml"/>
  <Override PartName="/xl/charts/colors20.xml" ContentType="application/vnd.ms-office.chartcolorstyle+xml"/>
  <Override PartName="/xl/charts/colors22.xml" ContentType="application/vnd.ms-office.chartcolorstyle+xml"/>
  <Override PartName="/xl/charts/style23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3.xml" ContentType="application/vnd.ms-office.chartcolorstyle+xml"/>
  <Override PartName="/xl/charts/style26.xml" ContentType="application/vnd.ms-office.chartstyle+xml"/>
  <Override PartName="/xl/charts/style20.xml" ContentType="application/vnd.ms-office.chartstyle+xml"/>
  <Override PartName="/xl/charts/colors19.xml" ContentType="application/vnd.ms-office.chartcolorstyle+xml"/>
  <Override PartName="/xl/charts/colors15.xml" ContentType="application/vnd.ms-office.chartcolorstyle+xml"/>
  <Override PartName="/xl/charts/style15.xml" ContentType="application/vnd.ms-office.chartstyle+xml"/>
  <Override PartName="/xl/charts/colors14.xml" ContentType="application/vnd.ms-office.chartcolorstyle+xml"/>
  <Override PartName="/xl/charts/style27.xml" ContentType="application/vnd.ms-office.chartstyle+xml"/>
  <Override PartName="/xl/charts/style16.xml" ContentType="application/vnd.ms-office.chartstyle+xml"/>
  <Override PartName="/xl/charts/colors16.xml" ContentType="application/vnd.ms-office.chartcolorstyle+xml"/>
  <Override PartName="/xl/charts/style19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ummings\Desktop\THESL Completed Responses\"/>
    </mc:Choice>
  </mc:AlternateContent>
  <bookViews>
    <workbookView xWindow="0" yWindow="0" windowWidth="19200" windowHeight="7320" activeTab="2"/>
  </bookViews>
  <sheets>
    <sheet name="Plots" sheetId="1" r:id="rId1"/>
    <sheet name="Working Data" sheetId="2" r:id="rId2"/>
    <sheet name="Tables C-8 to C-10" sheetId="5" r:id="rId3"/>
    <sheet name="Difficulty Factors" sheetId="3" r:id="rId4"/>
    <sheet name="Wage Adjustors" sheetId="4" r:id="rId5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D4" i="5"/>
  <c r="Z109" i="2" l="1"/>
  <c r="Z110" i="2"/>
  <c r="Z111" i="2"/>
  <c r="Z112" i="2"/>
  <c r="Z113" i="2"/>
  <c r="Z114" i="2"/>
  <c r="Z116" i="2"/>
  <c r="Z117" i="2"/>
  <c r="Z118" i="2"/>
  <c r="Z119" i="2"/>
  <c r="Y109" i="2"/>
  <c r="Y110" i="2"/>
  <c r="Y111" i="2"/>
  <c r="Y112" i="2"/>
  <c r="Y113" i="2"/>
  <c r="Y114" i="2"/>
  <c r="Y116" i="2"/>
  <c r="Y117" i="2"/>
  <c r="Y118" i="2"/>
  <c r="Y119" i="2"/>
  <c r="Z108" i="2"/>
  <c r="Y108" i="2"/>
  <c r="Y100" i="2"/>
  <c r="Y101" i="2"/>
  <c r="Y102" i="2"/>
  <c r="Y92" i="2"/>
  <c r="Y93" i="2"/>
  <c r="Y94" i="2"/>
  <c r="Y95" i="2"/>
  <c r="Y96" i="2"/>
  <c r="Y97" i="2"/>
  <c r="Y91" i="2"/>
  <c r="Z100" i="2"/>
  <c r="Z101" i="2"/>
  <c r="Z102" i="2"/>
  <c r="Z99" i="2"/>
  <c r="Y99" i="2"/>
  <c r="Z92" i="2"/>
  <c r="Z93" i="2"/>
  <c r="Z94" i="2"/>
  <c r="Z95" i="2"/>
  <c r="Z96" i="2"/>
  <c r="Z97" i="2"/>
  <c r="Z91" i="2"/>
  <c r="O19" i="4" l="1"/>
  <c r="N21" i="4"/>
  <c r="O21" i="4"/>
  <c r="N20" i="4"/>
  <c r="O20" i="4"/>
  <c r="N18" i="4"/>
  <c r="O18" i="4"/>
  <c r="N17" i="4"/>
  <c r="O17" i="4"/>
  <c r="N16" i="4"/>
  <c r="O16" i="4"/>
  <c r="N15" i="4"/>
  <c r="O15" i="4"/>
  <c r="N14" i="4"/>
  <c r="O14" i="4"/>
  <c r="N13" i="4"/>
  <c r="O13" i="4"/>
  <c r="N12" i="4"/>
  <c r="O12" i="4"/>
  <c r="N11" i="4"/>
  <c r="O11" i="4"/>
  <c r="N10" i="4"/>
  <c r="O10" i="4"/>
  <c r="N9" i="4"/>
  <c r="O9" i="4"/>
  <c r="N8" i="4"/>
  <c r="O8" i="4"/>
  <c r="N7" i="4"/>
  <c r="O7" i="4"/>
  <c r="N6" i="4"/>
  <c r="O6" i="4"/>
  <c r="N5" i="4"/>
  <c r="O5" i="4"/>
  <c r="N4" i="4"/>
  <c r="O4" i="4"/>
  <c r="M21" i="4"/>
  <c r="M20" i="4"/>
  <c r="M18" i="4"/>
  <c r="M17" i="4"/>
  <c r="M15" i="4"/>
  <c r="M14" i="4"/>
  <c r="M16" i="4"/>
  <c r="M13" i="4"/>
  <c r="M12" i="4"/>
  <c r="M10" i="4"/>
  <c r="M9" i="4"/>
  <c r="M8" i="4"/>
  <c r="M7" i="4"/>
  <c r="M6" i="4"/>
  <c r="M5" i="4"/>
  <c r="M4" i="4"/>
  <c r="M11" i="4"/>
  <c r="E45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26" i="4"/>
  <c r="D44" i="4"/>
  <c r="D43" i="4"/>
  <c r="D40" i="4"/>
  <c r="D39" i="4"/>
  <c r="D36" i="4"/>
  <c r="D35" i="4"/>
  <c r="D34" i="4"/>
  <c r="D33" i="4"/>
  <c r="D32" i="4"/>
  <c r="D30" i="4"/>
  <c r="D29" i="4"/>
  <c r="D27" i="4"/>
  <c r="D26" i="4"/>
  <c r="C36" i="5" l="1"/>
  <c r="R36" i="2"/>
  <c r="O31" i="2"/>
  <c r="O27" i="2"/>
  <c r="N31" i="2"/>
  <c r="L27" i="2"/>
  <c r="F31" i="2"/>
  <c r="E27" i="2"/>
  <c r="N30" i="2"/>
  <c r="T30" i="2"/>
  <c r="T29" i="2"/>
  <c r="N25" i="2" l="1"/>
  <c r="U25" i="2"/>
  <c r="E25" i="2"/>
  <c r="F25" i="2"/>
  <c r="M25" i="2"/>
  <c r="A53" i="5"/>
  <c r="E29" i="2"/>
  <c r="C35" i="5" l="1"/>
  <c r="C37" i="5"/>
  <c r="C38" i="5"/>
  <c r="C39" i="5"/>
  <c r="C40" i="5"/>
  <c r="C42" i="5"/>
  <c r="C43" i="5"/>
  <c r="C44" i="5"/>
  <c r="C45" i="5"/>
  <c r="C34" i="5"/>
  <c r="C20" i="5"/>
  <c r="C21" i="5"/>
  <c r="C22" i="5"/>
  <c r="C23" i="5"/>
  <c r="C24" i="5"/>
  <c r="C25" i="5"/>
  <c r="C27" i="5"/>
  <c r="C28" i="5"/>
  <c r="C29" i="5"/>
  <c r="C30" i="5"/>
  <c r="C19" i="5"/>
  <c r="M9" i="5"/>
  <c r="S9" i="5"/>
  <c r="D8" i="5"/>
  <c r="K6" i="5"/>
  <c r="N6" i="5"/>
  <c r="E4" i="5"/>
  <c r="M4" i="5"/>
  <c r="T4" i="5"/>
  <c r="C4" i="5"/>
  <c r="C5" i="5"/>
  <c r="C6" i="5"/>
  <c r="C7" i="5"/>
  <c r="C8" i="5"/>
  <c r="C9" i="5"/>
  <c r="C10" i="5"/>
  <c r="C12" i="5"/>
  <c r="C13" i="5"/>
  <c r="C14" i="5"/>
  <c r="C15" i="5"/>
  <c r="P33" i="2" l="1"/>
  <c r="O12" i="5" s="1"/>
  <c r="P26" i="2"/>
  <c r="O5" i="5" s="1"/>
  <c r="P27" i="2"/>
  <c r="O6" i="5" s="1"/>
  <c r="P28" i="2"/>
  <c r="O7" i="5" s="1"/>
  <c r="P29" i="2"/>
  <c r="O8" i="5" s="1"/>
  <c r="P30" i="2"/>
  <c r="O9" i="5" s="1"/>
  <c r="P31" i="2"/>
  <c r="O10" i="5" s="1"/>
  <c r="P25" i="2"/>
  <c r="O4" i="5" s="1"/>
  <c r="K34" i="2"/>
  <c r="K35" i="2"/>
  <c r="J14" i="5" s="1"/>
  <c r="K36" i="2"/>
  <c r="J15" i="5" s="1"/>
  <c r="K33" i="2"/>
  <c r="K26" i="2"/>
  <c r="J5" i="5" s="1"/>
  <c r="K27" i="2"/>
  <c r="J6" i="5" s="1"/>
  <c r="K28" i="2"/>
  <c r="J7" i="5" s="1"/>
  <c r="K29" i="2"/>
  <c r="J8" i="5" s="1"/>
  <c r="K30" i="2"/>
  <c r="J9" i="5" s="1"/>
  <c r="K31" i="2"/>
  <c r="J10" i="5" s="1"/>
  <c r="K25" i="2"/>
  <c r="J4" i="5" s="1"/>
  <c r="O29" i="2"/>
  <c r="N8" i="5" s="1"/>
  <c r="E33" i="2"/>
  <c r="D12" i="5" s="1"/>
  <c r="J12" i="5" l="1"/>
  <c r="J13" i="5"/>
  <c r="W16" i="2"/>
  <c r="W17" i="2"/>
  <c r="W15" i="2"/>
  <c r="W14" i="2"/>
  <c r="W6" i="2"/>
  <c r="W7" i="2"/>
  <c r="W8" i="2"/>
  <c r="W9" i="2"/>
  <c r="W10" i="2"/>
  <c r="W11" i="2"/>
  <c r="W5" i="2"/>
  <c r="G16" i="3" l="1"/>
  <c r="H16" i="3" s="1"/>
  <c r="K16" i="3"/>
  <c r="L16" i="3"/>
  <c r="I16" i="3"/>
  <c r="J16" i="3" s="1"/>
  <c r="O33" i="2"/>
  <c r="O26" i="2"/>
  <c r="O28" i="2"/>
  <c r="O30" i="2"/>
  <c r="O25" i="2"/>
  <c r="V6" i="2"/>
  <c r="V7" i="2"/>
  <c r="V8" i="2"/>
  <c r="V9" i="2"/>
  <c r="V10" i="2"/>
  <c r="V11" i="2"/>
  <c r="V12" i="2"/>
  <c r="Q28" i="2"/>
  <c r="U33" i="2"/>
  <c r="T12" i="5" l="1"/>
  <c r="N7" i="5"/>
  <c r="P7" i="5"/>
  <c r="N12" i="5"/>
  <c r="N9" i="5"/>
  <c r="N10" i="5"/>
  <c r="N4" i="5"/>
  <c r="N5" i="5"/>
  <c r="U26" i="2"/>
  <c r="U27" i="2"/>
  <c r="U28" i="2"/>
  <c r="U29" i="2"/>
  <c r="U30" i="2"/>
  <c r="U31" i="2"/>
  <c r="V15" i="2"/>
  <c r="V16" i="2"/>
  <c r="V17" i="2"/>
  <c r="V14" i="2"/>
  <c r="G13" i="3"/>
  <c r="K13" i="3"/>
  <c r="I13" i="3"/>
  <c r="B14" i="4"/>
  <c r="T34" i="2"/>
  <c r="T35" i="2"/>
  <c r="T36" i="2"/>
  <c r="T33" i="2"/>
  <c r="T26" i="2"/>
  <c r="T27" i="2"/>
  <c r="T28" i="2"/>
  <c r="T31" i="2"/>
  <c r="T25" i="2"/>
  <c r="B8" i="4"/>
  <c r="K7" i="3"/>
  <c r="I7" i="3"/>
  <c r="G7" i="3"/>
  <c r="S10" i="5" l="1"/>
  <c r="S5" i="5"/>
  <c r="S12" i="5"/>
  <c r="T7" i="5"/>
  <c r="S7" i="5"/>
  <c r="T6" i="5"/>
  <c r="S6" i="5"/>
  <c r="S13" i="5"/>
  <c r="S15" i="5"/>
  <c r="S14" i="5"/>
  <c r="S8" i="5"/>
  <c r="T10" i="5"/>
  <c r="T9" i="5"/>
  <c r="T5" i="5"/>
  <c r="S4" i="5"/>
  <c r="T8" i="5"/>
  <c r="C9" i="4"/>
  <c r="C13" i="4"/>
  <c r="C22" i="4"/>
  <c r="C5" i="4"/>
  <c r="E5" i="4" s="1"/>
  <c r="B22" i="4"/>
  <c r="B21" i="4"/>
  <c r="B19" i="4"/>
  <c r="C19" i="4" s="1"/>
  <c r="B16" i="4"/>
  <c r="C16" i="4" s="1"/>
  <c r="B15" i="4"/>
  <c r="B13" i="4"/>
  <c r="B12" i="4"/>
  <c r="C12" i="4" s="1"/>
  <c r="B11" i="4"/>
  <c r="C11" i="4" s="1"/>
  <c r="B10" i="4"/>
  <c r="B9" i="4"/>
  <c r="B7" i="4"/>
  <c r="C7" i="4" s="1"/>
  <c r="B6" i="4"/>
  <c r="C6" i="4" s="1"/>
  <c r="B5" i="4"/>
  <c r="C8" i="4" l="1"/>
  <c r="C17" i="4"/>
  <c r="C10" i="4"/>
  <c r="C15" i="4"/>
  <c r="C18" i="4"/>
  <c r="C21" i="4"/>
  <c r="C20" i="4"/>
  <c r="C14" i="4"/>
  <c r="L9" i="3"/>
  <c r="L14" i="3"/>
  <c r="L19" i="3"/>
  <c r="K5" i="3"/>
  <c r="K6" i="3"/>
  <c r="K8" i="3"/>
  <c r="K9" i="3"/>
  <c r="K10" i="3"/>
  <c r="K11" i="3"/>
  <c r="K12" i="3"/>
  <c r="K14" i="3"/>
  <c r="K15" i="3"/>
  <c r="K17" i="3"/>
  <c r="K18" i="3"/>
  <c r="K19" i="3"/>
  <c r="K20" i="3"/>
  <c r="K21" i="3"/>
  <c r="L21" i="3" s="1"/>
  <c r="K4" i="3"/>
  <c r="I5" i="3"/>
  <c r="I6" i="3"/>
  <c r="I8" i="3"/>
  <c r="I9" i="3"/>
  <c r="I10" i="3"/>
  <c r="I11" i="3"/>
  <c r="I12" i="3"/>
  <c r="I14" i="3"/>
  <c r="I15" i="3"/>
  <c r="I17" i="3"/>
  <c r="I18" i="3"/>
  <c r="I19" i="3"/>
  <c r="I20" i="3"/>
  <c r="I21" i="3"/>
  <c r="I4" i="3"/>
  <c r="G5" i="3"/>
  <c r="G6" i="3"/>
  <c r="H6" i="3" s="1"/>
  <c r="H22" i="3" s="1"/>
  <c r="G8" i="3"/>
  <c r="G9" i="3"/>
  <c r="G10" i="3"/>
  <c r="G11" i="3"/>
  <c r="H11" i="3" s="1"/>
  <c r="G12" i="3"/>
  <c r="G14" i="3"/>
  <c r="G15" i="3"/>
  <c r="G17" i="3"/>
  <c r="H17" i="3" s="1"/>
  <c r="G18" i="3"/>
  <c r="G19" i="3"/>
  <c r="G20" i="3"/>
  <c r="G21" i="3"/>
  <c r="G4" i="3"/>
  <c r="S26" i="2"/>
  <c r="S27" i="2"/>
  <c r="S28" i="2"/>
  <c r="S29" i="2"/>
  <c r="S30" i="2"/>
  <c r="S31" i="2"/>
  <c r="S33" i="2"/>
  <c r="J26" i="2"/>
  <c r="J27" i="2"/>
  <c r="J28" i="2"/>
  <c r="J29" i="2"/>
  <c r="J30" i="2"/>
  <c r="J31" i="2"/>
  <c r="J32" i="2"/>
  <c r="J33" i="2"/>
  <c r="I26" i="2"/>
  <c r="I27" i="2"/>
  <c r="I28" i="2"/>
  <c r="I29" i="2"/>
  <c r="I30" i="2"/>
  <c r="I31" i="2"/>
  <c r="I33" i="2"/>
  <c r="I34" i="2"/>
  <c r="I35" i="2"/>
  <c r="I36" i="2"/>
  <c r="H26" i="2"/>
  <c r="H27" i="2"/>
  <c r="H28" i="2"/>
  <c r="H29" i="2"/>
  <c r="H30" i="2"/>
  <c r="H31" i="2"/>
  <c r="H33" i="2"/>
  <c r="G26" i="2"/>
  <c r="G27" i="2"/>
  <c r="G28" i="2"/>
  <c r="G29" i="2"/>
  <c r="G30" i="2"/>
  <c r="G31" i="2"/>
  <c r="G33" i="2"/>
  <c r="G34" i="2"/>
  <c r="G35" i="2"/>
  <c r="G36" i="2"/>
  <c r="F26" i="2"/>
  <c r="F27" i="2"/>
  <c r="F28" i="2"/>
  <c r="F29" i="2"/>
  <c r="F30" i="2"/>
  <c r="F33" i="2"/>
  <c r="F34" i="2"/>
  <c r="F35" i="2"/>
  <c r="F36" i="2"/>
  <c r="L26" i="2"/>
  <c r="L28" i="2"/>
  <c r="L29" i="2"/>
  <c r="L30" i="2"/>
  <c r="L31" i="2"/>
  <c r="L33" i="2"/>
  <c r="M26" i="2"/>
  <c r="M27" i="2"/>
  <c r="M28" i="2"/>
  <c r="M29" i="2"/>
  <c r="M30" i="2"/>
  <c r="M31" i="2"/>
  <c r="M33" i="2"/>
  <c r="N26" i="2"/>
  <c r="N27" i="2"/>
  <c r="N28" i="2"/>
  <c r="N29" i="2"/>
  <c r="N33" i="2"/>
  <c r="N34" i="2"/>
  <c r="N35" i="2"/>
  <c r="N36" i="2"/>
  <c r="R34" i="2"/>
  <c r="R35" i="2"/>
  <c r="R26" i="2"/>
  <c r="R27" i="2"/>
  <c r="R28" i="2"/>
  <c r="R29" i="2"/>
  <c r="R30" i="2"/>
  <c r="R31" i="2"/>
  <c r="R33" i="2"/>
  <c r="Q26" i="2"/>
  <c r="Q27" i="2"/>
  <c r="Q29" i="2"/>
  <c r="Q30" i="2"/>
  <c r="Q31" i="2"/>
  <c r="Q33" i="2"/>
  <c r="R25" i="2"/>
  <c r="S25" i="2"/>
  <c r="Q25" i="2"/>
  <c r="L25" i="2"/>
  <c r="H25" i="2"/>
  <c r="I25" i="2"/>
  <c r="J25" i="2"/>
  <c r="E26" i="2"/>
  <c r="E28" i="2"/>
  <c r="E30" i="2"/>
  <c r="E31" i="2"/>
  <c r="E34" i="2"/>
  <c r="D13" i="5" s="1"/>
  <c r="E35" i="2"/>
  <c r="E36" i="2"/>
  <c r="D15" i="5" s="1"/>
  <c r="D6" i="4" l="1"/>
  <c r="D10" i="4"/>
  <c r="D14" i="4"/>
  <c r="D18" i="4"/>
  <c r="D22" i="4"/>
  <c r="D7" i="4"/>
  <c r="D11" i="4"/>
  <c r="D15" i="4"/>
  <c r="D19" i="4"/>
  <c r="Q76" i="2" s="1"/>
  <c r="Q94" i="2" s="1"/>
  <c r="D5" i="4"/>
  <c r="F73" i="2" s="1"/>
  <c r="F5" i="4"/>
  <c r="D8" i="4"/>
  <c r="D16" i="4"/>
  <c r="D9" i="4"/>
  <c r="D13" i="4"/>
  <c r="L75" i="2" s="1"/>
  <c r="L93" i="2" s="1"/>
  <c r="D17" i="4"/>
  <c r="D21" i="4"/>
  <c r="D12" i="4"/>
  <c r="D20" i="4"/>
  <c r="R81" i="2" s="1"/>
  <c r="R99" i="2" s="1"/>
  <c r="J74" i="2"/>
  <c r="D5" i="5"/>
  <c r="S73" i="2"/>
  <c r="S91" i="2" s="1"/>
  <c r="R19" i="5" s="1"/>
  <c r="R4" i="5"/>
  <c r="Q12" i="5"/>
  <c r="R76" i="2"/>
  <c r="R94" i="2" s="1"/>
  <c r="Q22" i="5" s="1"/>
  <c r="Q7" i="5"/>
  <c r="N81" i="2"/>
  <c r="N99" i="2" s="1"/>
  <c r="M12" i="5"/>
  <c r="N75" i="2"/>
  <c r="N93" i="2" s="1"/>
  <c r="N110" i="2" s="1"/>
  <c r="M36" i="5" s="1"/>
  <c r="M6" i="5"/>
  <c r="L77" i="2"/>
  <c r="L95" i="2" s="1"/>
  <c r="K8" i="5"/>
  <c r="F74" i="2"/>
  <c r="F92" i="2" s="1"/>
  <c r="E20" i="5" s="1"/>
  <c r="E5" i="5"/>
  <c r="G81" i="2"/>
  <c r="G99" i="2" s="1"/>
  <c r="F12" i="5"/>
  <c r="G76" i="2"/>
  <c r="G94" i="2" s="1"/>
  <c r="G111" i="2" s="1"/>
  <c r="F7" i="5"/>
  <c r="I12" i="5"/>
  <c r="J81" i="2"/>
  <c r="J99" i="2" s="1"/>
  <c r="S81" i="2"/>
  <c r="S99" i="2" s="1"/>
  <c r="S116" i="2" s="1"/>
  <c r="R12" i="5"/>
  <c r="S76" i="2"/>
  <c r="S94" i="2" s="1"/>
  <c r="R7" i="5"/>
  <c r="J73" i="2"/>
  <c r="J91" i="2" s="1"/>
  <c r="I19" i="5" s="1"/>
  <c r="I4" i="5"/>
  <c r="R73" i="2"/>
  <c r="R91" i="2" s="1"/>
  <c r="Q19" i="5" s="1"/>
  <c r="Q4" i="5"/>
  <c r="N74" i="2"/>
  <c r="N92" i="2" s="1"/>
  <c r="N109" i="2" s="1"/>
  <c r="M5" i="5"/>
  <c r="K12" i="5"/>
  <c r="L81" i="2"/>
  <c r="L99" i="2" s="1"/>
  <c r="L76" i="2"/>
  <c r="L94" i="2" s="1"/>
  <c r="K22" i="5" s="1"/>
  <c r="K7" i="5"/>
  <c r="G75" i="2"/>
  <c r="G93" i="2" s="1"/>
  <c r="G110" i="2" s="1"/>
  <c r="F36" i="5" s="1"/>
  <c r="F6" i="5"/>
  <c r="H74" i="2"/>
  <c r="H92" i="2" s="1"/>
  <c r="G20" i="5" s="1"/>
  <c r="G5" i="5"/>
  <c r="H12" i="5"/>
  <c r="I81" i="2"/>
  <c r="I99" i="2" s="1"/>
  <c r="I76" i="2"/>
  <c r="I94" i="2" s="1"/>
  <c r="I111" i="2" s="1"/>
  <c r="H7" i="5"/>
  <c r="J76" i="2"/>
  <c r="J94" i="2" s="1"/>
  <c r="I7" i="5"/>
  <c r="S75" i="2"/>
  <c r="S93" i="2" s="1"/>
  <c r="S110" i="2" s="1"/>
  <c r="R36" i="5" s="1"/>
  <c r="R6" i="5"/>
  <c r="P12" i="5"/>
  <c r="Q81" i="2"/>
  <c r="Q99" i="2" s="1"/>
  <c r="M81" i="2"/>
  <c r="L12" i="5"/>
  <c r="M76" i="2"/>
  <c r="L7" i="5"/>
  <c r="L79" i="2"/>
  <c r="L97" i="2" s="1"/>
  <c r="K25" i="5" s="1"/>
  <c r="K10" i="5"/>
  <c r="F76" i="2"/>
  <c r="F94" i="2" s="1"/>
  <c r="E22" i="5" s="1"/>
  <c r="E7" i="5"/>
  <c r="G74" i="2"/>
  <c r="G92" i="2" s="1"/>
  <c r="G109" i="2" s="1"/>
  <c r="F5" i="5"/>
  <c r="D7" i="5"/>
  <c r="N76" i="2"/>
  <c r="N94" i="2" s="1"/>
  <c r="N111" i="2" s="1"/>
  <c r="M7" i="5"/>
  <c r="M75" i="2"/>
  <c r="M93" i="2" s="1"/>
  <c r="L6" i="5"/>
  <c r="F81" i="2"/>
  <c r="F99" i="2" s="1"/>
  <c r="E27" i="5" s="1"/>
  <c r="E12" i="5"/>
  <c r="F75" i="2"/>
  <c r="F93" i="2" s="1"/>
  <c r="F110" i="2" s="1"/>
  <c r="E36" i="5" s="1"/>
  <c r="E6" i="5"/>
  <c r="H81" i="2"/>
  <c r="H99" i="2" s="1"/>
  <c r="H116" i="2" s="1"/>
  <c r="G12" i="5"/>
  <c r="H76" i="2"/>
  <c r="H94" i="2" s="1"/>
  <c r="G22" i="5" s="1"/>
  <c r="G7" i="5"/>
  <c r="S77" i="2"/>
  <c r="S95" i="2" s="1"/>
  <c r="R23" i="5" s="1"/>
  <c r="R8" i="5"/>
  <c r="E83" i="2"/>
  <c r="D14" i="5"/>
  <c r="G84" i="2"/>
  <c r="G102" i="2" s="1"/>
  <c r="G119" i="2" s="1"/>
  <c r="F15" i="5"/>
  <c r="R84" i="2"/>
  <c r="R102" i="2" s="1"/>
  <c r="R119" i="2" s="1"/>
  <c r="Q15" i="5"/>
  <c r="N84" i="2"/>
  <c r="N102" i="2" s="1"/>
  <c r="M30" i="5" s="1"/>
  <c r="M15" i="5"/>
  <c r="I84" i="2"/>
  <c r="I102" i="2" s="1"/>
  <c r="H30" i="5" s="1"/>
  <c r="H15" i="5"/>
  <c r="F84" i="2"/>
  <c r="F102" i="2" s="1"/>
  <c r="E30" i="5" s="1"/>
  <c r="E15" i="5"/>
  <c r="R83" i="2"/>
  <c r="R101" i="2" s="1"/>
  <c r="Q29" i="5" s="1"/>
  <c r="Q14" i="5"/>
  <c r="N83" i="2"/>
  <c r="N101" i="2" s="1"/>
  <c r="N118" i="2" s="1"/>
  <c r="M14" i="5"/>
  <c r="I83" i="2"/>
  <c r="I101" i="2" s="1"/>
  <c r="I118" i="2" s="1"/>
  <c r="H14" i="5"/>
  <c r="G83" i="2"/>
  <c r="G101" i="2" s="1"/>
  <c r="G118" i="2" s="1"/>
  <c r="F14" i="5"/>
  <c r="F83" i="2"/>
  <c r="F101" i="2" s="1"/>
  <c r="F118" i="2" s="1"/>
  <c r="E14" i="5"/>
  <c r="R82" i="2"/>
  <c r="R100" i="2" s="1"/>
  <c r="Q13" i="5"/>
  <c r="N82" i="2"/>
  <c r="N100" i="2" s="1"/>
  <c r="N117" i="2" s="1"/>
  <c r="M43" i="5" s="1"/>
  <c r="M13" i="5"/>
  <c r="I82" i="2"/>
  <c r="I100" i="2" s="1"/>
  <c r="I117" i="2" s="1"/>
  <c r="H43" i="5" s="1"/>
  <c r="H13" i="5"/>
  <c r="G82" i="2"/>
  <c r="G100" i="2" s="1"/>
  <c r="G117" i="2" s="1"/>
  <c r="F43" i="5" s="1"/>
  <c r="F13" i="5"/>
  <c r="F82" i="2"/>
  <c r="F100" i="2" s="1"/>
  <c r="F117" i="2" s="1"/>
  <c r="E43" i="5" s="1"/>
  <c r="E13" i="5"/>
  <c r="M77" i="2"/>
  <c r="M95" i="2" s="1"/>
  <c r="L8" i="5"/>
  <c r="J77" i="2"/>
  <c r="J95" i="2" s="1"/>
  <c r="I8" i="5"/>
  <c r="H77" i="2"/>
  <c r="G8" i="5"/>
  <c r="I77" i="2"/>
  <c r="I95" i="2" s="1"/>
  <c r="I112" i="2" s="1"/>
  <c r="H8" i="5"/>
  <c r="G77" i="2"/>
  <c r="F8" i="5"/>
  <c r="R75" i="2"/>
  <c r="R93" i="2" s="1"/>
  <c r="R110" i="2" s="1"/>
  <c r="Q36" i="5" s="1"/>
  <c r="Q6" i="5"/>
  <c r="J75" i="2"/>
  <c r="J93" i="2" s="1"/>
  <c r="I6" i="5"/>
  <c r="I75" i="2"/>
  <c r="I93" i="2" s="1"/>
  <c r="I110" i="2" s="1"/>
  <c r="H36" i="5" s="1"/>
  <c r="H6" i="5"/>
  <c r="H75" i="2"/>
  <c r="H93" i="2" s="1"/>
  <c r="H110" i="2" s="1"/>
  <c r="G36" i="5" s="1"/>
  <c r="G6" i="5"/>
  <c r="R79" i="2"/>
  <c r="R97" i="2" s="1"/>
  <c r="Q25" i="5" s="1"/>
  <c r="Q10" i="5"/>
  <c r="N79" i="2"/>
  <c r="N97" i="2" s="1"/>
  <c r="N114" i="2" s="1"/>
  <c r="M10" i="5"/>
  <c r="M79" i="2"/>
  <c r="M97" i="2" s="1"/>
  <c r="L10" i="5"/>
  <c r="I79" i="2"/>
  <c r="I97" i="2" s="1"/>
  <c r="I114" i="2" s="1"/>
  <c r="H10" i="5"/>
  <c r="E79" i="2"/>
  <c r="E97" i="2" s="1"/>
  <c r="E114" i="2" s="1"/>
  <c r="D10" i="5"/>
  <c r="L78" i="2"/>
  <c r="L96" i="2" s="1"/>
  <c r="L113" i="2" s="1"/>
  <c r="K9" i="5"/>
  <c r="H79" i="2"/>
  <c r="H97" i="2" s="1"/>
  <c r="H114" i="2" s="1"/>
  <c r="G10" i="5"/>
  <c r="S78" i="2"/>
  <c r="S96" i="2" s="1"/>
  <c r="S113" i="2" s="1"/>
  <c r="R9" i="5"/>
  <c r="R78" i="2"/>
  <c r="R96" i="2" s="1"/>
  <c r="R113" i="2" s="1"/>
  <c r="Q9" i="5"/>
  <c r="Q78" i="2"/>
  <c r="Q96" i="2" s="1"/>
  <c r="Q113" i="2" s="1"/>
  <c r="P9" i="5"/>
  <c r="J79" i="2"/>
  <c r="J97" i="2" s="1"/>
  <c r="I25" i="5" s="1"/>
  <c r="I10" i="5"/>
  <c r="J78" i="2"/>
  <c r="J96" i="2" s="1"/>
  <c r="I9" i="5"/>
  <c r="L73" i="2"/>
  <c r="L91" i="2" s="1"/>
  <c r="K19" i="5" s="1"/>
  <c r="K4" i="5"/>
  <c r="S74" i="2"/>
  <c r="S92" i="2" s="1"/>
  <c r="R20" i="5" s="1"/>
  <c r="R5" i="5"/>
  <c r="I78" i="2"/>
  <c r="I96" i="2" s="1"/>
  <c r="I113" i="2" s="1"/>
  <c r="H9" i="5"/>
  <c r="H78" i="2"/>
  <c r="H96" i="2" s="1"/>
  <c r="G24" i="5" s="1"/>
  <c r="G9" i="5"/>
  <c r="G78" i="2"/>
  <c r="G96" i="2" s="1"/>
  <c r="G113" i="2" s="1"/>
  <c r="F9" i="5"/>
  <c r="F78" i="2"/>
  <c r="F96" i="2" s="1"/>
  <c r="F113" i="2" s="1"/>
  <c r="E9" i="5"/>
  <c r="E78" i="2"/>
  <c r="E96" i="2" s="1"/>
  <c r="D24" i="5" s="1"/>
  <c r="D9" i="5"/>
  <c r="M78" i="2"/>
  <c r="L9" i="5"/>
  <c r="H73" i="2"/>
  <c r="H91" i="2" s="1"/>
  <c r="G19" i="5" s="1"/>
  <c r="G4" i="5"/>
  <c r="G79" i="2"/>
  <c r="G97" i="2" s="1"/>
  <c r="F25" i="5" s="1"/>
  <c r="F10" i="5"/>
  <c r="F79" i="2"/>
  <c r="F97" i="2" s="1"/>
  <c r="F114" i="2" s="1"/>
  <c r="E10" i="5"/>
  <c r="S79" i="2"/>
  <c r="S97" i="2" s="1"/>
  <c r="R25" i="5" s="1"/>
  <c r="R10" i="5"/>
  <c r="Q79" i="2"/>
  <c r="Q97" i="2" s="1"/>
  <c r="Q114" i="2" s="1"/>
  <c r="P10" i="5"/>
  <c r="N77" i="2"/>
  <c r="N95" i="2" s="1"/>
  <c r="N112" i="2" s="1"/>
  <c r="M8" i="5"/>
  <c r="R77" i="2"/>
  <c r="R95" i="2" s="1"/>
  <c r="R112" i="2" s="1"/>
  <c r="Q8" i="5"/>
  <c r="Q77" i="2"/>
  <c r="Q95" i="2" s="1"/>
  <c r="P23" i="5" s="1"/>
  <c r="P8" i="5"/>
  <c r="F77" i="2"/>
  <c r="E8" i="5"/>
  <c r="Q75" i="2"/>
  <c r="Q93" i="2" s="1"/>
  <c r="Q110" i="2" s="1"/>
  <c r="P36" i="5" s="1"/>
  <c r="P6" i="5"/>
  <c r="E75" i="2"/>
  <c r="D6" i="5"/>
  <c r="R74" i="2"/>
  <c r="R92" i="2" s="1"/>
  <c r="R109" i="2" s="1"/>
  <c r="Q5" i="5"/>
  <c r="Q74" i="2"/>
  <c r="Q92" i="2" s="1"/>
  <c r="Q109" i="2" s="1"/>
  <c r="P5" i="5"/>
  <c r="M74" i="2"/>
  <c r="M92" i="2" s="1"/>
  <c r="L5" i="5"/>
  <c r="L74" i="2"/>
  <c r="L92" i="2" s="1"/>
  <c r="L109" i="2" s="1"/>
  <c r="K5" i="5"/>
  <c r="I74" i="2"/>
  <c r="I92" i="2" s="1"/>
  <c r="H20" i="5" s="1"/>
  <c r="H5" i="5"/>
  <c r="J92" i="2"/>
  <c r="J109" i="2" s="1"/>
  <c r="I5" i="5"/>
  <c r="M73" i="2"/>
  <c r="M91" i="2" s="1"/>
  <c r="L4" i="5"/>
  <c r="Q73" i="2"/>
  <c r="Q91" i="2" s="1"/>
  <c r="P4" i="5"/>
  <c r="I73" i="2"/>
  <c r="I91" i="2" s="1"/>
  <c r="H4" i="5"/>
  <c r="L114" i="2"/>
  <c r="R24" i="5"/>
  <c r="L112" i="2"/>
  <c r="K23" i="5"/>
  <c r="H111" i="2"/>
  <c r="S111" i="2"/>
  <c r="R22" i="5"/>
  <c r="L111" i="2"/>
  <c r="R111" i="2"/>
  <c r="M21" i="5"/>
  <c r="E21" i="5"/>
  <c r="F21" i="5"/>
  <c r="R21" i="5"/>
  <c r="L110" i="2"/>
  <c r="K36" i="5" s="1"/>
  <c r="K21" i="5"/>
  <c r="F109" i="2"/>
  <c r="F20" i="5"/>
  <c r="R108" i="2"/>
  <c r="S108" i="2"/>
  <c r="F30" i="5"/>
  <c r="N116" i="2"/>
  <c r="M27" i="5"/>
  <c r="G116" i="2"/>
  <c r="F27" i="5"/>
  <c r="R27" i="5"/>
  <c r="V36" i="2"/>
  <c r="E84" i="2"/>
  <c r="E101" i="2"/>
  <c r="D29" i="5" s="1"/>
  <c r="V29" i="2"/>
  <c r="E77" i="2"/>
  <c r="E95" i="2" s="1"/>
  <c r="M94" i="2"/>
  <c r="M99" i="2"/>
  <c r="V33" i="2"/>
  <c r="V34" i="2"/>
  <c r="E82" i="2"/>
  <c r="F91" i="2"/>
  <c r="E19" i="5" s="1"/>
  <c r="M96" i="2"/>
  <c r="L7" i="3"/>
  <c r="L13" i="3"/>
  <c r="L18" i="3"/>
  <c r="L12" i="3"/>
  <c r="L8" i="3"/>
  <c r="J5" i="3"/>
  <c r="J7" i="3"/>
  <c r="J13" i="3"/>
  <c r="L20" i="3"/>
  <c r="L17" i="3"/>
  <c r="L11" i="3"/>
  <c r="L6" i="3"/>
  <c r="L22" i="3" s="1"/>
  <c r="H13" i="3"/>
  <c r="H7" i="3"/>
  <c r="L4" i="3"/>
  <c r="L15" i="3"/>
  <c r="L10" i="3"/>
  <c r="L5" i="3"/>
  <c r="V28" i="2"/>
  <c r="V35" i="2"/>
  <c r="V31" i="2"/>
  <c r="V27" i="2"/>
  <c r="V30" i="2"/>
  <c r="V26" i="2"/>
  <c r="H8" i="3"/>
  <c r="H15" i="3"/>
  <c r="J19" i="3"/>
  <c r="J20" i="3"/>
  <c r="H12" i="3"/>
  <c r="H5" i="3"/>
  <c r="J14" i="3"/>
  <c r="J21" i="3"/>
  <c r="J4" i="3"/>
  <c r="J12" i="3"/>
  <c r="J8" i="3"/>
  <c r="H10" i="3"/>
  <c r="H21" i="3"/>
  <c r="J9" i="3"/>
  <c r="H4" i="3"/>
  <c r="H18" i="3"/>
  <c r="J17" i="3"/>
  <c r="J11" i="3"/>
  <c r="H19" i="3"/>
  <c r="H9" i="3"/>
  <c r="J18" i="3"/>
  <c r="J6" i="3"/>
  <c r="J10" i="3"/>
  <c r="H20" i="3"/>
  <c r="H14" i="3"/>
  <c r="J15" i="3"/>
  <c r="G21" i="5" l="1"/>
  <c r="G27" i="5"/>
  <c r="S109" i="2"/>
  <c r="S112" i="2"/>
  <c r="R38" i="5" s="1"/>
  <c r="P24" i="5"/>
  <c r="R116" i="2"/>
  <c r="Q27" i="5"/>
  <c r="O75" i="2"/>
  <c r="O93" i="2" s="1"/>
  <c r="O77" i="2"/>
  <c r="O95" i="2" s="1"/>
  <c r="O78" i="2"/>
  <c r="O96" i="2" s="1"/>
  <c r="O73" i="2"/>
  <c r="O91" i="2" s="1"/>
  <c r="O81" i="2"/>
  <c r="O99" i="2" s="1"/>
  <c r="O76" i="2"/>
  <c r="O94" i="2" s="1"/>
  <c r="O79" i="2"/>
  <c r="O97" i="2" s="1"/>
  <c r="O74" i="2"/>
  <c r="O92" i="2" s="1"/>
  <c r="T78" i="2"/>
  <c r="T96" i="2" s="1"/>
  <c r="T73" i="2"/>
  <c r="T91" i="2" s="1"/>
  <c r="T82" i="2"/>
  <c r="T100" i="2" s="1"/>
  <c r="T83" i="2"/>
  <c r="T101" i="2" s="1"/>
  <c r="T81" i="2"/>
  <c r="T99" i="2" s="1"/>
  <c r="T76" i="2"/>
  <c r="T94" i="2" s="1"/>
  <c r="T79" i="2"/>
  <c r="T97" i="2" s="1"/>
  <c r="T75" i="2"/>
  <c r="T93" i="2" s="1"/>
  <c r="T84" i="2"/>
  <c r="T102" i="2" s="1"/>
  <c r="T77" i="2"/>
  <c r="T95" i="2" s="1"/>
  <c r="T74" i="2"/>
  <c r="T92" i="2" s="1"/>
  <c r="P74" i="2"/>
  <c r="P92" i="2" s="1"/>
  <c r="P78" i="2"/>
  <c r="P96" i="2" s="1"/>
  <c r="P79" i="2"/>
  <c r="P97" i="2" s="1"/>
  <c r="P73" i="2"/>
  <c r="P91" i="2" s="1"/>
  <c r="P75" i="2"/>
  <c r="P93" i="2" s="1"/>
  <c r="P76" i="2"/>
  <c r="P94" i="2" s="1"/>
  <c r="P81" i="2"/>
  <c r="P99" i="2" s="1"/>
  <c r="P77" i="2"/>
  <c r="P95" i="2" s="1"/>
  <c r="K83" i="2"/>
  <c r="K101" i="2" s="1"/>
  <c r="K81" i="2"/>
  <c r="K99" i="2" s="1"/>
  <c r="K84" i="2"/>
  <c r="K102" i="2" s="1"/>
  <c r="K82" i="2"/>
  <c r="K100" i="2" s="1"/>
  <c r="K74" i="2"/>
  <c r="K92" i="2" s="1"/>
  <c r="K78" i="2"/>
  <c r="K96" i="2" s="1"/>
  <c r="K75" i="2"/>
  <c r="K93" i="2" s="1"/>
  <c r="K79" i="2"/>
  <c r="K97" i="2" s="1"/>
  <c r="K73" i="2"/>
  <c r="K91" i="2" s="1"/>
  <c r="K76" i="2"/>
  <c r="K94" i="2" s="1"/>
  <c r="V94" i="2" s="1"/>
  <c r="K77" i="2"/>
  <c r="K95" i="2" s="1"/>
  <c r="U81" i="2"/>
  <c r="U99" i="2" s="1"/>
  <c r="U73" i="2"/>
  <c r="U91" i="2" s="1"/>
  <c r="U78" i="2"/>
  <c r="U96" i="2" s="1"/>
  <c r="U79" i="2"/>
  <c r="U97" i="2" s="1"/>
  <c r="U74" i="2"/>
  <c r="U92" i="2" s="1"/>
  <c r="U76" i="2"/>
  <c r="U94" i="2" s="1"/>
  <c r="U75" i="2"/>
  <c r="U93" i="2" s="1"/>
  <c r="U77" i="2"/>
  <c r="U95" i="2" s="1"/>
  <c r="M22" i="5"/>
  <c r="E81" i="2"/>
  <c r="E73" i="2"/>
  <c r="E91" i="2" s="1"/>
  <c r="M29" i="5"/>
  <c r="E76" i="2"/>
  <c r="E94" i="2" s="1"/>
  <c r="E74" i="2"/>
  <c r="E92" i="2" s="1"/>
  <c r="D20" i="5" s="1"/>
  <c r="D23" i="4"/>
  <c r="N73" i="2"/>
  <c r="N91" i="2" s="1"/>
  <c r="N78" i="2"/>
  <c r="N96" i="2" s="1"/>
  <c r="Q111" i="2"/>
  <c r="P37" i="5" s="1"/>
  <c r="P22" i="5"/>
  <c r="M28" i="5"/>
  <c r="I109" i="2"/>
  <c r="R118" i="2"/>
  <c r="Q44" i="5" s="1"/>
  <c r="H24" i="5"/>
  <c r="L108" i="2"/>
  <c r="K34" i="5" s="1"/>
  <c r="P21" i="5"/>
  <c r="Q112" i="2"/>
  <c r="H22" i="5"/>
  <c r="F22" i="5"/>
  <c r="I116" i="2"/>
  <c r="H42" i="5" s="1"/>
  <c r="H27" i="5"/>
  <c r="J116" i="2"/>
  <c r="I42" i="5" s="1"/>
  <c r="I27" i="5"/>
  <c r="I22" i="5"/>
  <c r="J111" i="2"/>
  <c r="D156" i="1"/>
  <c r="D88" i="1"/>
  <c r="U12" i="5"/>
  <c r="M20" i="5"/>
  <c r="L116" i="2"/>
  <c r="K42" i="5" s="1"/>
  <c r="K27" i="5"/>
  <c r="H23" i="5"/>
  <c r="Q24" i="5"/>
  <c r="J108" i="2"/>
  <c r="I34" i="5" s="1"/>
  <c r="I119" i="2"/>
  <c r="I108" i="2"/>
  <c r="H34" i="5" s="1"/>
  <c r="H19" i="5"/>
  <c r="G95" i="2"/>
  <c r="G112" i="2" s="1"/>
  <c r="F38" i="5" s="1"/>
  <c r="P27" i="5"/>
  <c r="Q116" i="2"/>
  <c r="P42" i="5" s="1"/>
  <c r="N119" i="2"/>
  <c r="M45" i="5" s="1"/>
  <c r="F119" i="2"/>
  <c r="E45" i="5" s="1"/>
  <c r="H28" i="5"/>
  <c r="Q28" i="5"/>
  <c r="R117" i="2"/>
  <c r="Q43" i="5" s="1"/>
  <c r="F28" i="5"/>
  <c r="H29" i="5"/>
  <c r="E28" i="5"/>
  <c r="Q30" i="5"/>
  <c r="D91" i="1"/>
  <c r="D159" i="1"/>
  <c r="U15" i="5"/>
  <c r="F29" i="5"/>
  <c r="E29" i="5"/>
  <c r="D158" i="1"/>
  <c r="D90" i="1"/>
  <c r="U14" i="5"/>
  <c r="U13" i="5"/>
  <c r="D157" i="1"/>
  <c r="D89" i="1"/>
  <c r="K24" i="5"/>
  <c r="H95" i="2"/>
  <c r="G23" i="5" s="1"/>
  <c r="F95" i="2"/>
  <c r="E23" i="5" s="1"/>
  <c r="J112" i="2"/>
  <c r="I38" i="5" s="1"/>
  <c r="I23" i="5"/>
  <c r="Q21" i="5"/>
  <c r="J110" i="2"/>
  <c r="I36" i="5" s="1"/>
  <c r="I21" i="5"/>
  <c r="H21" i="5"/>
  <c r="E93" i="2"/>
  <c r="D21" i="5" s="1"/>
  <c r="M25" i="5"/>
  <c r="S114" i="2"/>
  <c r="R40" i="5" s="1"/>
  <c r="R114" i="2"/>
  <c r="Q40" i="5" s="1"/>
  <c r="H25" i="5"/>
  <c r="G114" i="2"/>
  <c r="F40" i="5" s="1"/>
  <c r="D25" i="5"/>
  <c r="G25" i="5"/>
  <c r="E24" i="5"/>
  <c r="J113" i="2"/>
  <c r="I39" i="5" s="1"/>
  <c r="I24" i="5"/>
  <c r="H113" i="2"/>
  <c r="G39" i="5" s="1"/>
  <c r="Q108" i="2"/>
  <c r="P34" i="5" s="1"/>
  <c r="P19" i="5"/>
  <c r="H108" i="2"/>
  <c r="G34" i="5" s="1"/>
  <c r="M108" i="2"/>
  <c r="L34" i="5" s="1"/>
  <c r="L19" i="5"/>
  <c r="I20" i="5"/>
  <c r="M23" i="5"/>
  <c r="Q23" i="5"/>
  <c r="F24" i="5"/>
  <c r="H109" i="2"/>
  <c r="G35" i="5" s="1"/>
  <c r="J22" i="3"/>
  <c r="D12" i="1"/>
  <c r="D152" i="1"/>
  <c r="U9" i="5"/>
  <c r="E25" i="5"/>
  <c r="V79" i="2"/>
  <c r="P25" i="5"/>
  <c r="D153" i="1"/>
  <c r="D13" i="1"/>
  <c r="U10" i="5"/>
  <c r="D151" i="1"/>
  <c r="D11" i="1"/>
  <c r="U8" i="5"/>
  <c r="D150" i="1"/>
  <c r="D10" i="1"/>
  <c r="U7" i="5"/>
  <c r="D9" i="1"/>
  <c r="D149" i="1"/>
  <c r="U6" i="5"/>
  <c r="Q20" i="5"/>
  <c r="P20" i="5"/>
  <c r="K20" i="5"/>
  <c r="D8" i="1"/>
  <c r="D148" i="1"/>
  <c r="U5" i="5"/>
  <c r="H40" i="5"/>
  <c r="K40" i="5"/>
  <c r="G40" i="5"/>
  <c r="M40" i="5"/>
  <c r="M114" i="2"/>
  <c r="L25" i="5"/>
  <c r="P40" i="5"/>
  <c r="E40" i="5"/>
  <c r="D40" i="5"/>
  <c r="M113" i="2"/>
  <c r="L24" i="5"/>
  <c r="R39" i="5"/>
  <c r="K39" i="5"/>
  <c r="H39" i="5"/>
  <c r="E39" i="5"/>
  <c r="F39" i="5"/>
  <c r="P39" i="5"/>
  <c r="Q39" i="5"/>
  <c r="M112" i="2"/>
  <c r="L23" i="5"/>
  <c r="P38" i="5"/>
  <c r="Q38" i="5"/>
  <c r="H38" i="5"/>
  <c r="E112" i="2"/>
  <c r="D23" i="5"/>
  <c r="M38" i="5"/>
  <c r="K38" i="5"/>
  <c r="M111" i="2"/>
  <c r="L22" i="5"/>
  <c r="I37" i="5"/>
  <c r="Q37" i="5"/>
  <c r="K37" i="5"/>
  <c r="G37" i="5"/>
  <c r="H37" i="5"/>
  <c r="F37" i="5"/>
  <c r="R37" i="5"/>
  <c r="M37" i="5"/>
  <c r="M110" i="2"/>
  <c r="L36" i="5" s="1"/>
  <c r="L21" i="5"/>
  <c r="R35" i="5"/>
  <c r="K35" i="5"/>
  <c r="P35" i="5"/>
  <c r="M35" i="5"/>
  <c r="H35" i="5"/>
  <c r="M109" i="2"/>
  <c r="L20" i="5"/>
  <c r="F35" i="5"/>
  <c r="E35" i="5"/>
  <c r="I35" i="5"/>
  <c r="Q35" i="5"/>
  <c r="R34" i="5"/>
  <c r="Q34" i="5"/>
  <c r="H45" i="5"/>
  <c r="Q45" i="5"/>
  <c r="F45" i="5"/>
  <c r="M44" i="5"/>
  <c r="F44" i="5"/>
  <c r="E44" i="5"/>
  <c r="H44" i="5"/>
  <c r="M116" i="2"/>
  <c r="L27" i="5"/>
  <c r="G42" i="5"/>
  <c r="M42" i="5"/>
  <c r="Q42" i="5"/>
  <c r="R42" i="5"/>
  <c r="F42" i="5"/>
  <c r="V77" i="2"/>
  <c r="V101" i="2"/>
  <c r="E118" i="2"/>
  <c r="D44" i="5" s="1"/>
  <c r="E102" i="2"/>
  <c r="D30" i="5" s="1"/>
  <c r="V92" i="2"/>
  <c r="F116" i="2"/>
  <c r="E42" i="5" s="1"/>
  <c r="V82" i="2"/>
  <c r="E100" i="2"/>
  <c r="D28" i="5" s="1"/>
  <c r="F111" i="2"/>
  <c r="E37" i="5" s="1"/>
  <c r="F108" i="2"/>
  <c r="J114" i="2"/>
  <c r="I40" i="5" s="1"/>
  <c r="V97" i="2"/>
  <c r="E113" i="2"/>
  <c r="D39" i="5" s="1"/>
  <c r="V5" i="2"/>
  <c r="V84" i="2" l="1"/>
  <c r="V78" i="2"/>
  <c r="V83" i="2"/>
  <c r="M19" i="5"/>
  <c r="N108" i="2"/>
  <c r="M34" i="5" s="1"/>
  <c r="T23" i="5"/>
  <c r="U112" i="2"/>
  <c r="T38" i="5" s="1"/>
  <c r="U114" i="2"/>
  <c r="T40" i="5" s="1"/>
  <c r="T25" i="5"/>
  <c r="K112" i="2"/>
  <c r="J38" i="5" s="1"/>
  <c r="J23" i="5"/>
  <c r="K110" i="2"/>
  <c r="J36" i="5" s="1"/>
  <c r="J21" i="5"/>
  <c r="K119" i="2"/>
  <c r="J45" i="5" s="1"/>
  <c r="J30" i="5"/>
  <c r="O27" i="5"/>
  <c r="P116" i="2"/>
  <c r="O42" i="5" s="1"/>
  <c r="P114" i="2"/>
  <c r="O40" i="5" s="1"/>
  <c r="O25" i="5"/>
  <c r="T112" i="2"/>
  <c r="S38" i="5" s="1"/>
  <c r="S23" i="5"/>
  <c r="T111" i="2"/>
  <c r="S37" i="5" s="1"/>
  <c r="S22" i="5"/>
  <c r="S19" i="5"/>
  <c r="T108" i="2"/>
  <c r="S34" i="5" s="1"/>
  <c r="O111" i="2"/>
  <c r="N37" i="5" s="1"/>
  <c r="N22" i="5"/>
  <c r="O112" i="2"/>
  <c r="N38" i="5" s="1"/>
  <c r="N23" i="5"/>
  <c r="E108" i="2"/>
  <c r="D19" i="5"/>
  <c r="U110" i="2"/>
  <c r="T36" i="5" s="1"/>
  <c r="T21" i="5"/>
  <c r="T24" i="5"/>
  <c r="U113" i="2"/>
  <c r="T39" i="5" s="1"/>
  <c r="K111" i="2"/>
  <c r="J37" i="5" s="1"/>
  <c r="J22" i="5"/>
  <c r="K113" i="2"/>
  <c r="J39" i="5" s="1"/>
  <c r="J24" i="5"/>
  <c r="K116" i="2"/>
  <c r="J42" i="5" s="1"/>
  <c r="J27" i="5"/>
  <c r="P111" i="2"/>
  <c r="O37" i="5" s="1"/>
  <c r="O22" i="5"/>
  <c r="P113" i="2"/>
  <c r="O39" i="5" s="1"/>
  <c r="O24" i="5"/>
  <c r="T119" i="2"/>
  <c r="S45" i="5" s="1"/>
  <c r="S30" i="5"/>
  <c r="T116" i="2"/>
  <c r="S42" i="5" s="1"/>
  <c r="S27" i="5"/>
  <c r="T113" i="2"/>
  <c r="S39" i="5" s="1"/>
  <c r="S24" i="5"/>
  <c r="N27" i="5"/>
  <c r="O116" i="2"/>
  <c r="N42" i="5" s="1"/>
  <c r="N21" i="5"/>
  <c r="O110" i="2"/>
  <c r="N36" i="5" s="1"/>
  <c r="T19" i="5"/>
  <c r="U108" i="2"/>
  <c r="T34" i="5" s="1"/>
  <c r="J19" i="5"/>
  <c r="K108" i="2"/>
  <c r="J34" i="5" s="1"/>
  <c r="K109" i="2"/>
  <c r="J35" i="5" s="1"/>
  <c r="J20" i="5"/>
  <c r="K118" i="2"/>
  <c r="J44" i="5" s="1"/>
  <c r="J29" i="5"/>
  <c r="P110" i="2"/>
  <c r="O36" i="5" s="1"/>
  <c r="O21" i="5"/>
  <c r="P109" i="2"/>
  <c r="O35" i="5" s="1"/>
  <c r="O20" i="5"/>
  <c r="S21" i="5"/>
  <c r="T110" i="2"/>
  <c r="S36" i="5" s="1"/>
  <c r="T118" i="2"/>
  <c r="S44" i="5" s="1"/>
  <c r="S29" i="5"/>
  <c r="O109" i="2"/>
  <c r="N35" i="5" s="1"/>
  <c r="N20" i="5"/>
  <c r="N19" i="5"/>
  <c r="O108" i="2"/>
  <c r="N34" i="5" s="1"/>
  <c r="E99" i="2"/>
  <c r="V81" i="2"/>
  <c r="U111" i="2"/>
  <c r="T37" i="5" s="1"/>
  <c r="T22" i="5"/>
  <c r="V96" i="2"/>
  <c r="G12" i="1" s="1"/>
  <c r="E109" i="2"/>
  <c r="D35" i="5" s="1"/>
  <c r="V75" i="2"/>
  <c r="V76" i="2"/>
  <c r="V74" i="2"/>
  <c r="N113" i="2"/>
  <c r="M39" i="5" s="1"/>
  <c r="M24" i="5"/>
  <c r="D22" i="5"/>
  <c r="E111" i="2"/>
  <c r="D37" i="5" s="1"/>
  <c r="U109" i="2"/>
  <c r="T35" i="5" s="1"/>
  <c r="T20" i="5"/>
  <c r="U116" i="2"/>
  <c r="T42" i="5" s="1"/>
  <c r="T27" i="5"/>
  <c r="K114" i="2"/>
  <c r="J40" i="5" s="1"/>
  <c r="J25" i="5"/>
  <c r="K117" i="2"/>
  <c r="J43" i="5" s="1"/>
  <c r="J28" i="5"/>
  <c r="P112" i="2"/>
  <c r="O38" i="5" s="1"/>
  <c r="O23" i="5"/>
  <c r="O19" i="5"/>
  <c r="P108" i="2"/>
  <c r="O34" i="5" s="1"/>
  <c r="T109" i="2"/>
  <c r="S35" i="5" s="1"/>
  <c r="S20" i="5"/>
  <c r="S25" i="5"/>
  <c r="T114" i="2"/>
  <c r="S40" i="5" s="1"/>
  <c r="S28" i="5"/>
  <c r="T117" i="2"/>
  <c r="S43" i="5" s="1"/>
  <c r="O114" i="2"/>
  <c r="N40" i="5" s="1"/>
  <c r="N25" i="5"/>
  <c r="O113" i="2"/>
  <c r="N39" i="5" s="1"/>
  <c r="N24" i="5"/>
  <c r="F23" i="5"/>
  <c r="V95" i="2"/>
  <c r="G11" i="1" s="1"/>
  <c r="F112" i="2"/>
  <c r="E38" i="5" s="1"/>
  <c r="H112" i="2"/>
  <c r="G38" i="5" s="1"/>
  <c r="V93" i="2"/>
  <c r="G9" i="1" s="1"/>
  <c r="E110" i="2"/>
  <c r="D36" i="5" s="1"/>
  <c r="E153" i="1"/>
  <c r="G13" i="1"/>
  <c r="U25" i="5"/>
  <c r="L40" i="5"/>
  <c r="L39" i="5"/>
  <c r="D38" i="5"/>
  <c r="L38" i="5"/>
  <c r="E150" i="1"/>
  <c r="G10" i="1"/>
  <c r="U22" i="5"/>
  <c r="L37" i="5"/>
  <c r="L35" i="5"/>
  <c r="E148" i="1"/>
  <c r="G8" i="1"/>
  <c r="U20" i="5"/>
  <c r="E34" i="5"/>
  <c r="E158" i="1"/>
  <c r="G90" i="1"/>
  <c r="U29" i="5"/>
  <c r="L42" i="5"/>
  <c r="V118" i="2"/>
  <c r="U44" i="5" s="1"/>
  <c r="V109" i="2"/>
  <c r="V102" i="2"/>
  <c r="E119" i="2"/>
  <c r="D45" i="5" s="1"/>
  <c r="V100" i="2"/>
  <c r="E117" i="2"/>
  <c r="D43" i="5" s="1"/>
  <c r="G25" i="2"/>
  <c r="F4" i="5" s="1"/>
  <c r="V111" i="2" l="1"/>
  <c r="E152" i="1"/>
  <c r="V113" i="2"/>
  <c r="F152" i="1" s="1"/>
  <c r="U23" i="5"/>
  <c r="U24" i="5"/>
  <c r="E151" i="1"/>
  <c r="V114" i="2"/>
  <c r="U40" i="5" s="1"/>
  <c r="E116" i="2"/>
  <c r="D27" i="5"/>
  <c r="V99" i="2"/>
  <c r="V112" i="2"/>
  <c r="U38" i="5" s="1"/>
  <c r="V110" i="2"/>
  <c r="U21" i="5"/>
  <c r="E149" i="1"/>
  <c r="J13" i="1"/>
  <c r="J12" i="1"/>
  <c r="J10" i="1"/>
  <c r="F150" i="1"/>
  <c r="U37" i="5"/>
  <c r="F148" i="1"/>
  <c r="J8" i="1"/>
  <c r="U35" i="5"/>
  <c r="E159" i="1"/>
  <c r="G91" i="1"/>
  <c r="U30" i="5"/>
  <c r="F158" i="1"/>
  <c r="J90" i="1"/>
  <c r="U28" i="5"/>
  <c r="E157" i="1"/>
  <c r="G89" i="1"/>
  <c r="V117" i="2"/>
  <c r="V119" i="2"/>
  <c r="V25" i="2"/>
  <c r="G73" i="2"/>
  <c r="U39" i="5" l="1"/>
  <c r="J11" i="1"/>
  <c r="F153" i="1"/>
  <c r="E156" i="1"/>
  <c r="G88" i="1"/>
  <c r="U27" i="5"/>
  <c r="D42" i="5"/>
  <c r="V116" i="2"/>
  <c r="F151" i="1"/>
  <c r="F149" i="1"/>
  <c r="U36" i="5"/>
  <c r="J9" i="1"/>
  <c r="D7" i="1"/>
  <c r="D147" i="1"/>
  <c r="U4" i="5"/>
  <c r="F159" i="1"/>
  <c r="J91" i="1"/>
  <c r="U45" i="5"/>
  <c r="J89" i="1"/>
  <c r="F157" i="1"/>
  <c r="U43" i="5"/>
  <c r="G91" i="2"/>
  <c r="F19" i="5" s="1"/>
  <c r="V73" i="2"/>
  <c r="J88" i="1" l="1"/>
  <c r="F156" i="1"/>
  <c r="U42" i="5"/>
  <c r="G108" i="2"/>
  <c r="F34" i="5" s="1"/>
  <c r="V91" i="2"/>
  <c r="E147" i="1" l="1"/>
  <c r="G7" i="1"/>
  <c r="U19" i="5"/>
  <c r="V108" i="2"/>
  <c r="U34" i="5" s="1"/>
  <c r="J7" i="1" l="1"/>
  <c r="F147" i="1"/>
</calcChain>
</file>

<file path=xl/sharedStrings.xml><?xml version="1.0" encoding="utf-8"?>
<sst xmlns="http://schemas.openxmlformats.org/spreadsheetml/2006/main" count="1326" uniqueCount="136">
  <si>
    <t>OEB</t>
  </si>
  <si>
    <t>Median</t>
  </si>
  <si>
    <t>THESL</t>
  </si>
  <si>
    <t>Median 1</t>
  </si>
  <si>
    <t>Median 2</t>
  </si>
  <si>
    <t>Wood Pole Replacement</t>
  </si>
  <si>
    <t>Each</t>
  </si>
  <si>
    <t>UG Cable Replacement-XLPE</t>
  </si>
  <si>
    <t>per Meter</t>
  </si>
  <si>
    <t>OH Switches Replacement</t>
  </si>
  <si>
    <t>Pole Top Transformer Replacement</t>
  </si>
  <si>
    <t>Padmount / UG Transformer Replacement</t>
  </si>
  <si>
    <t>Network Transformer / Protector Replacement</t>
  </si>
  <si>
    <t>Breaker Replacement</t>
  </si>
  <si>
    <t>Switchgear Replacement</t>
  </si>
  <si>
    <t>Vegetation Management</t>
  </si>
  <si>
    <t>per KM</t>
  </si>
  <si>
    <t>Pole Test and Treat</t>
  </si>
  <si>
    <t>Overhead Line Patrol</t>
  </si>
  <si>
    <t>Meter</t>
  </si>
  <si>
    <t>Vault Inspection</t>
  </si>
  <si>
    <t>P</t>
  </si>
  <si>
    <t>Asset Categories</t>
  </si>
  <si>
    <t>Maintenance Practices</t>
  </si>
  <si>
    <r>
      <t>THESL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</si>
  <si>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OEB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</si>
  <si>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Note 3</t>
  </si>
  <si>
    <t>ENMAX</t>
  </si>
  <si>
    <t>FE-CEI</t>
  </si>
  <si>
    <t>IPL</t>
  </si>
  <si>
    <t>DPL</t>
  </si>
  <si>
    <t>Ameren</t>
  </si>
  <si>
    <t>Dominion</t>
  </si>
  <si>
    <t>LBWL</t>
  </si>
  <si>
    <t>PGE</t>
  </si>
  <si>
    <t>PECO</t>
  </si>
  <si>
    <t>Sask</t>
  </si>
  <si>
    <t>SCL</t>
  </si>
  <si>
    <t>SCE</t>
  </si>
  <si>
    <t>Xcel</t>
  </si>
  <si>
    <t>DTE</t>
  </si>
  <si>
    <t>A</t>
  </si>
  <si>
    <t>B</t>
  </si>
  <si>
    <t>C</t>
  </si>
  <si>
    <t>D</t>
  </si>
  <si>
    <t>E</t>
  </si>
  <si>
    <t>F</t>
  </si>
  <si>
    <t>H</t>
  </si>
  <si>
    <t>I</t>
  </si>
  <si>
    <t>J</t>
  </si>
  <si>
    <t>L</t>
  </si>
  <si>
    <t>M</t>
  </si>
  <si>
    <t>N</t>
  </si>
  <si>
    <t>Unit</t>
  </si>
  <si>
    <t>UG Cable Replacement (XLPE)</t>
  </si>
  <si>
    <t>Line KM</t>
  </si>
  <si>
    <t>3-Year Average Converted to $CAD (3-Year Average Conversion Factor of 0.84)</t>
  </si>
  <si>
    <t>Design and Permitting costs</t>
  </si>
  <si>
    <t>Project Management and Supervisory costs</t>
  </si>
  <si>
    <t xml:space="preserve">Other project-related costs (e.g.; Fleet and Warehouse) </t>
  </si>
  <si>
    <t>Employee-related costs (e.g.; vacation, sick time, insurances and pension)</t>
  </si>
  <si>
    <t>Administrative and General costs</t>
  </si>
  <si>
    <t>AFUDC / CWIP</t>
  </si>
  <si>
    <t>Other labor-related costs (e.g.; training, conferences, and meetings)</t>
  </si>
  <si>
    <t>X</t>
  </si>
  <si>
    <t>Road restrictions which limit working hours</t>
  </si>
  <si>
    <t>High water table</t>
  </si>
  <si>
    <t>Working next to energized lines (requiring dedicated observer, gloves, etc.)</t>
  </si>
  <si>
    <t>Requirements to perform work off hours (i.e., night/weekend)</t>
  </si>
  <si>
    <t>Changed standards requiring rebuilds rather than like-for-like (i.e., clearances)</t>
  </si>
  <si>
    <t>Excessive switching requirements (i.e., to isolate on dual radial construction)</t>
  </si>
  <si>
    <t>Shoring requirements for UG work</t>
  </si>
  <si>
    <t>Limitations on tree trimming (e.g.; unusually tight clearances)</t>
  </si>
  <si>
    <t>Prior use of lead cables</t>
  </si>
  <si>
    <t>High fault currents (impacting equipment sourcing)</t>
  </si>
  <si>
    <t>Paid duty for police presence on public roads</t>
  </si>
  <si>
    <t>Extensive use of submersible transformers</t>
  </si>
  <si>
    <t>Environmental regulations</t>
  </si>
  <si>
    <t>City consent requirements (i.e., customer notification, restoration, progressive clean-up, etc.)</t>
  </si>
  <si>
    <t>% Labor</t>
  </si>
  <si>
    <t>Asset Category / Maintenance Practice</t>
  </si>
  <si>
    <t>Cost Category</t>
  </si>
  <si>
    <t>G</t>
  </si>
  <si>
    <t xml:space="preserve">Excessive Travel Time </t>
  </si>
  <si>
    <t>Cost Impact Categories</t>
  </si>
  <si>
    <t>%Labor</t>
  </si>
  <si>
    <t>Toronto Hydro</t>
  </si>
  <si>
    <t>Population Density</t>
  </si>
  <si>
    <t>UG Utility Congestion</t>
  </si>
  <si>
    <t>Weather / Climate</t>
  </si>
  <si>
    <t>Vegetation</t>
  </si>
  <si>
    <t>OH Adjustment</t>
  </si>
  <si>
    <t>UG Adjustment</t>
  </si>
  <si>
    <t>VM Adjustment</t>
  </si>
  <si>
    <t>Score</t>
  </si>
  <si>
    <t>Factor</t>
  </si>
  <si>
    <t>Average Adjustment</t>
  </si>
  <si>
    <t>Peer Group Panel</t>
  </si>
  <si>
    <t>Toronto  Hydro</t>
  </si>
  <si>
    <t>Avg. Wage</t>
  </si>
  <si>
    <t>Average Wage</t>
  </si>
  <si>
    <t>External Factors</t>
  </si>
  <si>
    <t>BG&amp;E</t>
  </si>
  <si>
    <t>O</t>
  </si>
  <si>
    <t>PG&amp;E</t>
  </si>
  <si>
    <t>K</t>
  </si>
  <si>
    <t>Level of Difficulty</t>
  </si>
  <si>
    <t>High</t>
  </si>
  <si>
    <t>Medium</t>
  </si>
  <si>
    <t>Low</t>
  </si>
  <si>
    <t>Units</t>
  </si>
  <si>
    <t>per Line KM</t>
  </si>
  <si>
    <t>Adjustment</t>
  </si>
  <si>
    <t>SMUD</t>
  </si>
  <si>
    <t>Q</t>
  </si>
  <si>
    <t>3-Year Average $CAD with Adjustment for Regional Costs</t>
  </si>
  <si>
    <t>3-Year Average $CAD with Adjustment for Regional Costs and Cost Components</t>
  </si>
  <si>
    <t>3-Year Average $CAD with Adjustment for Regional Costs, Cost Components and Difficulty Factors</t>
  </si>
  <si>
    <t>Adjustment Factor</t>
  </si>
  <si>
    <r>
      <t>Inferred Unit Costs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</si>
  <si>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t>Average</t>
  </si>
  <si>
    <t>%THESL Labor</t>
  </si>
  <si>
    <t>% THESL Lavor</t>
  </si>
  <si>
    <t>Asset Category</t>
  </si>
  <si>
    <t>Maintenance Practice</t>
  </si>
  <si>
    <t>Note 2</t>
  </si>
  <si>
    <t>Union Work Rules</t>
  </si>
  <si>
    <t>Excessive Environmental Regulations</t>
  </si>
  <si>
    <t>High Water Table</t>
  </si>
  <si>
    <t>Insufficient IT Enablement</t>
  </si>
  <si>
    <t>Service Territory (Sq. KM)</t>
  </si>
  <si>
    <t>Number of Customers</t>
  </si>
  <si>
    <t>Cost Impact Category</t>
  </si>
  <si>
    <t>TABLE C-8</t>
  </si>
  <si>
    <t>TABLE C-9</t>
  </si>
  <si>
    <t>TABLE C-10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</si>
</sst>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64" fontId="5" fillId="0" borderId="0" xfId="1" applyNumberFormat="1" applyFont="1" applyAlignment="1">
      <alignment horizontal="center" vertical="top" wrapText="1"/>
    </xf>
    <xf numFmtId="164" fontId="6" fillId="0" borderId="0" xfId="1" applyNumberFormat="1" applyFont="1"/>
    <xf numFmtId="0" fontId="6" fillId="2" borderId="0" xfId="0" applyFont="1" applyFill="1" applyAlignment="1">
      <alignment horizontal="left"/>
    </xf>
    <xf numFmtId="164" fontId="5" fillId="0" borderId="0" xfId="1" applyNumberFormat="1" applyFont="1" applyAlignment="1">
      <alignment horizontal="center" vertical="top"/>
    </xf>
    <xf numFmtId="0" fontId="7" fillId="3" borderId="1" xfId="0" applyFont="1" applyFill="1" applyBorder="1" applyAlignment="1">
      <alignment horizontal="left" vertical="top" wrapText="1"/>
    </xf>
    <xf numFmtId="164" fontId="6" fillId="2" borderId="0" xfId="1" applyNumberFormat="1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 vertical="top"/>
    </xf>
    <xf numFmtId="164" fontId="6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164" fontId="6" fillId="0" borderId="11" xfId="1" applyNumberFormat="1" applyFont="1" applyBorder="1"/>
    <xf numFmtId="164" fontId="6" fillId="0" borderId="3" xfId="1" applyNumberFormat="1" applyFont="1" applyBorder="1"/>
    <xf numFmtId="164" fontId="6" fillId="0" borderId="12" xfId="1" applyNumberFormat="1" applyFont="1" applyBorder="1"/>
    <xf numFmtId="164" fontId="5" fillId="0" borderId="11" xfId="1" applyNumberFormat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 wrapText="1"/>
    </xf>
    <xf numFmtId="164" fontId="5" fillId="0" borderId="3" xfId="1" applyNumberFormat="1" applyFont="1" applyBorder="1" applyAlignment="1">
      <alignment horizontal="center" vertical="top"/>
    </xf>
    <xf numFmtId="164" fontId="6" fillId="2" borderId="3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164" fontId="6" fillId="2" borderId="11" xfId="1" applyNumberFormat="1" applyFont="1" applyFill="1" applyBorder="1" applyAlignment="1">
      <alignment horizontal="center"/>
    </xf>
    <xf numFmtId="164" fontId="6" fillId="4" borderId="3" xfId="1" applyNumberFormat="1" applyFont="1" applyFill="1" applyBorder="1"/>
    <xf numFmtId="164" fontId="6" fillId="4" borderId="11" xfId="1" applyNumberFormat="1" applyFont="1" applyFill="1" applyBorder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6" fillId="0" borderId="0" xfId="1" applyNumberFormat="1" applyFont="1" applyAlignment="1">
      <alignment vertical="center"/>
    </xf>
    <xf numFmtId="0" fontId="7" fillId="0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164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0" xfId="0" applyFill="1"/>
    <xf numFmtId="0" fontId="4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3" xfId="0" applyFont="1" applyBorder="1"/>
    <xf numFmtId="0" fontId="6" fillId="0" borderId="12" xfId="0" applyFont="1" applyBorder="1" applyAlignment="1">
      <alignment horizontal="center" vertical="center"/>
    </xf>
    <xf numFmtId="0" fontId="11" fillId="0" borderId="0" xfId="0" applyFont="1" applyFill="1" applyAlignment="1">
      <alignment horizontal="justify" vertical="center" readingOrder="1"/>
    </xf>
    <xf numFmtId="0" fontId="12" fillId="0" borderId="0" xfId="0" applyFont="1" applyFill="1" applyAlignment="1">
      <alignment horizontal="justify" vertical="center" readingOrder="1"/>
    </xf>
    <xf numFmtId="164" fontId="6" fillId="0" borderId="3" xfId="0" applyNumberFormat="1" applyFont="1" applyBorder="1"/>
    <xf numFmtId="2" fontId="6" fillId="0" borderId="3" xfId="0" applyNumberFormat="1" applyFont="1" applyBorder="1" applyAlignment="1">
      <alignment horizontal="center" vertical="center"/>
    </xf>
    <xf numFmtId="0" fontId="6" fillId="0" borderId="28" xfId="0" applyFont="1" applyBorder="1"/>
    <xf numFmtId="164" fontId="6" fillId="0" borderId="28" xfId="0" applyNumberFormat="1" applyFont="1" applyBorder="1"/>
    <xf numFmtId="0" fontId="10" fillId="6" borderId="3" xfId="0" applyFont="1" applyFill="1" applyBorder="1"/>
    <xf numFmtId="164" fontId="10" fillId="6" borderId="3" xfId="0" applyNumberFormat="1" applyFont="1" applyFill="1" applyBorder="1"/>
    <xf numFmtId="2" fontId="10" fillId="6" borderId="3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/>
    <xf numFmtId="0" fontId="6" fillId="0" borderId="21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31" xfId="0" applyFont="1" applyFill="1" applyBorder="1" applyAlignment="1">
      <alignment horizontal="center" vertical="center"/>
    </xf>
    <xf numFmtId="0" fontId="6" fillId="5" borderId="17" xfId="0" applyFont="1" applyFill="1" applyBorder="1"/>
    <xf numFmtId="0" fontId="6" fillId="0" borderId="17" xfId="0" applyFont="1" applyBorder="1"/>
    <xf numFmtId="0" fontId="4" fillId="5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5" borderId="19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5" borderId="20" xfId="0" applyFont="1" applyFill="1" applyBorder="1"/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vertical="center"/>
    </xf>
    <xf numFmtId="0" fontId="6" fillId="5" borderId="22" xfId="0" applyFont="1" applyFill="1" applyBorder="1"/>
    <xf numFmtId="0" fontId="4" fillId="0" borderId="2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22" xfId="0" applyFont="1" applyFill="1" applyBorder="1"/>
    <xf numFmtId="0" fontId="6" fillId="0" borderId="17" xfId="0" applyFont="1" applyFill="1" applyBorder="1"/>
    <xf numFmtId="0" fontId="6" fillId="0" borderId="20" xfId="0" applyFont="1" applyFill="1" applyBorder="1"/>
    <xf numFmtId="0" fontId="2" fillId="0" borderId="0" xfId="0" applyFont="1"/>
    <xf numFmtId="164" fontId="6" fillId="0" borderId="11" xfId="1" applyNumberFormat="1" applyFont="1" applyFill="1" applyBorder="1"/>
    <xf numFmtId="164" fontId="6" fillId="0" borderId="3" xfId="1" applyNumberFormat="1" applyFont="1" applyFill="1" applyBorder="1"/>
    <xf numFmtId="164" fontId="6" fillId="0" borderId="12" xfId="1" applyNumberFormat="1" applyFont="1" applyFill="1" applyBorder="1"/>
    <xf numFmtId="164" fontId="6" fillId="0" borderId="3" xfId="1" applyNumberFormat="1" applyFont="1" applyBorder="1" applyAlignment="1">
      <alignment horizontal="center" vertical="center"/>
    </xf>
    <xf numFmtId="164" fontId="6" fillId="0" borderId="12" xfId="1" applyNumberFormat="1" applyFont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/>
    </xf>
    <xf numFmtId="164" fontId="6" fillId="0" borderId="28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35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/>
    </xf>
    <xf numFmtId="164" fontId="6" fillId="2" borderId="6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10" fillId="6" borderId="6" xfId="0" applyNumberFormat="1" applyFont="1" applyFill="1" applyBorder="1" applyAlignment="1">
      <alignment horizontal="center" vertical="center"/>
    </xf>
    <xf numFmtId="0" fontId="6" fillId="0" borderId="33" xfId="0" applyFont="1" applyBorder="1"/>
    <xf numFmtId="164" fontId="6" fillId="0" borderId="33" xfId="0" applyNumberFormat="1" applyFont="1" applyBorder="1"/>
    <xf numFmtId="2" fontId="6" fillId="0" borderId="35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6" fillId="0" borderId="28" xfId="0" applyFont="1" applyBorder="1"/>
    <xf numFmtId="0" fontId="16" fillId="0" borderId="2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" fontId="15" fillId="0" borderId="17" xfId="0" applyNumberFormat="1" applyFont="1" applyBorder="1" applyAlignment="1">
      <alignment horizontal="center" vertical="center"/>
    </xf>
    <xf numFmtId="0" fontId="17" fillId="6" borderId="3" xfId="0" applyFont="1" applyFill="1" applyBorder="1"/>
    <xf numFmtId="0" fontId="17" fillId="6" borderId="3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2" fontId="18" fillId="6" borderId="17" xfId="0" applyNumberFormat="1" applyFont="1" applyFill="1" applyBorder="1" applyAlignment="1">
      <alignment horizontal="center" vertical="center"/>
    </xf>
    <xf numFmtId="0" fontId="16" fillId="0" borderId="12" xfId="0" applyFont="1" applyBorder="1"/>
    <xf numFmtId="0" fontId="16" fillId="0" borderId="1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2" fontId="15" fillId="0" borderId="25" xfId="0" applyNumberFormat="1" applyFont="1" applyBorder="1" applyAlignment="1">
      <alignment horizontal="center" vertical="center"/>
    </xf>
    <xf numFmtId="0" fontId="16" fillId="0" borderId="8" xfId="0" applyFont="1" applyBorder="1"/>
    <xf numFmtId="2" fontId="15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/>
    </xf>
    <xf numFmtId="0" fontId="19" fillId="0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164" fontId="14" fillId="0" borderId="0" xfId="1" applyNumberFormat="1" applyFont="1"/>
    <xf numFmtId="0" fontId="0" fillId="0" borderId="0" xfId="0" applyAlignment="1">
      <alignment vertical="center"/>
    </xf>
    <xf numFmtId="164" fontId="6" fillId="0" borderId="0" xfId="0" applyNumberFormat="1" applyFont="1" applyAlignment="1">
      <alignment vertical="center"/>
    </xf>
    <xf numFmtId="0" fontId="16" fillId="0" borderId="0" xfId="0" applyFont="1"/>
    <xf numFmtId="0" fontId="13" fillId="7" borderId="29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164" fontId="13" fillId="7" borderId="28" xfId="1" applyNumberFormat="1" applyFont="1" applyFill="1" applyBorder="1"/>
    <xf numFmtId="164" fontId="14" fillId="0" borderId="30" xfId="1" applyNumberFormat="1" applyFont="1" applyBorder="1"/>
    <xf numFmtId="164" fontId="14" fillId="0" borderId="15" xfId="1" applyNumberFormat="1" applyFont="1" applyBorder="1"/>
    <xf numFmtId="164" fontId="14" fillId="0" borderId="53" xfId="1" applyNumberFormat="1" applyFont="1" applyBorder="1"/>
    <xf numFmtId="164" fontId="13" fillId="4" borderId="28" xfId="1" applyNumberFormat="1" applyFont="1" applyFill="1" applyBorder="1"/>
    <xf numFmtId="164" fontId="13" fillId="7" borderId="3" xfId="1" applyNumberFormat="1" applyFont="1" applyFill="1" applyBorder="1"/>
    <xf numFmtId="164" fontId="14" fillId="0" borderId="14" xfId="1" applyNumberFormat="1" applyFont="1" applyBorder="1"/>
    <xf numFmtId="164" fontId="14" fillId="0" borderId="1" xfId="1" applyNumberFormat="1" applyFont="1" applyBorder="1"/>
    <xf numFmtId="164" fontId="14" fillId="0" borderId="48" xfId="1" applyNumberFormat="1" applyFont="1" applyBorder="1"/>
    <xf numFmtId="164" fontId="13" fillId="4" borderId="3" xfId="1" applyNumberFormat="1" applyFont="1" applyFill="1" applyBorder="1"/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164" fontId="13" fillId="7" borderId="33" xfId="1" applyNumberFormat="1" applyFont="1" applyFill="1" applyBorder="1"/>
    <xf numFmtId="164" fontId="14" fillId="0" borderId="51" xfId="1" applyNumberFormat="1" applyFont="1" applyBorder="1"/>
    <xf numFmtId="164" fontId="14" fillId="0" borderId="21" xfId="1" applyNumberFormat="1" applyFont="1" applyBorder="1"/>
    <xf numFmtId="164" fontId="14" fillId="0" borderId="54" xfId="1" applyNumberFormat="1" applyFont="1" applyBorder="1"/>
    <xf numFmtId="164" fontId="13" fillId="4" borderId="33" xfId="1" applyNumberFormat="1" applyFont="1" applyFill="1" applyBorder="1"/>
    <xf numFmtId="0" fontId="14" fillId="0" borderId="29" xfId="0" applyFont="1" applyBorder="1" applyAlignment="1">
      <alignment horizontal="center" vertical="center"/>
    </xf>
    <xf numFmtId="164" fontId="13" fillId="7" borderId="29" xfId="1" applyNumberFormat="1" applyFont="1" applyFill="1" applyBorder="1"/>
    <xf numFmtId="0" fontId="14" fillId="0" borderId="50" xfId="0" applyFont="1" applyBorder="1"/>
    <xf numFmtId="0" fontId="14" fillId="0" borderId="23" xfId="0" applyFont="1" applyBorder="1"/>
    <xf numFmtId="0" fontId="14" fillId="0" borderId="52" xfId="0" applyFont="1" applyBorder="1"/>
    <xf numFmtId="0" fontId="13" fillId="4" borderId="29" xfId="0" applyFont="1" applyFill="1" applyBorder="1"/>
    <xf numFmtId="164" fontId="13" fillId="7" borderId="12" xfId="1" applyNumberFormat="1" applyFont="1" applyFill="1" applyBorder="1"/>
    <xf numFmtId="164" fontId="14" fillId="0" borderId="32" xfId="1" applyNumberFormat="1" applyFont="1" applyBorder="1"/>
    <xf numFmtId="164" fontId="14" fillId="0" borderId="19" xfId="1" applyNumberFormat="1" applyFont="1" applyBorder="1"/>
    <xf numFmtId="164" fontId="14" fillId="0" borderId="55" xfId="1" applyNumberFormat="1" applyFont="1" applyBorder="1"/>
    <xf numFmtId="164" fontId="13" fillId="4" borderId="12" xfId="1" applyNumberFormat="1" applyFont="1" applyFill="1" applyBorder="1"/>
    <xf numFmtId="0" fontId="13" fillId="0" borderId="11" xfId="0" applyFont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164" fontId="13" fillId="7" borderId="3" xfId="1" applyNumberFormat="1" applyFont="1" applyFill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14" fillId="0" borderId="1" xfId="1" applyNumberFormat="1" applyFont="1" applyBorder="1" applyAlignment="1">
      <alignment vertical="center"/>
    </xf>
    <xf numFmtId="164" fontId="14" fillId="0" borderId="48" xfId="1" applyNumberFormat="1" applyFont="1" applyBorder="1" applyAlignment="1">
      <alignment vertical="center"/>
    </xf>
    <xf numFmtId="164" fontId="13" fillId="4" borderId="3" xfId="1" applyNumberFormat="1" applyFont="1" applyFill="1" applyBorder="1" applyAlignment="1">
      <alignment vertical="center"/>
    </xf>
    <xf numFmtId="164" fontId="13" fillId="7" borderId="33" xfId="1" applyNumberFormat="1" applyFont="1" applyFill="1" applyBorder="1" applyAlignment="1">
      <alignment vertical="center"/>
    </xf>
    <xf numFmtId="164" fontId="14" fillId="0" borderId="51" xfId="1" applyNumberFormat="1" applyFont="1" applyBorder="1" applyAlignment="1">
      <alignment vertical="center"/>
    </xf>
    <xf numFmtId="164" fontId="14" fillId="0" borderId="21" xfId="1" applyNumberFormat="1" applyFont="1" applyBorder="1" applyAlignment="1">
      <alignment vertical="center"/>
    </xf>
    <xf numFmtId="164" fontId="14" fillId="0" borderId="54" xfId="1" applyNumberFormat="1" applyFont="1" applyBorder="1" applyAlignment="1">
      <alignment vertical="center"/>
    </xf>
    <xf numFmtId="164" fontId="13" fillId="4" borderId="33" xfId="1" applyNumberFormat="1" applyFont="1" applyFill="1" applyBorder="1" applyAlignment="1">
      <alignment vertical="center"/>
    </xf>
    <xf numFmtId="164" fontId="13" fillId="7" borderId="29" xfId="1" applyNumberFormat="1" applyFont="1" applyFill="1" applyBorder="1" applyAlignment="1">
      <alignment vertical="center"/>
    </xf>
    <xf numFmtId="164" fontId="13" fillId="7" borderId="28" xfId="1" applyNumberFormat="1" applyFont="1" applyFill="1" applyBorder="1" applyAlignment="1">
      <alignment vertical="center"/>
    </xf>
    <xf numFmtId="164" fontId="14" fillId="0" borderId="30" xfId="1" applyNumberFormat="1" applyFont="1" applyBorder="1" applyAlignment="1">
      <alignment vertical="center"/>
    </xf>
    <xf numFmtId="164" fontId="14" fillId="0" borderId="15" xfId="1" applyNumberFormat="1" applyFont="1" applyBorder="1" applyAlignment="1">
      <alignment vertical="center"/>
    </xf>
    <xf numFmtId="164" fontId="14" fillId="0" borderId="53" xfId="1" applyNumberFormat="1" applyFont="1" applyBorder="1" applyAlignment="1">
      <alignment vertical="center"/>
    </xf>
    <xf numFmtId="164" fontId="13" fillId="4" borderId="28" xfId="1" applyNumberFormat="1" applyFont="1" applyFill="1" applyBorder="1" applyAlignment="1">
      <alignment vertical="center"/>
    </xf>
    <xf numFmtId="164" fontId="13" fillId="7" borderId="12" xfId="1" applyNumberFormat="1" applyFont="1" applyFill="1" applyBorder="1" applyAlignment="1">
      <alignment vertical="center"/>
    </xf>
    <xf numFmtId="164" fontId="14" fillId="0" borderId="32" xfId="1" applyNumberFormat="1" applyFont="1" applyBorder="1" applyAlignment="1">
      <alignment vertical="center"/>
    </xf>
    <xf numFmtId="164" fontId="14" fillId="0" borderId="19" xfId="1" applyNumberFormat="1" applyFont="1" applyBorder="1" applyAlignment="1">
      <alignment vertical="center"/>
    </xf>
    <xf numFmtId="164" fontId="14" fillId="0" borderId="55" xfId="1" applyNumberFormat="1" applyFont="1" applyBorder="1" applyAlignment="1">
      <alignment vertical="center"/>
    </xf>
    <xf numFmtId="164" fontId="13" fillId="4" borderId="12" xfId="1" applyNumberFormat="1" applyFont="1" applyFill="1" applyBorder="1" applyAlignment="1">
      <alignment vertical="center"/>
    </xf>
    <xf numFmtId="164" fontId="6" fillId="0" borderId="11" xfId="1" applyNumberFormat="1" applyFont="1" applyBorder="1" applyAlignment="1">
      <alignment horizontal="center" vertical="center"/>
    </xf>
    <xf numFmtId="164" fontId="6" fillId="8" borderId="11" xfId="1" applyNumberFormat="1" applyFont="1" applyFill="1" applyBorder="1"/>
    <xf numFmtId="164" fontId="6" fillId="5" borderId="0" xfId="1" applyNumberFormat="1" applyFont="1" applyFill="1"/>
    <xf numFmtId="0" fontId="13" fillId="7" borderId="49" xfId="0" applyFont="1" applyFill="1" applyBorder="1" applyAlignment="1">
      <alignment horizontal="center" vertical="center"/>
    </xf>
    <xf numFmtId="0" fontId="13" fillId="0" borderId="0" xfId="0" applyFont="1"/>
    <xf numFmtId="164" fontId="13" fillId="4" borderId="0" xfId="1" applyNumberFormat="1" applyFont="1" applyFill="1"/>
    <xf numFmtId="164" fontId="21" fillId="4" borderId="0" xfId="0" applyNumberFormat="1" applyFont="1" applyFill="1"/>
    <xf numFmtId="164" fontId="14" fillId="0" borderId="3" xfId="1" applyNumberFormat="1" applyFont="1" applyBorder="1" applyAlignment="1">
      <alignment vertical="center"/>
    </xf>
    <xf numFmtId="164" fontId="14" fillId="0" borderId="0" xfId="1" applyNumberFormat="1" applyFont="1" applyFill="1"/>
    <xf numFmtId="164" fontId="0" fillId="0" borderId="0" xfId="1" applyNumberFormat="1" applyFont="1"/>
    <xf numFmtId="0" fontId="13" fillId="7" borderId="23" xfId="0" applyFont="1" applyFill="1" applyBorder="1" applyAlignment="1">
      <alignment horizontal="center" vertical="center"/>
    </xf>
    <xf numFmtId="164" fontId="0" fillId="0" borderId="0" xfId="0" applyNumberFormat="1"/>
    <xf numFmtId="0" fontId="22" fillId="0" borderId="0" xfId="0" applyFont="1"/>
    <xf numFmtId="0" fontId="7" fillId="0" borderId="58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0" xfId="0" applyFont="1" applyFill="1" applyBorder="1"/>
    <xf numFmtId="0" fontId="13" fillId="0" borderId="4" xfId="0" applyFont="1" applyBorder="1" applyAlignment="1">
      <alignment horizontal="center" vertical="center"/>
    </xf>
    <xf numFmtId="0" fontId="23" fillId="0" borderId="0" xfId="0" applyFont="1" applyFill="1" applyAlignment="1">
      <alignment horizontal="justify" vertical="center" readingOrder="1"/>
    </xf>
    <xf numFmtId="0" fontId="24" fillId="0" borderId="0" xfId="0" applyFont="1" applyFill="1" applyAlignment="1">
      <alignment horizontal="justify" vertical="center" readingOrder="1"/>
    </xf>
    <xf numFmtId="165" fontId="6" fillId="0" borderId="0" xfId="2" applyNumberFormat="1" applyFont="1" applyFill="1"/>
    <xf numFmtId="165" fontId="4" fillId="0" borderId="0" xfId="2" applyNumberFormat="1" applyFont="1" applyFill="1"/>
    <xf numFmtId="166" fontId="6" fillId="0" borderId="0" xfId="0" applyNumberFormat="1" applyFont="1"/>
    <xf numFmtId="0" fontId="25" fillId="0" borderId="3" xfId="0" applyFont="1" applyFill="1" applyBorder="1"/>
    <xf numFmtId="165" fontId="16" fillId="0" borderId="3" xfId="0" applyNumberFormat="1" applyFont="1" applyBorder="1"/>
    <xf numFmtId="165" fontId="16" fillId="0" borderId="12" xfId="0" applyNumberFormat="1" applyFont="1" applyBorder="1"/>
    <xf numFmtId="165" fontId="16" fillId="0" borderId="28" xfId="0" applyNumberFormat="1" applyFont="1" applyBorder="1"/>
    <xf numFmtId="164" fontId="14" fillId="0" borderId="1" xfId="0" applyNumberFormat="1" applyFont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3" fillId="5" borderId="49" xfId="0" applyFont="1" applyFill="1" applyBorder="1" applyAlignment="1">
      <alignment horizontal="center" vertical="center"/>
    </xf>
    <xf numFmtId="164" fontId="14" fillId="5" borderId="0" xfId="1" applyNumberFormat="1" applyFont="1" applyFill="1"/>
    <xf numFmtId="0" fontId="13" fillId="5" borderId="57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164" fontId="14" fillId="5" borderId="1" xfId="1" applyNumberFormat="1" applyFont="1" applyFill="1" applyBorder="1" applyAlignment="1">
      <alignment vertical="center"/>
    </xf>
    <xf numFmtId="164" fontId="14" fillId="5" borderId="48" xfId="1" applyNumberFormat="1" applyFont="1" applyFill="1" applyBorder="1" applyAlignment="1">
      <alignment vertical="center"/>
    </xf>
    <xf numFmtId="167" fontId="15" fillId="0" borderId="59" xfId="0" applyNumberFormat="1" applyFont="1" applyFill="1" applyBorder="1"/>
    <xf numFmtId="167" fontId="15" fillId="0" borderId="39" xfId="0" applyNumberFormat="1" applyFont="1" applyFill="1" applyBorder="1"/>
    <xf numFmtId="167" fontId="15" fillId="0" borderId="58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21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9" fillId="0" borderId="45" xfId="0" applyFont="1" applyFill="1" applyBorder="1" applyAlignment="1">
      <alignment horizontal="left" vertical="center" wrapText="1"/>
    </xf>
    <xf numFmtId="0" fontId="19" fillId="0" borderId="46" xfId="0" applyFont="1" applyFill="1" applyBorder="1" applyAlignment="1">
      <alignment horizontal="left" vertical="center" wrapText="1"/>
    </xf>
    <xf numFmtId="0" fontId="19" fillId="0" borderId="3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9" fillId="0" borderId="18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6" fillId="5" borderId="0" xfId="0" applyNumberFormat="1" applyFont="1" applyFill="1"/>
    <xf numFmtId="164" fontId="6" fillId="5" borderId="1" xfId="1" applyNumberFormat="1" applyFont="1" applyFill="1" applyBorder="1" applyAlignment="1">
      <alignment vertical="center"/>
    </xf>
    <xf numFmtId="164" fontId="6" fillId="0" borderId="0" xfId="0" applyNumberFormat="1" applyFont="1" applyFill="1"/>
    <xf numFmtId="164" fontId="6" fillId="0" borderId="1" xfId="1" applyNumberFormat="1" applyFont="1" applyFill="1" applyBorder="1" applyAlignment="1">
      <alignment vertical="center"/>
    </xf>
    <xf numFmtId="164" fontId="6" fillId="0" borderId="0" xfId="1" applyNumberFormat="1" applyFont="1" applyFill="1"/>
    <xf numFmtId="0" fontId="6" fillId="5" borderId="1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?><Relationships xmlns="http://schemas.openxmlformats.org/package/2006/relationships"><Relationship Target="colors1.xml" Type="http://schemas.microsoft.com/office/2011/relationships/chartColorStyle" Id="rId2"></Relationship><Relationship Target="style1.xml" Type="http://schemas.microsoft.com/office/2011/relationships/chartStyle" Id="rId1"></Relationship></Relationships>
</file>

<file path=xl/charts/_rels/chart10.xml.rels><?xml version="1.0" encoding="UTF-8" ?><Relationships xmlns="http://schemas.openxmlformats.org/package/2006/relationships"><Relationship Target="colors10.xml" Type="http://schemas.microsoft.com/office/2011/relationships/chartColorStyle" Id="rId2"></Relationship><Relationship Target="style10.xml" Type="http://schemas.microsoft.com/office/2011/relationships/chartStyle" Id="rId1"></Relationship></Relationships>
</file>

<file path=xl/charts/_rels/chart11.xml.rels><?xml version="1.0" encoding="UTF-8" ?><Relationships xmlns="http://schemas.openxmlformats.org/package/2006/relationships"><Relationship Target="colors11.xml" Type="http://schemas.microsoft.com/office/2011/relationships/chartColorStyle" Id="rId2"></Relationship><Relationship Target="style11.xml" Type="http://schemas.microsoft.com/office/2011/relationships/chartStyle" Id="rId1"></Relationship></Relationships>
</file>

<file path=xl/charts/_rels/chart12.xml.rels><?xml version="1.0" encoding="UTF-8" ?><Relationships xmlns="http://schemas.openxmlformats.org/package/2006/relationships"><Relationship Target="colors12.xml" Type="http://schemas.microsoft.com/office/2011/relationships/chartColorStyle" Id="rId2"></Relationship><Relationship Target="style12.xml" Type="http://schemas.microsoft.com/office/2011/relationships/chartStyle" Id="rId1"></Relationship></Relationships>
</file>

<file path=xl/charts/_rels/chart13.xml.rels><?xml version="1.0" encoding="UTF-8" ?><Relationships xmlns="http://schemas.openxmlformats.org/package/2006/relationships"><Relationship Target="colors13.xml" Type="http://schemas.microsoft.com/office/2011/relationships/chartColorStyle" Id="rId2"></Relationship><Relationship Target="style13.xml" Type="http://schemas.microsoft.com/office/2011/relationships/chartStyle" Id="rId1"></Relationship></Relationships>
</file>

<file path=xl/charts/_rels/chart14.xml.rels><?xml version="1.0" encoding="UTF-8" ?><Relationships xmlns="http://schemas.openxmlformats.org/package/2006/relationships"><Relationship Target="colors14.xml" Type="http://schemas.microsoft.com/office/2011/relationships/chartColorStyle" Id="rId2"></Relationship><Relationship Target="style14.xml" Type="http://schemas.microsoft.com/office/2011/relationships/chartStyle" Id="rId1"></Relationship></Relationships>
</file>

<file path=xl/charts/_rels/chart15.xml.rels><?xml version="1.0" encoding="UTF-8" ?><Relationships xmlns="http://schemas.openxmlformats.org/package/2006/relationships"><Relationship Target="colors15.xml" Type="http://schemas.microsoft.com/office/2011/relationships/chartColorStyle" Id="rId2"></Relationship><Relationship Target="style15.xml" Type="http://schemas.microsoft.com/office/2011/relationships/chartStyle" Id="rId1"></Relationship></Relationships>
</file>

<file path=xl/charts/_rels/chart16.xml.rels><?xml version="1.0" encoding="UTF-8" ?><Relationships xmlns="http://schemas.openxmlformats.org/package/2006/relationships"><Relationship Target="colors16.xml" Type="http://schemas.microsoft.com/office/2011/relationships/chartColorStyle" Id="rId2"></Relationship><Relationship Target="style16.xml" Type="http://schemas.microsoft.com/office/2011/relationships/chartStyle" Id="rId1"></Relationship></Relationships>
</file>

<file path=xl/charts/_rels/chart17.xml.rels><?xml version="1.0" encoding="UTF-8" ?><Relationships xmlns="http://schemas.openxmlformats.org/package/2006/relationships"><Relationship Target="colors17.xml" Type="http://schemas.microsoft.com/office/2011/relationships/chartColorStyle" Id="rId2"></Relationship><Relationship Target="style17.xml" Type="http://schemas.microsoft.com/office/2011/relationships/chartStyle" Id="rId1"></Relationship></Relationships>
</file>

<file path=xl/charts/_rels/chart18.xml.rels><?xml version="1.0" encoding="UTF-8" ?><Relationships xmlns="http://schemas.openxmlformats.org/package/2006/relationships"><Relationship Target="colors18.xml" Type="http://schemas.microsoft.com/office/2011/relationships/chartColorStyle" Id="rId2"></Relationship><Relationship Target="style18.xml" Type="http://schemas.microsoft.com/office/2011/relationships/chartStyle" Id="rId1"></Relationship></Relationships>
</file>

<file path=xl/charts/_rels/chart19.xml.rels><?xml version="1.0" encoding="UTF-8" ?><Relationships xmlns="http://schemas.openxmlformats.org/package/2006/relationships"><Relationship Target="colors19.xml" Type="http://schemas.microsoft.com/office/2011/relationships/chartColorStyle" Id="rId2"></Relationship><Relationship Target="style19.xml" Type="http://schemas.microsoft.com/office/2011/relationships/chartStyle" Id="rId1"></Relationship></Relationships>
</file>

<file path=xl/charts/_rels/chart2.xml.rels><?xml version="1.0" encoding="UTF-8" ?><Relationships xmlns="http://schemas.openxmlformats.org/package/2006/relationships"><Relationship Target="colors2.xml" Type="http://schemas.microsoft.com/office/2011/relationships/chartColorStyle" Id="rId2"></Relationship><Relationship Target="style2.xml" Type="http://schemas.microsoft.com/office/2011/relationships/chartStyle" Id="rId1"></Relationship></Relationships>
</file>

<file path=xl/charts/_rels/chart20.xml.rels><?xml version="1.0" encoding="UTF-8" ?><Relationships xmlns="http://schemas.openxmlformats.org/package/2006/relationships"><Relationship Target="colors20.xml" Type="http://schemas.microsoft.com/office/2011/relationships/chartColorStyle" Id="rId2"></Relationship><Relationship Target="style20.xml" Type="http://schemas.microsoft.com/office/2011/relationships/chartStyle" Id="rId1"></Relationship></Relationships>
</file>

<file path=xl/charts/_rels/chart21.xml.rels><?xml version="1.0" encoding="UTF-8" ?><Relationships xmlns="http://schemas.openxmlformats.org/package/2006/relationships"><Relationship Target="colors21.xml" Type="http://schemas.microsoft.com/office/2011/relationships/chartColorStyle" Id="rId2"></Relationship><Relationship Target="style21.xml" Type="http://schemas.microsoft.com/office/2011/relationships/chartStyle" Id="rId1"></Relationship></Relationships>
</file>

<file path=xl/charts/_rels/chart22.xml.rels><?xml version="1.0" encoding="UTF-8" ?><Relationships xmlns="http://schemas.openxmlformats.org/package/2006/relationships"><Relationship Target="colors22.xml" Type="http://schemas.microsoft.com/office/2011/relationships/chartColorStyle" Id="rId2"></Relationship><Relationship Target="style22.xml" Type="http://schemas.microsoft.com/office/2011/relationships/chartStyle" Id="rId1"></Relationship></Relationships>
</file>

<file path=xl/charts/_rels/chart23.xml.rels><?xml version="1.0" encoding="UTF-8" ?><Relationships xmlns="http://schemas.openxmlformats.org/package/2006/relationships"><Relationship Target="colors23.xml" Type="http://schemas.microsoft.com/office/2011/relationships/chartColorStyle" Id="rId2"></Relationship><Relationship Target="style23.xml" Type="http://schemas.microsoft.com/office/2011/relationships/chartStyle" Id="rId1"></Relationship></Relationships>
</file>

<file path=xl/charts/_rels/chart24.xml.rels><?xml version="1.0" encoding="UTF-8" ?><Relationships xmlns="http://schemas.openxmlformats.org/package/2006/relationships"><Relationship Target="colors24.xml" Type="http://schemas.microsoft.com/office/2011/relationships/chartColorStyle" Id="rId2"></Relationship><Relationship Target="style24.xml" Type="http://schemas.microsoft.com/office/2011/relationships/chartStyle" Id="rId1"></Relationship></Relationships>
</file>

<file path=xl/charts/_rels/chart25.xml.rels><?xml version="1.0" encoding="UTF-8" ?><Relationships xmlns="http://schemas.openxmlformats.org/package/2006/relationships"><Relationship Target="colors25.xml" Type="http://schemas.microsoft.com/office/2011/relationships/chartColorStyle" Id="rId2"></Relationship><Relationship Target="style25.xml" Type="http://schemas.microsoft.com/office/2011/relationships/chartStyle" Id="rId1"></Relationship></Relationships>
</file>

<file path=xl/charts/_rels/chart26.xml.rels><?xml version="1.0" encoding="UTF-8" ?><Relationships xmlns="http://schemas.openxmlformats.org/package/2006/relationships"><Relationship Target="colors26.xml" Type="http://schemas.microsoft.com/office/2011/relationships/chartColorStyle" Id="rId2"></Relationship><Relationship Target="style26.xml" Type="http://schemas.microsoft.com/office/2011/relationships/chartStyle" Id="rId1"></Relationship></Relationships>
</file>

<file path=xl/charts/_rels/chart27.xml.rels><?xml version="1.0" encoding="UTF-8" ?><Relationships xmlns="http://schemas.openxmlformats.org/package/2006/relationships"><Relationship Target="colors27.xml" Type="http://schemas.microsoft.com/office/2011/relationships/chartColorStyle" Id="rId2"></Relationship><Relationship Target="style27.xml" Type="http://schemas.microsoft.com/office/2011/relationships/chartStyle" Id="rId1"></Relationship></Relationships>
</file>

<file path=xl/charts/_rels/chart28.xml.rels><?xml version="1.0" encoding="UTF-8" ?><Relationships xmlns="http://schemas.openxmlformats.org/package/2006/relationships"><Relationship Target="colors28.xml" Type="http://schemas.microsoft.com/office/2011/relationships/chartColorStyle" Id="rId2"></Relationship><Relationship Target="style28.xml" Type="http://schemas.microsoft.com/office/2011/relationships/chartStyle" Id="rId1"></Relationship></Relationships>
</file>

<file path=xl/charts/_rels/chart29.xml.rels><?xml version="1.0" encoding="UTF-8" ?><Relationships xmlns="http://schemas.openxmlformats.org/package/2006/relationships"><Relationship Target="colors29.xml" Type="http://schemas.microsoft.com/office/2011/relationships/chartColorStyle" Id="rId2"></Relationship><Relationship Target="style29.xml" Type="http://schemas.microsoft.com/office/2011/relationships/chartStyle" Id="rId1"></Relationship></Relationships>
</file>

<file path=xl/charts/_rels/chart3.xml.rels><?xml version="1.0" encoding="UTF-8" ?><Relationships xmlns="http://schemas.openxmlformats.org/package/2006/relationships"><Relationship Target="colors3.xml" Type="http://schemas.microsoft.com/office/2011/relationships/chartColorStyle" Id="rId2"></Relationship><Relationship Target="style3.xml" Type="http://schemas.microsoft.com/office/2011/relationships/chartStyle" Id="rId1"></Relationship></Relationships>
</file>

<file path=xl/charts/_rels/chart30.xml.rels><?xml version="1.0" encoding="UTF-8" ?><Relationships xmlns="http://schemas.openxmlformats.org/package/2006/relationships"><Relationship Target="colors30.xml" Type="http://schemas.microsoft.com/office/2011/relationships/chartColorStyle" Id="rId2"></Relationship><Relationship Target="style30.xml" Type="http://schemas.microsoft.com/office/2011/relationships/chartStyle" Id="rId1"></Relationship></Relationships>
</file>

<file path=xl/charts/_rels/chart31.xml.rels><?xml version="1.0" encoding="UTF-8" ?><Relationships xmlns="http://schemas.openxmlformats.org/package/2006/relationships"><Relationship Target="colors31.xml" Type="http://schemas.microsoft.com/office/2011/relationships/chartColorStyle" Id="rId2"></Relationship><Relationship Target="style31.xml" Type="http://schemas.microsoft.com/office/2011/relationships/chartStyle" Id="rId1"></Relationship></Relationships>
</file>

<file path=xl/charts/_rels/chart32.xml.rels><?xml version="1.0" encoding="UTF-8" ?><Relationships xmlns="http://schemas.openxmlformats.org/package/2006/relationships"><Relationship Target="colors32.xml" Type="http://schemas.microsoft.com/office/2011/relationships/chartColorStyle" Id="rId2"></Relationship><Relationship Target="style32.xml" Type="http://schemas.microsoft.com/office/2011/relationships/chartStyle" Id="rId1"></Relationship></Relationships>
</file>

<file path=xl/charts/_rels/chart33.xml.rels><?xml version="1.0" encoding="UTF-8" ?><Relationships xmlns="http://schemas.openxmlformats.org/package/2006/relationships"><Relationship Target="colors33.xml" Type="http://schemas.microsoft.com/office/2011/relationships/chartColorStyle" Id="rId2"></Relationship><Relationship Target="style33.xml" Type="http://schemas.microsoft.com/office/2011/relationships/chartStyle" Id="rId1"></Relationship></Relationships>
</file>

<file path=xl/charts/_rels/chart34.xml.rels><?xml version="1.0" encoding="UTF-8" ?><Relationships xmlns="http://schemas.openxmlformats.org/package/2006/relationships"><Relationship Target="colors34.xml" Type="http://schemas.microsoft.com/office/2011/relationships/chartColorStyle" Id="rId2"></Relationship><Relationship Target="style34.xml" Type="http://schemas.microsoft.com/office/2011/relationships/chartStyle" Id="rId1"></Relationship></Relationships>
</file>

<file path=xl/charts/_rels/chart35.xml.rels><?xml version="1.0" encoding="UTF-8" ?><Relationships xmlns="http://schemas.openxmlformats.org/package/2006/relationships"><Relationship Target="colors35.xml" Type="http://schemas.microsoft.com/office/2011/relationships/chartColorStyle" Id="rId2"></Relationship><Relationship Target="style35.xml" Type="http://schemas.microsoft.com/office/2011/relationships/chartStyle" Id="rId1"></Relationship></Relationships>
</file>

<file path=xl/charts/_rels/chart36.xml.rels><?xml version="1.0" encoding="UTF-8" ?><Relationships xmlns="http://schemas.openxmlformats.org/package/2006/relationships"><Relationship Target="colors36.xml" Type="http://schemas.microsoft.com/office/2011/relationships/chartColorStyle" Id="rId2"></Relationship><Relationship Target="style36.xml" Type="http://schemas.microsoft.com/office/2011/relationships/chartStyle" Id="rId1"></Relationship></Relationships>
</file>

<file path=xl/charts/_rels/chart37.xml.rels><?xml version="1.0" encoding="UTF-8" ?><Relationships xmlns="http://schemas.openxmlformats.org/package/2006/relationships"><Relationship Target="colors37.xml" Type="http://schemas.microsoft.com/office/2011/relationships/chartColorStyle" Id="rId2"></Relationship><Relationship Target="style37.xml" Type="http://schemas.microsoft.com/office/2011/relationships/chartStyle" Id="rId1"></Relationship></Relationships>
</file>

<file path=xl/charts/_rels/chart38.xml.rels><?xml version="1.0" encoding="UTF-8" ?><Relationships xmlns="http://schemas.openxmlformats.org/package/2006/relationships"><Relationship Target="colors38.xml" Type="http://schemas.microsoft.com/office/2011/relationships/chartColorStyle" Id="rId2"></Relationship><Relationship Target="style38.xml" Type="http://schemas.microsoft.com/office/2011/relationships/chartStyle" Id="rId1"></Relationship></Relationships>
</file>

<file path=xl/charts/_rels/chart39.xml.rels><?xml version="1.0" encoding="UTF-8" ?><Relationships xmlns="http://schemas.openxmlformats.org/package/2006/relationships"><Relationship Target="colors39.xml" Type="http://schemas.microsoft.com/office/2011/relationships/chartColorStyle" Id="rId2"></Relationship><Relationship Target="style39.xml" Type="http://schemas.microsoft.com/office/2011/relationships/chartStyle" Id="rId1"></Relationship></Relationships>
</file>

<file path=xl/charts/_rels/chart4.xml.rels><?xml version="1.0" encoding="UTF-8" ?><Relationships xmlns="http://schemas.openxmlformats.org/package/2006/relationships"><Relationship Target="colors4.xml" Type="http://schemas.microsoft.com/office/2011/relationships/chartColorStyle" Id="rId2"></Relationship><Relationship Target="style4.xml" Type="http://schemas.microsoft.com/office/2011/relationships/chartStyle" Id="rId1"></Relationship></Relationships>
</file>

<file path=xl/charts/_rels/chart40.xml.rels><?xml version="1.0" encoding="UTF-8" ?><Relationships xmlns="http://schemas.openxmlformats.org/package/2006/relationships"><Relationship Target="colors40.xml" Type="http://schemas.microsoft.com/office/2011/relationships/chartColorStyle" Id="rId2"></Relationship><Relationship Target="style40.xml" Type="http://schemas.microsoft.com/office/2011/relationships/chartStyle" Id="rId1"></Relationship></Relationships>
</file>

<file path=xl/charts/_rels/chart5.xml.rels><?xml version="1.0" encoding="UTF-8" ?><Relationships xmlns="http://schemas.openxmlformats.org/package/2006/relationships"><Relationship Target="colors5.xml" Type="http://schemas.microsoft.com/office/2011/relationships/chartColorStyle" Id="rId2"></Relationship><Relationship Target="style5.xml" Type="http://schemas.microsoft.com/office/2011/relationships/chartStyle" Id="rId1"></Relationship></Relationships>
</file>

<file path=xl/charts/_rels/chart6.xml.rels><?xml version="1.0" encoding="UTF-8" ?><Relationships xmlns="http://schemas.openxmlformats.org/package/2006/relationships"><Relationship Target="colors6.xml" Type="http://schemas.microsoft.com/office/2011/relationships/chartColorStyle" Id="rId2"></Relationship><Relationship Target="style6.xml" Type="http://schemas.microsoft.com/office/2011/relationships/chartStyle" Id="rId1"></Relationship></Relationships>
</file>

<file path=xl/charts/_rels/chart7.xml.rels><?xml version="1.0" encoding="UTF-8" ?><Relationships xmlns="http://schemas.openxmlformats.org/package/2006/relationships"><Relationship Target="colors7.xml" Type="http://schemas.microsoft.com/office/2011/relationships/chartColorStyle" Id="rId2"></Relationship><Relationship Target="style7.xml" Type="http://schemas.microsoft.com/office/2011/relationships/chartStyle" Id="rId1"></Relationship></Relationships>
</file>

<file path=xl/charts/_rels/chart8.xml.rels><?xml version="1.0" encoding="UTF-8" ?><Relationships xmlns="http://schemas.openxmlformats.org/package/2006/relationships"><Relationship Target="colors8.xml" Type="http://schemas.microsoft.com/office/2011/relationships/chartColorStyle" Id="rId2"></Relationship><Relationship Target="style8.xml" Type="http://schemas.microsoft.com/office/2011/relationships/chartStyle" Id="rId1"></Relationship></Relationships>
</file>

<file path=xl/charts/_rels/chart9.xml.rels><?xml version="1.0" encoding="UTF-8" ?><Relationships xmlns="http://schemas.openxmlformats.org/package/2006/relationships"><Relationship Target="colors9.xml" Type="http://schemas.microsoft.com/office/2011/relationships/chartColorStyle" Id="rId2"></Relationship><Relationship Target="style9.xml" Type="http://schemas.microsoft.com/office/2011/relationships/chartStyle" Id="rId1"></Relationship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Wood Pole Replacement - Raw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Pole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Plots!$C$7:$E$7</c:f>
              <c:numCache>
                <c:formatCode>_("$"* #,##0_);_("$"* \(#,##0\);_("$"* "-"??_);_(@_)</c:formatCode>
                <c:ptCount val="3"/>
                <c:pt idx="0">
                  <c:v>5604</c:v>
                </c:pt>
                <c:pt idx="1">
                  <c:v>7371.7619047619046</c:v>
                </c:pt>
                <c:pt idx="2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6-4509-B028-61D64F74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4572064"/>
        <c:axId val="644570752"/>
      </c:barChart>
      <c:catAx>
        <c:axId val="64457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570752"/>
        <c:crosses val="autoZero"/>
        <c:auto val="1"/>
        <c:lblAlgn val="ctr"/>
        <c:lblOffset val="100"/>
        <c:noMultiLvlLbl val="0"/>
      </c:catAx>
      <c:valAx>
        <c:axId val="644570752"/>
        <c:scaling>
          <c:orientation val="minMax"/>
          <c:max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57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Top Transformer Replacement - Raw Comparisons</a:t>
            </a:r>
          </a:p>
          <a:p>
            <a:pPr>
              <a:defRPr/>
            </a:pPr>
            <a:r>
              <a:rPr lang="en-US" sz="800" b="1"/>
              <a:t>(Unit Cost - per Transformer)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Plots!$C$10:$E$10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8651.9047619047633</c:v>
                </c:pt>
                <c:pt idx="2">
                  <c:v>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9-4797-A7E2-F548D3F51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427912"/>
        <c:axId val="591425616"/>
      </c:barChart>
      <c:catAx>
        <c:axId val="59142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25616"/>
        <c:crosses val="autoZero"/>
        <c:auto val="1"/>
        <c:lblAlgn val="ctr"/>
        <c:lblOffset val="100"/>
        <c:noMultiLvlLbl val="0"/>
      </c:catAx>
      <c:valAx>
        <c:axId val="5914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2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Top Transformer Replacement - Pre-Adjustment Comparisons</a:t>
            </a:r>
          </a:p>
          <a:p>
            <a:pPr>
              <a:defRPr/>
            </a:pPr>
            <a:r>
              <a:rPr lang="en-US" sz="800" b="1"/>
              <a:t>(Unit</a:t>
            </a:r>
            <a:r>
              <a:rPr lang="en-US" sz="800" b="1" baseline="0"/>
              <a:t> Cost - per Transformer)</a:t>
            </a:r>
            <a:r>
              <a:rPr lang="en-US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Plots!$F$10:$H$10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9300.9946822467282</c:v>
                </c:pt>
                <c:pt idx="2">
                  <c:v>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0-407E-ABEC-9BB684BC4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480040"/>
        <c:axId val="548487584"/>
      </c:barChart>
      <c:catAx>
        <c:axId val="5484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487584"/>
        <c:crosses val="autoZero"/>
        <c:auto val="1"/>
        <c:lblAlgn val="ctr"/>
        <c:lblOffset val="100"/>
        <c:noMultiLvlLbl val="0"/>
      </c:catAx>
      <c:valAx>
        <c:axId val="54848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48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Top Transformer Replacement - Normalized</a:t>
            </a:r>
            <a:r>
              <a:rPr lang="en-US" sz="1000" b="1" baseline="0"/>
              <a:t> Comparisons</a:t>
            </a:r>
          </a:p>
          <a:p>
            <a:pPr>
              <a:defRPr/>
            </a:pPr>
            <a:r>
              <a:rPr lang="en-US" sz="800" b="1"/>
              <a:t>(Unit Cost - per Transformer)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Plots!$I$10:$K$10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10514.394552260397</c:v>
                </c:pt>
                <c:pt idx="2">
                  <c:v>11761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233-BD26-F2C5CE184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544456"/>
        <c:axId val="650545112"/>
      </c:barChart>
      <c:catAx>
        <c:axId val="650544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5112"/>
        <c:crosses val="autoZero"/>
        <c:auto val="1"/>
        <c:lblAlgn val="ctr"/>
        <c:lblOffset val="100"/>
        <c:noMultiLvlLbl val="0"/>
      </c:catAx>
      <c:valAx>
        <c:axId val="650545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4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Padmount / UG Transformer Transformer Replacement </a:t>
            </a:r>
          </a:p>
          <a:p>
            <a:pPr>
              <a:defRPr/>
            </a:pPr>
            <a:r>
              <a:rPr lang="en-US" sz="1000" b="1"/>
              <a:t>Raw Comparisons </a:t>
            </a:r>
          </a:p>
          <a:p>
            <a:pPr>
              <a:defRPr/>
            </a:pPr>
            <a:r>
              <a:rPr lang="en-US" sz="800" b="1"/>
              <a:t>(Unit Cost</a:t>
            </a:r>
            <a:r>
              <a:rPr lang="en-US" sz="800" b="1" baseline="0"/>
              <a:t> per Transformer)</a:t>
            </a:r>
            <a:endParaRPr lang="en-US" sz="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Plots!$C$11:$E$11</c:f>
              <c:numCache>
                <c:formatCode>_("$"* #,##0_);_("$"* \(#,##0\);_("$"* "-"??_);_(@_)</c:formatCode>
                <c:ptCount val="3"/>
                <c:pt idx="0">
                  <c:v>16817</c:v>
                </c:pt>
                <c:pt idx="1">
                  <c:v>21491.285714285717</c:v>
                </c:pt>
                <c:pt idx="2">
                  <c:v>21454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1-488D-AB6C-8C1917947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947888"/>
        <c:axId val="582943296"/>
      </c:barChart>
      <c:catAx>
        <c:axId val="58294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43296"/>
        <c:crosses val="autoZero"/>
        <c:auto val="1"/>
        <c:lblAlgn val="ctr"/>
        <c:lblOffset val="100"/>
        <c:noMultiLvlLbl val="0"/>
      </c:catAx>
      <c:valAx>
        <c:axId val="58294329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9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Padmount / UG Transformer Replacement </a:t>
            </a:r>
          </a:p>
          <a:p>
            <a:pPr>
              <a:defRPr/>
            </a:pPr>
            <a:r>
              <a:rPr lang="en-US" sz="1000" b="1"/>
              <a:t>Pre-Analysis Adjustment Comparisons</a:t>
            </a:r>
          </a:p>
          <a:p>
            <a:pPr>
              <a:defRPr/>
            </a:pPr>
            <a:r>
              <a:rPr lang="en-US" sz="1000" b="1"/>
              <a:t> </a:t>
            </a:r>
            <a:r>
              <a:rPr lang="en-US" sz="800" b="1"/>
              <a:t>(Unit Cost per Transformer)</a:t>
            </a:r>
            <a:endParaRPr lang="en-U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Plots!$F$11:$H$11</c:f>
              <c:numCache>
                <c:formatCode>_("$"* #,##0_);_("$"* \(#,##0\);_("$"* "-"??_);_(@_)</c:formatCode>
                <c:ptCount val="3"/>
                <c:pt idx="0">
                  <c:v>16817</c:v>
                </c:pt>
                <c:pt idx="1">
                  <c:v>21645.055371839426</c:v>
                </c:pt>
                <c:pt idx="2">
                  <c:v>21454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6A0-B2CE-EC301A11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725504"/>
        <c:axId val="607727472"/>
      </c:barChart>
      <c:catAx>
        <c:axId val="60772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27472"/>
        <c:crosses val="autoZero"/>
        <c:auto val="1"/>
        <c:lblAlgn val="ctr"/>
        <c:lblOffset val="100"/>
        <c:noMultiLvlLbl val="0"/>
      </c:catAx>
      <c:valAx>
        <c:axId val="607727472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2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Padmount / UG Tansformer Replacement</a:t>
            </a:r>
          </a:p>
          <a:p>
            <a:pPr>
              <a:defRPr/>
            </a:pPr>
            <a:r>
              <a:rPr lang="en-US" sz="1000" b="1"/>
              <a:t>Normalized Comparisons</a:t>
            </a:r>
          </a:p>
          <a:p>
            <a:pPr>
              <a:defRPr/>
            </a:pPr>
            <a:r>
              <a:rPr lang="en-US" sz="800" b="1"/>
              <a:t>(Unit Cost per Transformer)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Plots!$I$11:$K$11</c:f>
              <c:numCache>
                <c:formatCode>_("$"* #,##0_);_("$"* \(#,##0\);_("$"* "-"??_);_(@_)</c:formatCode>
                <c:ptCount val="3"/>
                <c:pt idx="0">
                  <c:v>16817</c:v>
                </c:pt>
                <c:pt idx="1">
                  <c:v>23478.993197123502</c:v>
                </c:pt>
                <c:pt idx="2">
                  <c:v>21454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5-4D90-8103-DCD76FC0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813824"/>
        <c:axId val="442815464"/>
      </c:barChart>
      <c:catAx>
        <c:axId val="44281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815464"/>
        <c:crosses val="autoZero"/>
        <c:auto val="1"/>
        <c:lblAlgn val="ctr"/>
        <c:lblOffset val="100"/>
        <c:noMultiLvlLbl val="0"/>
      </c:catAx>
      <c:valAx>
        <c:axId val="442815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81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Network</a:t>
            </a:r>
            <a:r>
              <a:rPr lang="en-US" sz="1000" b="1" baseline="0"/>
              <a:t> Transformer / Protector Replacement</a:t>
            </a:r>
          </a:p>
          <a:p>
            <a:pPr>
              <a:defRPr/>
            </a:pPr>
            <a:r>
              <a:rPr lang="en-US" sz="1000" b="1" baseline="0"/>
              <a:t>Raw Comparisons</a:t>
            </a:r>
          </a:p>
          <a:p>
            <a:pPr>
              <a:defRPr/>
            </a:pPr>
            <a:r>
              <a:rPr lang="en-US" sz="800" b="1"/>
              <a:t>(Unit Cost - per Network Transformer / Protector)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Plots!$C$12:$E$12</c:f>
              <c:numCache>
                <c:formatCode>_("$"* #,##0_);_("$"* \(#,##0\);_("$"* "-"??_);_(@_)</c:formatCode>
                <c:ptCount val="3"/>
                <c:pt idx="0">
                  <c:v>68105</c:v>
                </c:pt>
                <c:pt idx="1">
                  <c:v>89253.880952380961</c:v>
                </c:pt>
                <c:pt idx="2">
                  <c:v>88943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6-413F-9ABD-842D75CC3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726816"/>
        <c:axId val="607725176"/>
      </c:barChart>
      <c:catAx>
        <c:axId val="60772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25176"/>
        <c:crosses val="autoZero"/>
        <c:auto val="1"/>
        <c:lblAlgn val="ctr"/>
        <c:lblOffset val="100"/>
        <c:noMultiLvlLbl val="0"/>
      </c:catAx>
      <c:valAx>
        <c:axId val="607725176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72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Network Transformer / Protector Replacement</a:t>
            </a:r>
          </a:p>
          <a:p>
            <a:pPr>
              <a:defRPr/>
            </a:pPr>
            <a:r>
              <a:rPr lang="en-US" sz="1000" b="1"/>
              <a:t>Pre-Analysis</a:t>
            </a:r>
            <a:r>
              <a:rPr lang="en-US" sz="1000" b="1" baseline="0"/>
              <a:t> Adjustment Comparisons</a:t>
            </a:r>
          </a:p>
          <a:p>
            <a:pPr>
              <a:defRPr/>
            </a:pPr>
            <a:r>
              <a:rPr lang="en-US" sz="800" b="1"/>
              <a:t>(Unit Cost - per Network Transformer / Protector)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Plots!$F$12:$H$12</c:f>
              <c:numCache>
                <c:formatCode>_("$"* #,##0_);_("$"* \(#,##0\);_("$"* "-"??_);_(@_)</c:formatCode>
                <c:ptCount val="3"/>
                <c:pt idx="0">
                  <c:v>68105</c:v>
                </c:pt>
                <c:pt idx="1">
                  <c:v>87990.535648712423</c:v>
                </c:pt>
                <c:pt idx="2">
                  <c:v>88943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4-425C-A195-04EAE16A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8527720"/>
        <c:axId val="518526408"/>
      </c:barChart>
      <c:catAx>
        <c:axId val="51852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26408"/>
        <c:crosses val="autoZero"/>
        <c:auto val="1"/>
        <c:lblAlgn val="ctr"/>
        <c:lblOffset val="100"/>
        <c:noMultiLvlLbl val="0"/>
      </c:catAx>
      <c:valAx>
        <c:axId val="518526408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527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Network Transformer / Protector Replacement</a:t>
            </a:r>
          </a:p>
          <a:p>
            <a:pPr>
              <a:defRPr/>
            </a:pPr>
            <a:r>
              <a:rPr lang="en-US" sz="1000" b="1"/>
              <a:t>Normalized Comparisons</a:t>
            </a:r>
          </a:p>
          <a:p>
            <a:pPr>
              <a:defRPr/>
            </a:pPr>
            <a:r>
              <a:rPr lang="en-US" sz="800" b="1"/>
              <a:t>(Unit Cost - per Network Transformer / Protector)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Plots!$I$12:$K$12</c:f>
              <c:numCache>
                <c:formatCode>_("$"* #,##0_);_("$"* \(#,##0\);_("$"* "-"??_);_(@_)</c:formatCode>
                <c:ptCount val="3"/>
                <c:pt idx="0">
                  <c:v>68105</c:v>
                </c:pt>
                <c:pt idx="1">
                  <c:v>95369.27071997973</c:v>
                </c:pt>
                <c:pt idx="2">
                  <c:v>88943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3-4903-BB91-9333DC200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589408"/>
        <c:axId val="453594656"/>
      </c:barChart>
      <c:catAx>
        <c:axId val="4535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94656"/>
        <c:crosses val="autoZero"/>
        <c:auto val="1"/>
        <c:lblAlgn val="ctr"/>
        <c:lblOffset val="100"/>
        <c:noMultiLvlLbl val="0"/>
      </c:catAx>
      <c:valAx>
        <c:axId val="45359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5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Breaker Replacement - Raw Comparisons</a:t>
            </a:r>
          </a:p>
          <a:p>
            <a:pPr>
              <a:defRPr/>
            </a:pPr>
            <a:r>
              <a:rPr lang="en-US" sz="800" b="1"/>
              <a:t>(Unit Cost - per Breaker)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Plots!$C$13:$E$13</c:f>
              <c:numCache>
                <c:formatCode>_("$"* #,##0_);_("$"* \(#,##0\);_("$"* "-"??_);_(@_)</c:formatCode>
                <c:ptCount val="3"/>
                <c:pt idx="0">
                  <c:v>167542</c:v>
                </c:pt>
                <c:pt idx="1">
                  <c:v>85228.14285714287</c:v>
                </c:pt>
                <c:pt idx="2">
                  <c:v>85242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B-435D-8953-9C88F16C8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417416"/>
        <c:axId val="591419712"/>
      </c:barChart>
      <c:catAx>
        <c:axId val="591417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19712"/>
        <c:crosses val="autoZero"/>
        <c:auto val="1"/>
        <c:lblAlgn val="ctr"/>
        <c:lblOffset val="100"/>
        <c:noMultiLvlLbl val="0"/>
      </c:catAx>
      <c:valAx>
        <c:axId val="59141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1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Wood Pole Replacement - Pre Analysis Adjustment</a:t>
            </a:r>
            <a:r>
              <a:rPr lang="en-US" sz="1000" b="1" baseline="0"/>
              <a:t>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Pole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Plots!$F$7:$H$7</c:f>
              <c:numCache>
                <c:formatCode>_("$"* #,##0_);_("$"* \(#,##0\);_("$"* "-"??_);_(@_)</c:formatCode>
                <c:ptCount val="3"/>
                <c:pt idx="0">
                  <c:v>5604</c:v>
                </c:pt>
                <c:pt idx="1">
                  <c:v>7437.9356434346028</c:v>
                </c:pt>
                <c:pt idx="2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FAA-9B54-297C83E11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854408"/>
        <c:axId val="650120160"/>
      </c:barChart>
      <c:catAx>
        <c:axId val="174854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120160"/>
        <c:crosses val="autoZero"/>
        <c:auto val="1"/>
        <c:lblAlgn val="ctr"/>
        <c:lblOffset val="100"/>
        <c:noMultiLvlLbl val="0"/>
      </c:catAx>
      <c:valAx>
        <c:axId val="65012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854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Breaker Replacement - Pre-Analysis Adjustment Comparisons</a:t>
            </a:r>
          </a:p>
          <a:p>
            <a:pPr>
              <a:defRPr/>
            </a:pPr>
            <a:r>
              <a:rPr lang="en-US" sz="800" b="1"/>
              <a:t>(Unit Cost -</a:t>
            </a:r>
            <a:r>
              <a:rPr lang="en-US" sz="800" b="1" baseline="0"/>
              <a:t> per Breaker)</a:t>
            </a:r>
            <a:r>
              <a:rPr lang="en-US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Plots!$F$13:$H$13</c:f>
              <c:numCache>
                <c:formatCode>_("$"* #,##0_);_("$"* \(#,##0\);_("$"* "-"??_);_(@_)</c:formatCode>
                <c:ptCount val="3"/>
                <c:pt idx="0">
                  <c:v>167542</c:v>
                </c:pt>
                <c:pt idx="1">
                  <c:v>85127.737765783371</c:v>
                </c:pt>
                <c:pt idx="2">
                  <c:v>85242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B-40FA-B0CF-A682E68E4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8493160"/>
        <c:axId val="548493488"/>
      </c:barChart>
      <c:catAx>
        <c:axId val="548493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493488"/>
        <c:crosses val="autoZero"/>
        <c:auto val="1"/>
        <c:lblAlgn val="ctr"/>
        <c:lblOffset val="100"/>
        <c:noMultiLvlLbl val="0"/>
      </c:catAx>
      <c:valAx>
        <c:axId val="54849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493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Breaker Replacement - Normalized</a:t>
            </a:r>
            <a:r>
              <a:rPr lang="en-US" sz="1000" b="1" baseline="0"/>
              <a:t> Comparisons</a:t>
            </a:r>
          </a:p>
          <a:p>
            <a:pPr>
              <a:defRPr/>
            </a:pPr>
            <a:r>
              <a:rPr lang="en-US" sz="800" b="1"/>
              <a:t>(Unit Cost - per Breaker)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Plots!$I$13:$K$13</c:f>
              <c:numCache>
                <c:formatCode>_("$"* #,##0_);_("$"* \(#,##0\);_("$"* "-"??_);_(@_)</c:formatCode>
                <c:ptCount val="3"/>
                <c:pt idx="0">
                  <c:v>167542</c:v>
                </c:pt>
                <c:pt idx="1">
                  <c:v>92937.564210027005</c:v>
                </c:pt>
                <c:pt idx="2">
                  <c:v>85242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3-4324-880A-54B56E253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0369096"/>
        <c:axId val="620370736"/>
      </c:barChart>
      <c:catAx>
        <c:axId val="62036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70736"/>
        <c:crosses val="autoZero"/>
        <c:auto val="1"/>
        <c:lblAlgn val="ctr"/>
        <c:lblOffset val="100"/>
        <c:noMultiLvlLbl val="0"/>
      </c:catAx>
      <c:valAx>
        <c:axId val="62037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36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Switchgear Replacement Comparison</a:t>
            </a:r>
            <a:r>
              <a:rPr lang="en-US" sz="1000" b="1" baseline="0"/>
              <a:t> with OEB Submittal</a:t>
            </a:r>
            <a:endParaRPr lang="en-U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Plots!$E$6:$F$6</c:f>
              <c:strCache>
                <c:ptCount val="2"/>
                <c:pt idx="0">
                  <c:v>THESL</c:v>
                </c:pt>
                <c:pt idx="1">
                  <c:v>OEB</c:v>
                </c:pt>
              </c:strCache>
            </c:strRef>
          </c:cat>
          <c:val>
            <c:numRef>
              <c:f>Plots!$E$14:$F$14</c:f>
              <c:numCache>
                <c:formatCode>_("$"* #,##0_);_("$"* \(#,##0\);_("$"* "-"??_);_(@_)</c:formatCode>
                <c:ptCount val="2"/>
                <c:pt idx="0">
                  <c:v>1529625</c:v>
                </c:pt>
                <c:pt idx="1">
                  <c:v>1713484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28-4478-A7A9-5D138EE7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414136"/>
        <c:axId val="591423320"/>
      </c:barChart>
      <c:catAx>
        <c:axId val="59141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23320"/>
        <c:crosses val="autoZero"/>
        <c:auto val="1"/>
        <c:lblAlgn val="ctr"/>
        <c:lblOffset val="100"/>
        <c:noMultiLvlLbl val="0"/>
      </c:catAx>
      <c:valAx>
        <c:axId val="5914233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41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Vegetation Management</a:t>
            </a:r>
            <a:r>
              <a:rPr lang="en-US" sz="1000" b="1" baseline="0"/>
              <a:t> - Raw Comparisons</a:t>
            </a:r>
          </a:p>
          <a:p>
            <a:pPr>
              <a:defRPr/>
            </a:pPr>
            <a:r>
              <a:rPr lang="en-US" sz="800" b="1" baseline="0"/>
              <a:t>(Unit Cost - per Line KM)</a:t>
            </a:r>
            <a:r>
              <a:rPr lang="en-US" sz="1000" b="1" baseline="0"/>
              <a:t> </a:t>
            </a:r>
            <a:endParaRPr lang="en-U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Plots!$C$87:$E$87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Plots!$C$88:$E$88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3739.166666666667</c:v>
                </c:pt>
                <c:pt idx="2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E-4C56-B9AF-3DFB28F1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7518384"/>
        <c:axId val="577519040"/>
      </c:barChart>
      <c:catAx>
        <c:axId val="5775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19040"/>
        <c:crosses val="autoZero"/>
        <c:auto val="1"/>
        <c:lblAlgn val="ctr"/>
        <c:lblOffset val="100"/>
        <c:noMultiLvlLbl val="0"/>
      </c:catAx>
      <c:valAx>
        <c:axId val="57751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5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Vegetation Management - Pre-Adjustment Comparisons</a:t>
            </a:r>
          </a:p>
          <a:p>
            <a:pPr>
              <a:defRPr/>
            </a:pPr>
            <a:r>
              <a:rPr lang="en-US" sz="800" b="1"/>
              <a:t>(Unit Cost - per Line KM)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Plots!$F$87:$H$87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Plots!$F$87:$H$87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Plots!$F$88:$H$88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3792.2041798564715</c:v>
                </c:pt>
                <c:pt idx="2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D-4953-A168-E6C61AB6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549704"/>
        <c:axId val="650543144"/>
      </c:barChart>
      <c:catAx>
        <c:axId val="65054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3144"/>
        <c:crosses val="autoZero"/>
        <c:auto val="1"/>
        <c:lblAlgn val="ctr"/>
        <c:lblOffset val="100"/>
        <c:noMultiLvlLbl val="0"/>
      </c:catAx>
      <c:valAx>
        <c:axId val="65054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9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Vegetation Management - Normalized Comparisons</a:t>
            </a:r>
          </a:p>
          <a:p>
            <a:pPr>
              <a:defRPr/>
            </a:pPr>
            <a:r>
              <a:rPr lang="en-US" sz="800" b="1"/>
              <a:t>(Unit Cost = per Line KM)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Plots!$I$87:$K$87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Plots!$I$88:$K$88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3965.3228901862221</c:v>
                </c:pt>
                <c:pt idx="2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8-47E8-ABCE-99C42AB65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7365976"/>
        <c:axId val="607361384"/>
      </c:barChart>
      <c:catAx>
        <c:axId val="60736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361384"/>
        <c:crosses val="autoZero"/>
        <c:auto val="1"/>
        <c:lblAlgn val="ctr"/>
        <c:lblOffset val="100"/>
        <c:noMultiLvlLbl val="0"/>
      </c:catAx>
      <c:valAx>
        <c:axId val="60736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736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Test</a:t>
            </a:r>
            <a:r>
              <a:rPr lang="en-US" sz="1000" b="1" baseline="0"/>
              <a:t> and Treat </a:t>
            </a:r>
            <a:r>
              <a:rPr lang="en-US" sz="1000" b="1"/>
              <a:t>- Raw Comparisons</a:t>
            </a:r>
          </a:p>
          <a:p>
            <a:pPr>
              <a:defRPr/>
            </a:pPr>
            <a:r>
              <a:rPr lang="en-US" sz="800" b="1"/>
              <a:t>(Unit Cost - per Pole)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Plots!$C$87:$E$87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Plots!$C$89:$E$89</c:f>
              <c:numCache>
                <c:formatCode>_("$"* #,##0_);_("$"* \(#,##0\);_("$"* "-"??_);_(@_)</c:formatCode>
                <c:ptCount val="3"/>
                <c:pt idx="0">
                  <c:v>18</c:v>
                </c:pt>
                <c:pt idx="1">
                  <c:v>17.142857142857142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5-4752-9792-6CA913A7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0547080"/>
        <c:axId val="650547408"/>
      </c:barChart>
      <c:catAx>
        <c:axId val="65054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7408"/>
        <c:crosses val="autoZero"/>
        <c:auto val="1"/>
        <c:lblAlgn val="ctr"/>
        <c:lblOffset val="100"/>
        <c:noMultiLvlLbl val="0"/>
      </c:catAx>
      <c:valAx>
        <c:axId val="6505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547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Test and Treat - Pre-Adjustment Comparisons</a:t>
            </a:r>
          </a:p>
          <a:p>
            <a:pPr>
              <a:defRPr/>
            </a:pPr>
            <a:r>
              <a:rPr lang="en-US" sz="800" b="1"/>
              <a:t>(Unit Cost - per Pole)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Plots!$F$87:$H$87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Plots!$F$89:$H$89</c:f>
              <c:numCache>
                <c:formatCode>_("$"* #,##0_);_("$"* \(#,##0\);_("$"* "-"??_);_(@_)</c:formatCode>
                <c:ptCount val="3"/>
                <c:pt idx="0">
                  <c:v>18</c:v>
                </c:pt>
                <c:pt idx="1">
                  <c:v>18.89796327690361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4-4494-8BE5-373734786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44504"/>
        <c:axId val="703646800"/>
      </c:barChart>
      <c:catAx>
        <c:axId val="70364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46800"/>
        <c:crosses val="autoZero"/>
        <c:auto val="1"/>
        <c:lblAlgn val="ctr"/>
        <c:lblOffset val="100"/>
        <c:noMultiLvlLbl val="0"/>
      </c:catAx>
      <c:valAx>
        <c:axId val="70364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4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Pole Test</a:t>
            </a:r>
            <a:r>
              <a:rPr lang="en-US" sz="1000" b="1" baseline="0"/>
              <a:t> and Treat - Normalized Comparisons</a:t>
            </a:r>
          </a:p>
          <a:p>
            <a:pPr>
              <a:defRPr/>
            </a:pPr>
            <a:r>
              <a:rPr lang="en-US" sz="800" b="1"/>
              <a:t>(Unit</a:t>
            </a:r>
            <a:r>
              <a:rPr lang="en-US" sz="800" b="1" baseline="0"/>
              <a:t> Cost - per Pole)</a:t>
            </a:r>
            <a:endParaRPr lang="en-US" sz="8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Plots!$I$87:$K$87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Plots!$I$89:$K$89</c:f>
              <c:numCache>
                <c:formatCode>_("$"* #,##0_);_("$"* \(#,##0\);_("$"* "-"??_);_(@_)</c:formatCode>
                <c:ptCount val="3"/>
                <c:pt idx="0">
                  <c:v>18</c:v>
                </c:pt>
                <c:pt idx="1">
                  <c:v>18.89796327690361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E-4214-B47F-5666F4EB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54344"/>
        <c:axId val="703657296"/>
      </c:barChart>
      <c:catAx>
        <c:axId val="70365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57296"/>
        <c:crosses val="autoZero"/>
        <c:auto val="1"/>
        <c:lblAlgn val="ctr"/>
        <c:lblOffset val="100"/>
        <c:noMultiLvlLbl val="0"/>
      </c:catAx>
      <c:valAx>
        <c:axId val="70365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5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Overhead Line Patrol - Raw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Line Kilometer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Plots!$C$87:$E$87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Plots!$C$90:$E$90</c:f>
              <c:numCache>
                <c:formatCode>_("$"* #,##0_);_("$"* \(#,##0\);_("$"* "-"??_);_(@_)</c:formatCode>
                <c:ptCount val="3"/>
                <c:pt idx="0">
                  <c:v>44</c:v>
                </c:pt>
                <c:pt idx="1">
                  <c:v>43.809523809523817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B-4DB1-A0A9-C10E789D7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533320"/>
        <c:axId val="548416464"/>
      </c:barChart>
      <c:catAx>
        <c:axId val="33853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416464"/>
        <c:crosses val="autoZero"/>
        <c:auto val="1"/>
        <c:lblAlgn val="ctr"/>
        <c:lblOffset val="100"/>
        <c:noMultiLvlLbl val="0"/>
      </c:catAx>
      <c:valAx>
        <c:axId val="54841646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53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Wood Pole Replacement - Normalized</a:t>
            </a:r>
            <a:r>
              <a:rPr lang="en-US" sz="1000" b="1" baseline="0"/>
              <a:t>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Pole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Plots!$I$7:$K$7</c:f>
              <c:numCache>
                <c:formatCode>_("$"* #,##0_);_("$"* \(#,##0\);_("$"* "-"??_);_(@_)</c:formatCode>
                <c:ptCount val="3"/>
                <c:pt idx="0">
                  <c:v>5604</c:v>
                </c:pt>
                <c:pt idx="1">
                  <c:v>7664.840059518956</c:v>
                </c:pt>
                <c:pt idx="2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5-442A-BF33-9BE29B16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931176"/>
        <c:axId val="440931504"/>
      </c:barChart>
      <c:catAx>
        <c:axId val="44093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31504"/>
        <c:crosses val="autoZero"/>
        <c:auto val="1"/>
        <c:lblAlgn val="ctr"/>
        <c:lblOffset val="100"/>
        <c:noMultiLvlLbl val="0"/>
      </c:catAx>
      <c:valAx>
        <c:axId val="440931504"/>
        <c:scaling>
          <c:orientation val="minMax"/>
          <c:max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93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Overhead Line Patrol - Pre-Adjustment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Line Kilometer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Plots!$F$87:$H$87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Plots!$F$90:$H$90</c:f>
              <c:numCache>
                <c:formatCode>_("$"* #,##0_);_("$"* \(#,##0\);_("$"* "-"??_);_(@_)</c:formatCode>
                <c:ptCount val="3"/>
                <c:pt idx="0">
                  <c:v>44</c:v>
                </c:pt>
                <c:pt idx="1">
                  <c:v>47.215075736471327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5-46DB-99F2-A9CEA83B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8051552"/>
        <c:axId val="708051880"/>
      </c:barChart>
      <c:catAx>
        <c:axId val="70805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51880"/>
        <c:crosses val="autoZero"/>
        <c:auto val="1"/>
        <c:lblAlgn val="ctr"/>
        <c:lblOffset val="100"/>
        <c:noMultiLvlLbl val="0"/>
      </c:catAx>
      <c:valAx>
        <c:axId val="70805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05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Overhead Line Patrol - Normalized Comparisons</a:t>
            </a:r>
          </a:p>
          <a:p>
            <a:pPr>
              <a:defRPr/>
            </a:pPr>
            <a:r>
              <a:rPr lang="en-US" sz="800" b="1"/>
              <a:t>(Unit Cost - per Line</a:t>
            </a:r>
            <a:r>
              <a:rPr lang="en-US" sz="800" b="1" baseline="0"/>
              <a:t> Kilometer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Plots!$I$87:$K$87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Plots!$I$90:$K$90</c:f>
              <c:numCache>
                <c:formatCode>_("$"* #,##0_);_("$"* \(#,##0\);_("$"* "-"??_);_(@_)</c:formatCode>
                <c:ptCount val="3"/>
                <c:pt idx="0">
                  <c:v>44</c:v>
                </c:pt>
                <c:pt idx="1">
                  <c:v>47.215075736471327</c:v>
                </c:pt>
                <c:pt idx="2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C-4343-A756-001200FB5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905056"/>
        <c:axId val="707905384"/>
      </c:barChart>
      <c:catAx>
        <c:axId val="7079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905384"/>
        <c:crosses val="autoZero"/>
        <c:auto val="1"/>
        <c:lblAlgn val="ctr"/>
        <c:lblOffset val="100"/>
        <c:noMultiLvlLbl val="0"/>
      </c:catAx>
      <c:valAx>
        <c:axId val="70790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9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Vault Inspection</a:t>
            </a:r>
            <a:r>
              <a:rPr lang="en-US" sz="1000" b="1" baseline="0"/>
              <a:t> - Raw Comparisons</a:t>
            </a:r>
          </a:p>
          <a:p>
            <a:pPr>
              <a:defRPr/>
            </a:pPr>
            <a:r>
              <a:rPr lang="en-US" sz="800" b="1"/>
              <a:t>(Unit Cost - per Vault)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Plots!$C$87:$E$87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Plots!$C$91:$E$91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253</c:v>
                </c:pt>
                <c:pt idx="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D-4CBC-9536-F6A84B44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1274680"/>
        <c:axId val="701271400"/>
      </c:barChart>
      <c:catAx>
        <c:axId val="70127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271400"/>
        <c:crosses val="autoZero"/>
        <c:auto val="1"/>
        <c:lblAlgn val="ctr"/>
        <c:lblOffset val="100"/>
        <c:noMultiLvlLbl val="0"/>
      </c:catAx>
      <c:valAx>
        <c:axId val="70127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27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Vault</a:t>
            </a:r>
            <a:r>
              <a:rPr lang="en-US" sz="1000" b="1" baseline="0"/>
              <a:t> Inspection - Pre-Adjustment Comparisons</a:t>
            </a:r>
          </a:p>
          <a:p>
            <a:pPr>
              <a:defRPr/>
            </a:pPr>
            <a:r>
              <a:rPr lang="en-US" sz="800" b="1"/>
              <a:t>(Unit Cost - per Vault)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Plots!$F$87:$H$87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Plots!$F$91:$H$91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261.00215316120114</c:v>
                </c:pt>
                <c:pt idx="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7-4A18-9644-9F6D861F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1275336"/>
        <c:axId val="701277304"/>
      </c:barChart>
      <c:catAx>
        <c:axId val="70127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277304"/>
        <c:crosses val="autoZero"/>
        <c:auto val="1"/>
        <c:lblAlgn val="ctr"/>
        <c:lblOffset val="100"/>
        <c:noMultiLvlLbl val="0"/>
      </c:catAx>
      <c:valAx>
        <c:axId val="70127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27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Vault Inspection - Normalized Comparisons</a:t>
            </a:r>
          </a:p>
          <a:p>
            <a:pPr>
              <a:defRPr/>
            </a:pPr>
            <a:r>
              <a:rPr lang="en-US" sz="800" b="1"/>
              <a:t>(Unit Cost - per Vault)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Plots!$I$87:$K$87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Plots!$I$91:$K$91</c:f>
              <c:numCache>
                <c:formatCode>_("$"* #,##0_);_("$"* \(#,##0\);_("$"* "-"??_);_(@_)</c:formatCode>
                <c:ptCount val="3"/>
                <c:pt idx="0">
                  <c:v>0</c:v>
                </c:pt>
                <c:pt idx="1">
                  <c:v>272.35007286386207</c:v>
                </c:pt>
                <c:pt idx="2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6-4263-9970-CDB8AE96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890952"/>
        <c:axId val="707894560"/>
      </c:barChart>
      <c:catAx>
        <c:axId val="707890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894560"/>
        <c:crosses val="autoZero"/>
        <c:auto val="1"/>
        <c:lblAlgn val="ctr"/>
        <c:lblOffset val="100"/>
        <c:noMultiLvlLbl val="0"/>
      </c:catAx>
      <c:valAx>
        <c:axId val="7078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890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Wood Pole Replacement</a:t>
            </a:r>
          </a:p>
          <a:p>
            <a:pPr>
              <a:defRPr/>
            </a:pPr>
            <a:r>
              <a:rPr lang="en-US" sz="1000" b="1"/>
              <a:t>($CAD per Pole)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082-41EA-A6C6-B6C36628F49C}"/>
              </c:ext>
            </c:extLst>
          </c:dPt>
          <c:cat>
            <c:strRef>
              <c:f>'Tables C-8 to C-10'!$C$47:$T$47</c:f>
              <c:strCache>
                <c:ptCount val="18"/>
                <c:pt idx="0">
                  <c:v>E</c:v>
                </c:pt>
                <c:pt idx="1">
                  <c:v>G</c:v>
                </c:pt>
                <c:pt idx="2">
                  <c:v>N</c:v>
                </c:pt>
                <c:pt idx="3">
                  <c:v>H</c:v>
                </c:pt>
                <c:pt idx="4">
                  <c:v>B</c:v>
                </c:pt>
                <c:pt idx="5">
                  <c:v>Q</c:v>
                </c:pt>
                <c:pt idx="6">
                  <c:v>THESL</c:v>
                </c:pt>
                <c:pt idx="7">
                  <c:v>A</c:v>
                </c:pt>
                <c:pt idx="8">
                  <c:v>D</c:v>
                </c:pt>
                <c:pt idx="9">
                  <c:v>C</c:v>
                </c:pt>
                <c:pt idx="10">
                  <c:v>M</c:v>
                </c:pt>
                <c:pt idx="11">
                  <c:v>O</c:v>
                </c:pt>
                <c:pt idx="12">
                  <c:v>P</c:v>
                </c:pt>
                <c:pt idx="13">
                  <c:v>I</c:v>
                </c:pt>
                <c:pt idx="14">
                  <c:v>J</c:v>
                </c:pt>
                <c:pt idx="15">
                  <c:v>K</c:v>
                </c:pt>
                <c:pt idx="16">
                  <c:v>L</c:v>
                </c:pt>
                <c:pt idx="17">
                  <c:v>F</c:v>
                </c:pt>
              </c:strCache>
            </c:strRef>
          </c:cat>
          <c:val>
            <c:numRef>
              <c:f>'Tables C-8 to C-10'!$C$48:$T$48</c:f>
              <c:numCache>
                <c:formatCode>_("$"* #,##0_);_("$"* \(#,##0\);_("$"* "-"??_);_(@_)</c:formatCode>
                <c:ptCount val="18"/>
                <c:pt idx="0">
                  <c:v>6065.9258986175109</c:v>
                </c:pt>
                <c:pt idx="1">
                  <c:v>6358.2105112711251</c:v>
                </c:pt>
                <c:pt idx="2">
                  <c:v>6636.0838879870144</c:v>
                </c:pt>
                <c:pt idx="3">
                  <c:v>6683.9529906340731</c:v>
                </c:pt>
                <c:pt idx="4">
                  <c:v>6954.9485531685468</c:v>
                </c:pt>
                <c:pt idx="5">
                  <c:v>7080.6346475540358</c:v>
                </c:pt>
                <c:pt idx="6">
                  <c:v>7434</c:v>
                </c:pt>
                <c:pt idx="7">
                  <c:v>7481.4304338482862</c:v>
                </c:pt>
                <c:pt idx="8">
                  <c:v>7605.2062477724494</c:v>
                </c:pt>
                <c:pt idx="9">
                  <c:v>7724.4738712654635</c:v>
                </c:pt>
                <c:pt idx="10">
                  <c:v>7834.9016096271871</c:v>
                </c:pt>
                <c:pt idx="11">
                  <c:v>8026.7984064341326</c:v>
                </c:pt>
                <c:pt idx="12">
                  <c:v>8124.3690462205614</c:v>
                </c:pt>
                <c:pt idx="13">
                  <c:v>8156.1863212510652</c:v>
                </c:pt>
                <c:pt idx="14">
                  <c:v>8165.9714125769733</c:v>
                </c:pt>
                <c:pt idx="15">
                  <c:v>8322.0535628109064</c:v>
                </c:pt>
                <c:pt idx="16">
                  <c:v>8456.6719168968248</c:v>
                </c:pt>
                <c:pt idx="17">
                  <c:v>9861.7274300137778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2-41EA-A6C6-B6C36628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275928"/>
        <c:axId val="625276584"/>
      </c:barChart>
      <c:lineChart>
        <c:grouping val="standard"/>
        <c:varyColors val="0"/>
        <c:ser>
          <c:idx val="1"/>
          <c:order val="1"/>
          <c:tx>
            <c:strRef>
              <c:f>'Tables C-8 to C-10'!$A$49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666666666666664E-2"/>
                  <c:y val="-3.7037037037037077E-2"/>
                </c:manualLayout>
              </c:layout>
              <c:tx>
                <c:rich>
                  <a:bodyPr/>
                  <a:lstStyle/>
                  <a:p>
                    <a:fld id="{6931259E-6A50-4850-9019-F4EC328831D5}" type="VALUE">
                      <a:rPr lang="en-US" sz="800" b="1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082-41EA-A6C6-B6C36628F4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'Tables C-8 to C-10'!$C$47:$T$47</c:f>
              <c:strCache>
                <c:ptCount val="18"/>
                <c:pt idx="0">
                  <c:v>E</c:v>
                </c:pt>
                <c:pt idx="1">
                  <c:v>G</c:v>
                </c:pt>
                <c:pt idx="2">
                  <c:v>N</c:v>
                </c:pt>
                <c:pt idx="3">
                  <c:v>H</c:v>
                </c:pt>
                <c:pt idx="4">
                  <c:v>B</c:v>
                </c:pt>
                <c:pt idx="5">
                  <c:v>Q</c:v>
                </c:pt>
                <c:pt idx="6">
                  <c:v>THESL</c:v>
                </c:pt>
                <c:pt idx="7">
                  <c:v>A</c:v>
                </c:pt>
                <c:pt idx="8">
                  <c:v>D</c:v>
                </c:pt>
                <c:pt idx="9">
                  <c:v>C</c:v>
                </c:pt>
                <c:pt idx="10">
                  <c:v>M</c:v>
                </c:pt>
                <c:pt idx="11">
                  <c:v>O</c:v>
                </c:pt>
                <c:pt idx="12">
                  <c:v>P</c:v>
                </c:pt>
                <c:pt idx="13">
                  <c:v>I</c:v>
                </c:pt>
                <c:pt idx="14">
                  <c:v>J</c:v>
                </c:pt>
                <c:pt idx="15">
                  <c:v>K</c:v>
                </c:pt>
                <c:pt idx="16">
                  <c:v>L</c:v>
                </c:pt>
                <c:pt idx="17">
                  <c:v>F</c:v>
                </c:pt>
              </c:strCache>
            </c:strRef>
          </c:cat>
          <c:val>
            <c:numRef>
              <c:f>'Tables C-8 to C-10'!$C$49:$T$49</c:f>
              <c:numCache>
                <c:formatCode>_("$"* #,##0_);_("$"* \(#,##0\);_("$"* "-"??_);_(@_)</c:formatCode>
                <c:ptCount val="18"/>
                <c:pt idx="0">
                  <c:v>7664.840059518956</c:v>
                </c:pt>
                <c:pt idx="1">
                  <c:v>7664.840059518956</c:v>
                </c:pt>
                <c:pt idx="2">
                  <c:v>7664.840059518956</c:v>
                </c:pt>
                <c:pt idx="3">
                  <c:v>7664.840059518956</c:v>
                </c:pt>
                <c:pt idx="4">
                  <c:v>7664.840059518956</c:v>
                </c:pt>
                <c:pt idx="5">
                  <c:v>7664.840059518956</c:v>
                </c:pt>
                <c:pt idx="6">
                  <c:v>7664.840059518956</c:v>
                </c:pt>
                <c:pt idx="7">
                  <c:v>7664.840059518956</c:v>
                </c:pt>
                <c:pt idx="8">
                  <c:v>7664.840059518956</c:v>
                </c:pt>
                <c:pt idx="9">
                  <c:v>7664.840059518956</c:v>
                </c:pt>
                <c:pt idx="10">
                  <c:v>7664.840059518956</c:v>
                </c:pt>
                <c:pt idx="11">
                  <c:v>7664.840059518956</c:v>
                </c:pt>
                <c:pt idx="12">
                  <c:v>7664.840059518956</c:v>
                </c:pt>
                <c:pt idx="13">
                  <c:v>7664.840059518956</c:v>
                </c:pt>
                <c:pt idx="14">
                  <c:v>7664.840059518956</c:v>
                </c:pt>
                <c:pt idx="15">
                  <c:v>7664.840059518956</c:v>
                </c:pt>
                <c:pt idx="16">
                  <c:v>7664.840059518956</c:v>
                </c:pt>
                <c:pt idx="17">
                  <c:v>7664.840059518956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2-41EA-A6C6-B6C36628F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275928"/>
        <c:axId val="625276584"/>
      </c:lineChart>
      <c:catAx>
        <c:axId val="62527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76584"/>
        <c:crosses val="autoZero"/>
        <c:auto val="1"/>
        <c:lblAlgn val="ctr"/>
        <c:lblOffset val="100"/>
        <c:noMultiLvlLbl val="0"/>
      </c:catAx>
      <c:valAx>
        <c:axId val="625276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27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Underground Cable Replacement</a:t>
            </a:r>
          </a:p>
          <a:p>
            <a:pPr>
              <a:defRPr/>
            </a:pPr>
            <a:r>
              <a:rPr lang="en-US" sz="1000" b="1"/>
              <a:t>($CAD per Meter)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9D-482C-BF35-BDA05A5CA96B}"/>
              </c:ext>
            </c:extLst>
          </c:dPt>
          <c:cat>
            <c:strRef>
              <c:f>'Tables C-8 to C-10'!$C$52:$T$52</c:f>
              <c:strCache>
                <c:ptCount val="18"/>
                <c:pt idx="0">
                  <c:v>G</c:v>
                </c:pt>
                <c:pt idx="1">
                  <c:v>A</c:v>
                </c:pt>
                <c:pt idx="2">
                  <c:v>N</c:v>
                </c:pt>
                <c:pt idx="3">
                  <c:v>B</c:v>
                </c:pt>
                <c:pt idx="4">
                  <c:v>O</c:v>
                </c:pt>
                <c:pt idx="5">
                  <c:v>Q</c:v>
                </c:pt>
                <c:pt idx="6">
                  <c:v>THESL</c:v>
                </c:pt>
                <c:pt idx="7">
                  <c:v>P</c:v>
                </c:pt>
                <c:pt idx="8">
                  <c:v>M</c:v>
                </c:pt>
                <c:pt idx="9">
                  <c:v>K</c:v>
                </c:pt>
                <c:pt idx="10">
                  <c:v>C</c:v>
                </c:pt>
                <c:pt idx="11">
                  <c:v>L</c:v>
                </c:pt>
                <c:pt idx="12">
                  <c:v>J</c:v>
                </c:pt>
                <c:pt idx="13">
                  <c:v>D</c:v>
                </c:pt>
                <c:pt idx="14">
                  <c:v>I</c:v>
                </c:pt>
                <c:pt idx="15">
                  <c:v>H</c:v>
                </c:pt>
                <c:pt idx="16">
                  <c:v>E</c:v>
                </c:pt>
                <c:pt idx="17">
                  <c:v>F</c:v>
                </c:pt>
              </c:strCache>
            </c:strRef>
          </c:cat>
          <c:val>
            <c:numRef>
              <c:f>'Tables C-8 to C-10'!$C$53:$T$53</c:f>
              <c:numCache>
                <c:formatCode>_("$"* #,##0_);_("$"* \(#,##0\);_("$"* "-"??_);_(@_)</c:formatCode>
                <c:ptCount val="18"/>
                <c:pt idx="0">
                  <c:v>83.257032684692035</c:v>
                </c:pt>
                <c:pt idx="1">
                  <c:v>85.211967240514809</c:v>
                </c:pt>
                <c:pt idx="2">
                  <c:v>85.789683618012432</c:v>
                </c:pt>
                <c:pt idx="3">
                  <c:v>91.985489850988827</c:v>
                </c:pt>
                <c:pt idx="4">
                  <c:v>94.787504838285358</c:v>
                </c:pt>
                <c:pt idx="5">
                  <c:v>95.420875222459244</c:v>
                </c:pt>
                <c:pt idx="6">
                  <c:v>96</c:v>
                </c:pt>
                <c:pt idx="7">
                  <c:v>96.050716081371846</c:v>
                </c:pt>
                <c:pt idx="8">
                  <c:v>96.060575175389445</c:v>
                </c:pt>
                <c:pt idx="9">
                  <c:v>100.62319890796945</c:v>
                </c:pt>
                <c:pt idx="10">
                  <c:v>105.08957364090105</c:v>
                </c:pt>
                <c:pt idx="11">
                  <c:v>105.98527870162714</c:v>
                </c:pt>
                <c:pt idx="12">
                  <c:v>108.18032440479072</c:v>
                </c:pt>
                <c:pt idx="13">
                  <c:v>108.40593665613031</c:v>
                </c:pt>
                <c:pt idx="14">
                  <c:v>108.5770048058336</c:v>
                </c:pt>
                <c:pt idx="15">
                  <c:v>119.03225314855206</c:v>
                </c:pt>
                <c:pt idx="16">
                  <c:v>122.21198156682028</c:v>
                </c:pt>
                <c:pt idx="17">
                  <c:v>126.4044952508896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9D-482C-BF35-BDA05A5C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110312"/>
        <c:axId val="400110640"/>
      </c:barChart>
      <c:lineChart>
        <c:grouping val="standard"/>
        <c:varyColors val="0"/>
        <c:ser>
          <c:idx val="1"/>
          <c:order val="1"/>
          <c:tx>
            <c:strRef>
              <c:f>'Tables C-8 to C-10'!$A$54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3.70370370370370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9D-482C-BF35-BDA05A5CA9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'Tables C-8 to C-10'!$C$52:$T$52</c:f>
              <c:strCache>
                <c:ptCount val="18"/>
                <c:pt idx="0">
                  <c:v>G</c:v>
                </c:pt>
                <c:pt idx="1">
                  <c:v>A</c:v>
                </c:pt>
                <c:pt idx="2">
                  <c:v>N</c:v>
                </c:pt>
                <c:pt idx="3">
                  <c:v>B</c:v>
                </c:pt>
                <c:pt idx="4">
                  <c:v>O</c:v>
                </c:pt>
                <c:pt idx="5">
                  <c:v>Q</c:v>
                </c:pt>
                <c:pt idx="6">
                  <c:v>THESL</c:v>
                </c:pt>
                <c:pt idx="7">
                  <c:v>P</c:v>
                </c:pt>
                <c:pt idx="8">
                  <c:v>M</c:v>
                </c:pt>
                <c:pt idx="9">
                  <c:v>K</c:v>
                </c:pt>
                <c:pt idx="10">
                  <c:v>C</c:v>
                </c:pt>
                <c:pt idx="11">
                  <c:v>L</c:v>
                </c:pt>
                <c:pt idx="12">
                  <c:v>J</c:v>
                </c:pt>
                <c:pt idx="13">
                  <c:v>D</c:v>
                </c:pt>
                <c:pt idx="14">
                  <c:v>I</c:v>
                </c:pt>
                <c:pt idx="15">
                  <c:v>H</c:v>
                </c:pt>
                <c:pt idx="16">
                  <c:v>E</c:v>
                </c:pt>
                <c:pt idx="17">
                  <c:v>F</c:v>
                </c:pt>
              </c:strCache>
            </c:strRef>
          </c:cat>
          <c:val>
            <c:numRef>
              <c:f>'Tables C-8 to C-10'!$C$54:$T$54</c:f>
              <c:numCache>
                <c:formatCode>_("$"* #,##0_);_("$"* \(#,##0\);_("$"* "-"??_);_(@_)</c:formatCode>
                <c:ptCount val="18"/>
                <c:pt idx="0">
                  <c:v>98.341887041679456</c:v>
                </c:pt>
                <c:pt idx="1">
                  <c:v>98.341887041679456</c:v>
                </c:pt>
                <c:pt idx="2">
                  <c:v>98.341887041679456</c:v>
                </c:pt>
                <c:pt idx="3">
                  <c:v>98.341887041679456</c:v>
                </c:pt>
                <c:pt idx="4">
                  <c:v>98.341887041679456</c:v>
                </c:pt>
                <c:pt idx="5">
                  <c:v>98.341887041679456</c:v>
                </c:pt>
                <c:pt idx="6">
                  <c:v>98.341887041679456</c:v>
                </c:pt>
                <c:pt idx="7">
                  <c:v>98.341887041679456</c:v>
                </c:pt>
                <c:pt idx="8">
                  <c:v>98.341887041679456</c:v>
                </c:pt>
                <c:pt idx="9">
                  <c:v>98.341887041679456</c:v>
                </c:pt>
                <c:pt idx="10">
                  <c:v>98.341887041679456</c:v>
                </c:pt>
                <c:pt idx="11">
                  <c:v>98.341887041679456</c:v>
                </c:pt>
                <c:pt idx="12">
                  <c:v>98.341887041679456</c:v>
                </c:pt>
                <c:pt idx="13">
                  <c:v>98.341887041679456</c:v>
                </c:pt>
                <c:pt idx="14">
                  <c:v>98.341887041679456</c:v>
                </c:pt>
                <c:pt idx="15">
                  <c:v>98.341887041679456</c:v>
                </c:pt>
                <c:pt idx="16">
                  <c:v>98.341887041679456</c:v>
                </c:pt>
                <c:pt idx="17">
                  <c:v>98.341887041679456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D-482C-BF35-BDA05A5CA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0110312"/>
        <c:axId val="400110640"/>
      </c:lineChart>
      <c:catAx>
        <c:axId val="40011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10640"/>
        <c:crosses val="autoZero"/>
        <c:auto val="1"/>
        <c:lblAlgn val="ctr"/>
        <c:lblOffset val="100"/>
        <c:noMultiLvlLbl val="0"/>
      </c:catAx>
      <c:valAx>
        <c:axId val="4001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011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Overhead Switch Replacement</a:t>
            </a:r>
          </a:p>
          <a:p>
            <a:pPr>
              <a:defRPr/>
            </a:pPr>
            <a:r>
              <a:rPr lang="en-US" sz="1000" b="1"/>
              <a:t>($CAD per Switch)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FB-4483-B80C-76428AFF9445}"/>
              </c:ext>
            </c:extLst>
          </c:dPt>
          <c:cat>
            <c:strRef>
              <c:f>'Tables C-8 to C-10'!$C$57:$T$57</c:f>
              <c:strCache>
                <c:ptCount val="18"/>
                <c:pt idx="0">
                  <c:v>I</c:v>
                </c:pt>
                <c:pt idx="1">
                  <c:v>J</c:v>
                </c:pt>
                <c:pt idx="2">
                  <c:v>P</c:v>
                </c:pt>
                <c:pt idx="3">
                  <c:v>G</c:v>
                </c:pt>
                <c:pt idx="4">
                  <c:v>N</c:v>
                </c:pt>
                <c:pt idx="5">
                  <c:v>THESL</c:v>
                </c:pt>
                <c:pt idx="6">
                  <c:v>O</c:v>
                </c:pt>
                <c:pt idx="7">
                  <c:v>K</c:v>
                </c:pt>
                <c:pt idx="8">
                  <c:v>C</c:v>
                </c:pt>
                <c:pt idx="9">
                  <c:v>Q</c:v>
                </c:pt>
                <c:pt idx="10">
                  <c:v>B</c:v>
                </c:pt>
                <c:pt idx="11">
                  <c:v>D</c:v>
                </c:pt>
                <c:pt idx="12">
                  <c:v>L</c:v>
                </c:pt>
                <c:pt idx="13">
                  <c:v>E</c:v>
                </c:pt>
                <c:pt idx="14">
                  <c:v>M</c:v>
                </c:pt>
                <c:pt idx="15">
                  <c:v>H</c:v>
                </c:pt>
                <c:pt idx="16">
                  <c:v>F</c:v>
                </c:pt>
                <c:pt idx="17">
                  <c:v>A</c:v>
                </c:pt>
              </c:strCache>
            </c:strRef>
          </c:cat>
          <c:val>
            <c:numRef>
              <c:f>'Tables C-8 to C-10'!$C$58:$T$58</c:f>
              <c:numCache>
                <c:formatCode>_("$"* #,##0_);_("$"* \(#,##0\);_("$"* "-"??_);_(@_)</c:formatCode>
                <c:ptCount val="18"/>
                <c:pt idx="0">
                  <c:v>17833.692456596862</c:v>
                </c:pt>
                <c:pt idx="1">
                  <c:v>19407.085086202373</c:v>
                </c:pt>
                <c:pt idx="2">
                  <c:v>20461.497981143919</c:v>
                </c:pt>
                <c:pt idx="3">
                  <c:v>20804.922020443875</c:v>
                </c:pt>
                <c:pt idx="4">
                  <c:v>20933.428124999999</c:v>
                </c:pt>
                <c:pt idx="5">
                  <c:v>21062</c:v>
                </c:pt>
                <c:pt idx="6">
                  <c:v>22569.838701858705</c:v>
                </c:pt>
                <c:pt idx="7">
                  <c:v>23037.898054680176</c:v>
                </c:pt>
                <c:pt idx="8">
                  <c:v>23378.261786973097</c:v>
                </c:pt>
                <c:pt idx="9">
                  <c:v>23523.947786152585</c:v>
                </c:pt>
                <c:pt idx="10">
                  <c:v>24892.224565385306</c:v>
                </c:pt>
                <c:pt idx="11">
                  <c:v>25206.895359815921</c:v>
                </c:pt>
                <c:pt idx="12">
                  <c:v>25948.066885364129</c:v>
                </c:pt>
                <c:pt idx="13">
                  <c:v>26174.606719731888</c:v>
                </c:pt>
                <c:pt idx="14">
                  <c:v>26281.099924044429</c:v>
                </c:pt>
                <c:pt idx="15">
                  <c:v>26379.934866333308</c:v>
                </c:pt>
                <c:pt idx="16">
                  <c:v>27009.57464826147</c:v>
                </c:pt>
                <c:pt idx="17">
                  <c:v>31459.755526372344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B-4483-B80C-76428AFF9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6210576"/>
        <c:axId val="406206968"/>
      </c:barChart>
      <c:lineChart>
        <c:grouping val="standard"/>
        <c:varyColors val="0"/>
        <c:ser>
          <c:idx val="1"/>
          <c:order val="1"/>
          <c:tx>
            <c:strRef>
              <c:f>'Tables C-8 to C-10'!$A$59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222222222222235E-2"/>
                  <c:y val="-2.7777777777777863E-2"/>
                </c:manualLayout>
              </c:layout>
              <c:tx>
                <c:rich>
                  <a:bodyPr/>
                  <a:lstStyle/>
                  <a:p>
                    <a:fld id="{BB7B4D91-6938-4086-862D-74E6FEA26DFE}" type="VALUE">
                      <a:rPr lang="en-US" sz="800" b="1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3FB-4483-B80C-76428AFF94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'Tables C-8 to C-10'!$C$57:$T$57</c:f>
              <c:strCache>
                <c:ptCount val="18"/>
                <c:pt idx="0">
                  <c:v>I</c:v>
                </c:pt>
                <c:pt idx="1">
                  <c:v>J</c:v>
                </c:pt>
                <c:pt idx="2">
                  <c:v>P</c:v>
                </c:pt>
                <c:pt idx="3">
                  <c:v>G</c:v>
                </c:pt>
                <c:pt idx="4">
                  <c:v>N</c:v>
                </c:pt>
                <c:pt idx="5">
                  <c:v>THESL</c:v>
                </c:pt>
                <c:pt idx="6">
                  <c:v>O</c:v>
                </c:pt>
                <c:pt idx="7">
                  <c:v>K</c:v>
                </c:pt>
                <c:pt idx="8">
                  <c:v>C</c:v>
                </c:pt>
                <c:pt idx="9">
                  <c:v>Q</c:v>
                </c:pt>
                <c:pt idx="10">
                  <c:v>B</c:v>
                </c:pt>
                <c:pt idx="11">
                  <c:v>D</c:v>
                </c:pt>
                <c:pt idx="12">
                  <c:v>L</c:v>
                </c:pt>
                <c:pt idx="13">
                  <c:v>E</c:v>
                </c:pt>
                <c:pt idx="14">
                  <c:v>M</c:v>
                </c:pt>
                <c:pt idx="15">
                  <c:v>H</c:v>
                </c:pt>
                <c:pt idx="16">
                  <c:v>F</c:v>
                </c:pt>
                <c:pt idx="17">
                  <c:v>A</c:v>
                </c:pt>
              </c:strCache>
            </c:strRef>
          </c:cat>
          <c:val>
            <c:numRef>
              <c:f>'Tables C-8 to C-10'!$C$59:$T$59</c:f>
              <c:numCache>
                <c:formatCode>_("$"* #,##0_);_("$"* \(#,##0\);_("$"* "-"??_);_(@_)</c:formatCode>
                <c:ptCount val="18"/>
                <c:pt idx="0">
                  <c:v>23451.104786562842</c:v>
                </c:pt>
                <c:pt idx="1">
                  <c:v>23451.104786562842</c:v>
                </c:pt>
                <c:pt idx="2">
                  <c:v>23451.104786562842</c:v>
                </c:pt>
                <c:pt idx="3">
                  <c:v>23451.104786562842</c:v>
                </c:pt>
                <c:pt idx="4">
                  <c:v>23451.104786562842</c:v>
                </c:pt>
                <c:pt idx="5">
                  <c:v>23451.104786562842</c:v>
                </c:pt>
                <c:pt idx="6">
                  <c:v>23451.104786562842</c:v>
                </c:pt>
                <c:pt idx="7">
                  <c:v>23451.104786562842</c:v>
                </c:pt>
                <c:pt idx="8">
                  <c:v>23451.104786562842</c:v>
                </c:pt>
                <c:pt idx="9">
                  <c:v>23451.104786562842</c:v>
                </c:pt>
                <c:pt idx="10">
                  <c:v>23451.104786562842</c:v>
                </c:pt>
                <c:pt idx="11">
                  <c:v>23451.104786562842</c:v>
                </c:pt>
                <c:pt idx="12">
                  <c:v>23451.104786562842</c:v>
                </c:pt>
                <c:pt idx="13">
                  <c:v>23451.104786562842</c:v>
                </c:pt>
                <c:pt idx="14">
                  <c:v>23451.104786562842</c:v>
                </c:pt>
                <c:pt idx="15">
                  <c:v>23451.104786562842</c:v>
                </c:pt>
                <c:pt idx="16">
                  <c:v>23451.104786562842</c:v>
                </c:pt>
                <c:pt idx="17">
                  <c:v>23451.104786562842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B-4483-B80C-76428AFF9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6210576"/>
        <c:axId val="406206968"/>
      </c:lineChart>
      <c:catAx>
        <c:axId val="40621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206968"/>
        <c:crosses val="autoZero"/>
        <c:auto val="1"/>
        <c:lblAlgn val="ctr"/>
        <c:lblOffset val="100"/>
        <c:noMultiLvlLbl val="0"/>
      </c:catAx>
      <c:valAx>
        <c:axId val="40620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21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Padmount / Underground Transformer Replacement</a:t>
            </a:r>
          </a:p>
          <a:p>
            <a:pPr>
              <a:defRPr/>
            </a:pPr>
            <a:r>
              <a:rPr lang="en-US" sz="1000" b="1"/>
              <a:t>($CAD per Transformer)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23-4C61-BCB0-87934512BF99}"/>
              </c:ext>
            </c:extLst>
          </c:dPt>
          <c:cat>
            <c:strRef>
              <c:f>'Tables C-8 to C-10'!$C$67:$T$67</c:f>
              <c:strCache>
                <c:ptCount val="18"/>
                <c:pt idx="0">
                  <c:v>O</c:v>
                </c:pt>
                <c:pt idx="1">
                  <c:v>N</c:v>
                </c:pt>
                <c:pt idx="2">
                  <c:v>G</c:v>
                </c:pt>
                <c:pt idx="3">
                  <c:v>Q</c:v>
                </c:pt>
                <c:pt idx="4">
                  <c:v>B</c:v>
                </c:pt>
                <c:pt idx="5">
                  <c:v>THESL</c:v>
                </c:pt>
                <c:pt idx="6">
                  <c:v>A</c:v>
                </c:pt>
                <c:pt idx="7">
                  <c:v>I</c:v>
                </c:pt>
                <c:pt idx="8">
                  <c:v>H</c:v>
                </c:pt>
                <c:pt idx="9">
                  <c:v>P</c:v>
                </c:pt>
                <c:pt idx="10">
                  <c:v>C</c:v>
                </c:pt>
                <c:pt idx="11">
                  <c:v>E</c:v>
                </c:pt>
                <c:pt idx="12">
                  <c:v>K</c:v>
                </c:pt>
                <c:pt idx="13">
                  <c:v>M</c:v>
                </c:pt>
                <c:pt idx="14">
                  <c:v>L</c:v>
                </c:pt>
                <c:pt idx="15">
                  <c:v>J</c:v>
                </c:pt>
                <c:pt idx="16">
                  <c:v>D</c:v>
                </c:pt>
                <c:pt idx="17">
                  <c:v>F</c:v>
                </c:pt>
              </c:strCache>
            </c:strRef>
          </c:cat>
          <c:val>
            <c:numRef>
              <c:f>'Tables C-8 to C-10'!$C$68:$T$68</c:f>
              <c:numCache>
                <c:formatCode>_("$"* #,##0_);_("$"* \(#,##0\);_("$"* "-"??_);_(@_)</c:formatCode>
                <c:ptCount val="18"/>
                <c:pt idx="0">
                  <c:v>17029.22574668215</c:v>
                </c:pt>
                <c:pt idx="1">
                  <c:v>18951.190984083853</c:v>
                </c:pt>
                <c:pt idx="2">
                  <c:v>19404.959440833165</c:v>
                </c:pt>
                <c:pt idx="3">
                  <c:v>20906.259376120714</c:v>
                </c:pt>
                <c:pt idx="4">
                  <c:v>21224.26645947334</c:v>
                </c:pt>
                <c:pt idx="5">
                  <c:v>21454</c:v>
                </c:pt>
                <c:pt idx="6">
                  <c:v>23173.170249038947</c:v>
                </c:pt>
                <c:pt idx="7">
                  <c:v>23329.715674128922</c:v>
                </c:pt>
                <c:pt idx="8">
                  <c:v>23357.699035340374</c:v>
                </c:pt>
                <c:pt idx="9">
                  <c:v>23600.287358906629</c:v>
                </c:pt>
                <c:pt idx="10">
                  <c:v>23746.661043742246</c:v>
                </c:pt>
                <c:pt idx="11">
                  <c:v>24029.930875576036</c:v>
                </c:pt>
                <c:pt idx="12">
                  <c:v>24433.239522068117</c:v>
                </c:pt>
                <c:pt idx="13">
                  <c:v>24576.289728040225</c:v>
                </c:pt>
                <c:pt idx="14">
                  <c:v>24649.606485908735</c:v>
                </c:pt>
                <c:pt idx="15">
                  <c:v>25331.858004501406</c:v>
                </c:pt>
                <c:pt idx="16">
                  <c:v>26155.274321861169</c:v>
                </c:pt>
                <c:pt idx="17">
                  <c:v>26419.842646562225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3-4C61-BCB0-87934512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813344"/>
        <c:axId val="302809736"/>
      </c:barChart>
      <c:lineChart>
        <c:grouping val="standard"/>
        <c:varyColors val="0"/>
        <c:ser>
          <c:idx val="1"/>
          <c:order val="1"/>
          <c:tx>
            <c:strRef>
              <c:f>'Tables C-8 to C-10'!$A$69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222222222222235E-2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45939CA8-EE14-4916-8F0F-25D3DF377C62}" type="VALUE">
                      <a:rPr lang="en-US" sz="800" b="1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A23-4C61-BCB0-87934512BF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'Tables C-8 to C-10'!$C$67:$T$67</c:f>
              <c:strCache>
                <c:ptCount val="18"/>
                <c:pt idx="0">
                  <c:v>O</c:v>
                </c:pt>
                <c:pt idx="1">
                  <c:v>N</c:v>
                </c:pt>
                <c:pt idx="2">
                  <c:v>G</c:v>
                </c:pt>
                <c:pt idx="3">
                  <c:v>Q</c:v>
                </c:pt>
                <c:pt idx="4">
                  <c:v>B</c:v>
                </c:pt>
                <c:pt idx="5">
                  <c:v>THESL</c:v>
                </c:pt>
                <c:pt idx="6">
                  <c:v>A</c:v>
                </c:pt>
                <c:pt idx="7">
                  <c:v>I</c:v>
                </c:pt>
                <c:pt idx="8">
                  <c:v>H</c:v>
                </c:pt>
                <c:pt idx="9">
                  <c:v>P</c:v>
                </c:pt>
                <c:pt idx="10">
                  <c:v>C</c:v>
                </c:pt>
                <c:pt idx="11">
                  <c:v>E</c:v>
                </c:pt>
                <c:pt idx="12">
                  <c:v>K</c:v>
                </c:pt>
                <c:pt idx="13">
                  <c:v>M</c:v>
                </c:pt>
                <c:pt idx="14">
                  <c:v>L</c:v>
                </c:pt>
                <c:pt idx="15">
                  <c:v>J</c:v>
                </c:pt>
                <c:pt idx="16">
                  <c:v>D</c:v>
                </c:pt>
                <c:pt idx="17">
                  <c:v>F</c:v>
                </c:pt>
              </c:strCache>
            </c:strRef>
          </c:cat>
          <c:val>
            <c:numRef>
              <c:f>'Tables C-8 to C-10'!$C$69:$T$69</c:f>
              <c:numCache>
                <c:formatCode>_("$"* #,##0_);_("$"* \(#,##0\);_("$"* "-"??_);_(@_)</c:formatCode>
                <c:ptCount val="18"/>
                <c:pt idx="0">
                  <c:v>23478.993197123502</c:v>
                </c:pt>
                <c:pt idx="1">
                  <c:v>23478.993197123502</c:v>
                </c:pt>
                <c:pt idx="2">
                  <c:v>23478.993197123502</c:v>
                </c:pt>
                <c:pt idx="3">
                  <c:v>23478.993197123502</c:v>
                </c:pt>
                <c:pt idx="4">
                  <c:v>23478.993197123502</c:v>
                </c:pt>
                <c:pt idx="5">
                  <c:v>23478.993197123502</c:v>
                </c:pt>
                <c:pt idx="6">
                  <c:v>23478.993197123502</c:v>
                </c:pt>
                <c:pt idx="7">
                  <c:v>23478.993197123502</c:v>
                </c:pt>
                <c:pt idx="8">
                  <c:v>23478.993197123502</c:v>
                </c:pt>
                <c:pt idx="9">
                  <c:v>23478.993197123502</c:v>
                </c:pt>
                <c:pt idx="10">
                  <c:v>23478.993197123502</c:v>
                </c:pt>
                <c:pt idx="11">
                  <c:v>23478.993197123502</c:v>
                </c:pt>
                <c:pt idx="12">
                  <c:v>23478.993197123502</c:v>
                </c:pt>
                <c:pt idx="13">
                  <c:v>23478.993197123502</c:v>
                </c:pt>
                <c:pt idx="14">
                  <c:v>23478.993197123502</c:v>
                </c:pt>
                <c:pt idx="15">
                  <c:v>23478.993197123502</c:v>
                </c:pt>
                <c:pt idx="16">
                  <c:v>23478.993197123502</c:v>
                </c:pt>
                <c:pt idx="17">
                  <c:v>23478.993197123502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3-4C61-BCB0-87934512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13344"/>
        <c:axId val="302809736"/>
      </c:lineChart>
      <c:catAx>
        <c:axId val="3028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809736"/>
        <c:crosses val="autoZero"/>
        <c:auto val="1"/>
        <c:lblAlgn val="ctr"/>
        <c:lblOffset val="100"/>
        <c:noMultiLvlLbl val="0"/>
      </c:catAx>
      <c:valAx>
        <c:axId val="302809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81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Pole Top Transformer Replacement</a:t>
            </a:r>
          </a:p>
          <a:p>
            <a:pPr>
              <a:defRPr/>
            </a:pPr>
            <a:r>
              <a:rPr lang="en-US" sz="1000" b="1"/>
              <a:t>($CAD per Transformer)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57-42F3-B024-8EB3AD7A3FF1}"/>
              </c:ext>
            </c:extLst>
          </c:dPt>
          <c:cat>
            <c:strRef>
              <c:f>'Tables C-8 to C-10'!$C$62:$T$62</c:f>
              <c:strCache>
                <c:ptCount val="18"/>
                <c:pt idx="0">
                  <c:v>N</c:v>
                </c:pt>
                <c:pt idx="1">
                  <c:v>K</c:v>
                </c:pt>
                <c:pt idx="2">
                  <c:v>A</c:v>
                </c:pt>
                <c:pt idx="3">
                  <c:v>Q</c:v>
                </c:pt>
                <c:pt idx="4">
                  <c:v>O</c:v>
                </c:pt>
                <c:pt idx="5">
                  <c:v>C</c:v>
                </c:pt>
                <c:pt idx="6">
                  <c:v>H</c:v>
                </c:pt>
                <c:pt idx="7">
                  <c:v>B</c:v>
                </c:pt>
                <c:pt idx="8">
                  <c:v>E</c:v>
                </c:pt>
                <c:pt idx="9">
                  <c:v>G</c:v>
                </c:pt>
                <c:pt idx="10">
                  <c:v>I</c:v>
                </c:pt>
                <c:pt idx="11">
                  <c:v>P</c:v>
                </c:pt>
                <c:pt idx="12">
                  <c:v>D</c:v>
                </c:pt>
                <c:pt idx="13">
                  <c:v>THESL</c:v>
                </c:pt>
                <c:pt idx="14">
                  <c:v>F</c:v>
                </c:pt>
                <c:pt idx="15">
                  <c:v>J</c:v>
                </c:pt>
                <c:pt idx="16">
                  <c:v>L</c:v>
                </c:pt>
                <c:pt idx="17">
                  <c:v>M</c:v>
                </c:pt>
              </c:strCache>
            </c:strRef>
          </c:cat>
          <c:val>
            <c:numRef>
              <c:f>'Tables C-8 to C-10'!$C$63:$T$63</c:f>
              <c:numCache>
                <c:formatCode>_("$"* #,##0_);_("$"* \(#,##0\);_("$"* "-"??_);_(@_)</c:formatCode>
                <c:ptCount val="18"/>
                <c:pt idx="0">
                  <c:v>7795.9955255681816</c:v>
                </c:pt>
                <c:pt idx="1">
                  <c:v>8203.4526682078886</c:v>
                </c:pt>
                <c:pt idx="2">
                  <c:v>8247.6214608056162</c:v>
                </c:pt>
                <c:pt idx="3">
                  <c:v>8391.0887052768303</c:v>
                </c:pt>
                <c:pt idx="4">
                  <c:v>8493.1124990261505</c:v>
                </c:pt>
                <c:pt idx="5">
                  <c:v>9343.2034169799226</c:v>
                </c:pt>
                <c:pt idx="6">
                  <c:v>9412.1840800392238</c:v>
                </c:pt>
                <c:pt idx="7">
                  <c:v>9842.5985402713322</c:v>
                </c:pt>
                <c:pt idx="8">
                  <c:v>10101.46124842899</c:v>
                </c:pt>
                <c:pt idx="9">
                  <c:v>10927.327856091804</c:v>
                </c:pt>
                <c:pt idx="10">
                  <c:v>10954.20690713194</c:v>
                </c:pt>
                <c:pt idx="11">
                  <c:v>11354.865088054348</c:v>
                </c:pt>
                <c:pt idx="12">
                  <c:v>11465.570315577537</c:v>
                </c:pt>
                <c:pt idx="13">
                  <c:v>11761</c:v>
                </c:pt>
                <c:pt idx="14">
                  <c:v>11825.395235186317</c:v>
                </c:pt>
                <c:pt idx="15">
                  <c:v>13376.966262018414</c:v>
                </c:pt>
                <c:pt idx="16">
                  <c:v>13382.213584736735</c:v>
                </c:pt>
                <c:pt idx="17">
                  <c:v>13664.379044998219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7-42F3-B024-8EB3AD7A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132280"/>
        <c:axId val="626132936"/>
      </c:barChart>
      <c:lineChart>
        <c:grouping val="standard"/>
        <c:varyColors val="0"/>
        <c:ser>
          <c:idx val="1"/>
          <c:order val="1"/>
          <c:tx>
            <c:strRef>
              <c:f>'Tables C-8 to C-10'!$A$64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222222222222235E-2"/>
                  <c:y val="-4.1666666666666623E-2"/>
                </c:manualLayout>
              </c:layout>
              <c:tx>
                <c:rich>
                  <a:bodyPr/>
                  <a:lstStyle/>
                  <a:p>
                    <a:fld id="{80BB39EA-C650-49DC-8EB7-A91AFCF2F598}" type="VALUE">
                      <a:rPr lang="en-US" sz="800" b="1">
                        <a:solidFill>
                          <a:srgbClr val="FF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57-42F3-B024-8EB3AD7A3F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'Tables C-8 to C-10'!$C$62:$T$62</c:f>
              <c:strCache>
                <c:ptCount val="18"/>
                <c:pt idx="0">
                  <c:v>N</c:v>
                </c:pt>
                <c:pt idx="1">
                  <c:v>K</c:v>
                </c:pt>
                <c:pt idx="2">
                  <c:v>A</c:v>
                </c:pt>
                <c:pt idx="3">
                  <c:v>Q</c:v>
                </c:pt>
                <c:pt idx="4">
                  <c:v>O</c:v>
                </c:pt>
                <c:pt idx="5">
                  <c:v>C</c:v>
                </c:pt>
                <c:pt idx="6">
                  <c:v>H</c:v>
                </c:pt>
                <c:pt idx="7">
                  <c:v>B</c:v>
                </c:pt>
                <c:pt idx="8">
                  <c:v>E</c:v>
                </c:pt>
                <c:pt idx="9">
                  <c:v>G</c:v>
                </c:pt>
                <c:pt idx="10">
                  <c:v>I</c:v>
                </c:pt>
                <c:pt idx="11">
                  <c:v>P</c:v>
                </c:pt>
                <c:pt idx="12">
                  <c:v>D</c:v>
                </c:pt>
                <c:pt idx="13">
                  <c:v>THESL</c:v>
                </c:pt>
                <c:pt idx="14">
                  <c:v>F</c:v>
                </c:pt>
                <c:pt idx="15">
                  <c:v>J</c:v>
                </c:pt>
                <c:pt idx="16">
                  <c:v>L</c:v>
                </c:pt>
                <c:pt idx="17">
                  <c:v>M</c:v>
                </c:pt>
              </c:strCache>
            </c:strRef>
          </c:cat>
          <c:val>
            <c:numRef>
              <c:f>'Tables C-8 to C-10'!$C$64:$T$64</c:f>
              <c:numCache>
                <c:formatCode>_("$"* #,##0_);_("$"* \(#,##0\);_("$"* "-"??_);_(@_)</c:formatCode>
                <c:ptCount val="18"/>
                <c:pt idx="0">
                  <c:v>10514.394552260397</c:v>
                </c:pt>
                <c:pt idx="1">
                  <c:v>10514.394552260397</c:v>
                </c:pt>
                <c:pt idx="2">
                  <c:v>10514.394552260397</c:v>
                </c:pt>
                <c:pt idx="3">
                  <c:v>10514.394552260397</c:v>
                </c:pt>
                <c:pt idx="4">
                  <c:v>10514.394552260397</c:v>
                </c:pt>
                <c:pt idx="5">
                  <c:v>10514.394552260397</c:v>
                </c:pt>
                <c:pt idx="6">
                  <c:v>10514.394552260397</c:v>
                </c:pt>
                <c:pt idx="7">
                  <c:v>10514.394552260397</c:v>
                </c:pt>
                <c:pt idx="8">
                  <c:v>10514.394552260397</c:v>
                </c:pt>
                <c:pt idx="9">
                  <c:v>10514.394552260397</c:v>
                </c:pt>
                <c:pt idx="10">
                  <c:v>10514.394552260397</c:v>
                </c:pt>
                <c:pt idx="11">
                  <c:v>10514.394552260397</c:v>
                </c:pt>
                <c:pt idx="12">
                  <c:v>10514.394552260397</c:v>
                </c:pt>
                <c:pt idx="13">
                  <c:v>10514.394552260397</c:v>
                </c:pt>
                <c:pt idx="14">
                  <c:v>10514.394552260397</c:v>
                </c:pt>
                <c:pt idx="15">
                  <c:v>10514.394552260397</c:v>
                </c:pt>
                <c:pt idx="16">
                  <c:v>10514.394552260397</c:v>
                </c:pt>
                <c:pt idx="17">
                  <c:v>10514.394552260397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57-42F3-B024-8EB3AD7A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132280"/>
        <c:axId val="626132936"/>
      </c:lineChart>
      <c:catAx>
        <c:axId val="62613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132936"/>
        <c:crosses val="autoZero"/>
        <c:auto val="1"/>
        <c:lblAlgn val="ctr"/>
        <c:lblOffset val="100"/>
        <c:noMultiLvlLbl val="0"/>
      </c:catAx>
      <c:valAx>
        <c:axId val="62613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6132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UG Cable Replacement</a:t>
            </a:r>
            <a:r>
              <a:rPr lang="en-US" sz="1000" b="1" baseline="0"/>
              <a:t> - Raw Comparisons</a:t>
            </a:r>
          </a:p>
          <a:p>
            <a:pPr>
              <a:defRPr/>
            </a:pPr>
            <a:r>
              <a:rPr lang="en-US" sz="800" b="1"/>
              <a:t>(Unit Cost - per Meter)</a:t>
            </a:r>
          </a:p>
          <a:p>
            <a:pPr>
              <a:defRPr/>
            </a:pPr>
            <a:endParaRPr lang="en-U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Plots!$C$8:$E$8</c:f>
              <c:numCache>
                <c:formatCode>_("$"* #,##0_);_("$"* \(#,##0\);_("$"* "-"??_);_(@_)</c:formatCode>
                <c:ptCount val="3"/>
                <c:pt idx="0">
                  <c:v>56</c:v>
                </c:pt>
                <c:pt idx="1">
                  <c:v>95.61904761904762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6-49D7-99AD-4490F3032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59648"/>
        <c:axId val="553160304"/>
      </c:barChart>
      <c:catAx>
        <c:axId val="55315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60304"/>
        <c:crosses val="autoZero"/>
        <c:auto val="1"/>
        <c:lblAlgn val="ctr"/>
        <c:lblOffset val="100"/>
        <c:noMultiLvlLbl val="0"/>
      </c:catAx>
      <c:valAx>
        <c:axId val="55316030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5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Network</a:t>
            </a:r>
            <a:r>
              <a:rPr lang="en-US" sz="1200" b="1" baseline="0"/>
              <a:t> Transformer / Protector Replacement</a:t>
            </a:r>
          </a:p>
          <a:p>
            <a:pPr>
              <a:defRPr/>
            </a:pPr>
            <a:r>
              <a:rPr lang="en-US" sz="1000" b="1" baseline="0"/>
              <a:t>($CAD per Transformer / Protector)</a:t>
            </a:r>
            <a:endParaRPr lang="en-US" sz="10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055-492E-9A35-B60048E915B6}"/>
              </c:ext>
            </c:extLst>
          </c:dPt>
          <c:cat>
            <c:strRef>
              <c:f>'Tables C-8 to C-10'!$C$72:$T$72</c:f>
              <c:strCache>
                <c:ptCount val="18"/>
                <c:pt idx="0">
                  <c:v>G</c:v>
                </c:pt>
                <c:pt idx="1">
                  <c:v>N</c:v>
                </c:pt>
                <c:pt idx="2">
                  <c:v>Q</c:v>
                </c:pt>
                <c:pt idx="3">
                  <c:v>H</c:v>
                </c:pt>
                <c:pt idx="4">
                  <c:v>O</c:v>
                </c:pt>
                <c:pt idx="5">
                  <c:v>THESL</c:v>
                </c:pt>
                <c:pt idx="6">
                  <c:v>B</c:v>
                </c:pt>
                <c:pt idx="7">
                  <c:v>A</c:v>
                </c:pt>
                <c:pt idx="8">
                  <c:v>M</c:v>
                </c:pt>
                <c:pt idx="9">
                  <c:v>I</c:v>
                </c:pt>
                <c:pt idx="10">
                  <c:v>C</c:v>
                </c:pt>
                <c:pt idx="11">
                  <c:v>F</c:v>
                </c:pt>
                <c:pt idx="12">
                  <c:v>J</c:v>
                </c:pt>
                <c:pt idx="13">
                  <c:v>L</c:v>
                </c:pt>
                <c:pt idx="14">
                  <c:v>P</c:v>
                </c:pt>
                <c:pt idx="15">
                  <c:v>D</c:v>
                </c:pt>
                <c:pt idx="16">
                  <c:v>E</c:v>
                </c:pt>
                <c:pt idx="17">
                  <c:v>K</c:v>
                </c:pt>
              </c:strCache>
            </c:strRef>
          </c:cat>
          <c:val>
            <c:numRef>
              <c:f>'Tables C-8 to C-10'!$C$73:$T$73</c:f>
              <c:numCache>
                <c:formatCode>_("$"* #,##0_);_("$"* \(#,##0\);_("$"* "-"??_);_(@_)</c:formatCode>
                <c:ptCount val="18"/>
                <c:pt idx="0">
                  <c:v>82485.204030931563</c:v>
                </c:pt>
                <c:pt idx="1">
                  <c:v>85131.645465838519</c:v>
                </c:pt>
                <c:pt idx="2">
                  <c:v>87944.822738071394</c:v>
                </c:pt>
                <c:pt idx="3">
                  <c:v>88554.026776413448</c:v>
                </c:pt>
                <c:pt idx="4">
                  <c:v>88576.717487296075</c:v>
                </c:pt>
                <c:pt idx="5">
                  <c:v>88943</c:v>
                </c:pt>
                <c:pt idx="6">
                  <c:v>90447.712985816819</c:v>
                </c:pt>
                <c:pt idx="7">
                  <c:v>93740.883111673553</c:v>
                </c:pt>
                <c:pt idx="8">
                  <c:v>93950.770063312491</c:v>
                </c:pt>
                <c:pt idx="9">
                  <c:v>96787.771376646968</c:v>
                </c:pt>
                <c:pt idx="10">
                  <c:v>97147.489568939811</c:v>
                </c:pt>
                <c:pt idx="11">
                  <c:v>97422.168913941234</c:v>
                </c:pt>
                <c:pt idx="12">
                  <c:v>98090.226180982077</c:v>
                </c:pt>
                <c:pt idx="13">
                  <c:v>98390.863205784597</c:v>
                </c:pt>
                <c:pt idx="14">
                  <c:v>98402.561007984797</c:v>
                </c:pt>
                <c:pt idx="15">
                  <c:v>98648.077189244679</c:v>
                </c:pt>
                <c:pt idx="16">
                  <c:v>98969.122420356667</c:v>
                </c:pt>
                <c:pt idx="17">
                  <c:v>99227.159332853174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5-492E-9A35-B60048E91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571872"/>
        <c:axId val="616572200"/>
      </c:barChart>
      <c:lineChart>
        <c:grouping val="standard"/>
        <c:varyColors val="0"/>
        <c:ser>
          <c:idx val="1"/>
          <c:order val="1"/>
          <c:tx>
            <c:strRef>
              <c:f>'Tables C-8 to C-10'!$A$74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'Tables C-8 to C-10'!$C$72:$T$72</c:f>
              <c:strCache>
                <c:ptCount val="18"/>
                <c:pt idx="0">
                  <c:v>G</c:v>
                </c:pt>
                <c:pt idx="1">
                  <c:v>N</c:v>
                </c:pt>
                <c:pt idx="2">
                  <c:v>Q</c:v>
                </c:pt>
                <c:pt idx="3">
                  <c:v>H</c:v>
                </c:pt>
                <c:pt idx="4">
                  <c:v>O</c:v>
                </c:pt>
                <c:pt idx="5">
                  <c:v>THESL</c:v>
                </c:pt>
                <c:pt idx="6">
                  <c:v>B</c:v>
                </c:pt>
                <c:pt idx="7">
                  <c:v>A</c:v>
                </c:pt>
                <c:pt idx="8">
                  <c:v>M</c:v>
                </c:pt>
                <c:pt idx="9">
                  <c:v>I</c:v>
                </c:pt>
                <c:pt idx="10">
                  <c:v>C</c:v>
                </c:pt>
                <c:pt idx="11">
                  <c:v>F</c:v>
                </c:pt>
                <c:pt idx="12">
                  <c:v>J</c:v>
                </c:pt>
                <c:pt idx="13">
                  <c:v>L</c:v>
                </c:pt>
                <c:pt idx="14">
                  <c:v>P</c:v>
                </c:pt>
                <c:pt idx="15">
                  <c:v>D</c:v>
                </c:pt>
                <c:pt idx="16">
                  <c:v>E</c:v>
                </c:pt>
                <c:pt idx="17">
                  <c:v>K</c:v>
                </c:pt>
              </c:strCache>
            </c:strRef>
          </c:cat>
          <c:val>
            <c:numRef>
              <c:f>'Tables C-8 to C-10'!$C$74:$T$74</c:f>
              <c:numCache>
                <c:formatCode>_("$"* #,##0_);_("$"* \(#,##0\);_("$"* "-"??_);_(@_)</c:formatCode>
                <c:ptCount val="18"/>
                <c:pt idx="0">
                  <c:v>95369.27071997973</c:v>
                </c:pt>
                <c:pt idx="1">
                  <c:v>95369.27071997973</c:v>
                </c:pt>
                <c:pt idx="2">
                  <c:v>95369.27071997973</c:v>
                </c:pt>
                <c:pt idx="3">
                  <c:v>95369.27071997973</c:v>
                </c:pt>
                <c:pt idx="4">
                  <c:v>95369.27071997973</c:v>
                </c:pt>
                <c:pt idx="5">
                  <c:v>95369.27071997973</c:v>
                </c:pt>
                <c:pt idx="6">
                  <c:v>95369.27071997973</c:v>
                </c:pt>
                <c:pt idx="7">
                  <c:v>95369.27071997973</c:v>
                </c:pt>
                <c:pt idx="8">
                  <c:v>95369.27071997973</c:v>
                </c:pt>
                <c:pt idx="9">
                  <c:v>95369.27071997973</c:v>
                </c:pt>
                <c:pt idx="10">
                  <c:v>95369.27071997973</c:v>
                </c:pt>
                <c:pt idx="11">
                  <c:v>95369.27071997973</c:v>
                </c:pt>
                <c:pt idx="12">
                  <c:v>95369.27071997973</c:v>
                </c:pt>
                <c:pt idx="13">
                  <c:v>95369.27071997973</c:v>
                </c:pt>
                <c:pt idx="14">
                  <c:v>95369.27071997973</c:v>
                </c:pt>
                <c:pt idx="15">
                  <c:v>95369.27071997973</c:v>
                </c:pt>
                <c:pt idx="16">
                  <c:v>95369.27071997973</c:v>
                </c:pt>
                <c:pt idx="17">
                  <c:v>95369.27071997973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5-492E-9A35-B60048E91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571872"/>
        <c:axId val="616572200"/>
      </c:lineChart>
      <c:catAx>
        <c:axId val="61657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572200"/>
        <c:crosses val="autoZero"/>
        <c:auto val="1"/>
        <c:lblAlgn val="ctr"/>
        <c:lblOffset val="100"/>
        <c:noMultiLvlLbl val="0"/>
      </c:catAx>
      <c:valAx>
        <c:axId val="61657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57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UG</a:t>
            </a:r>
            <a:r>
              <a:rPr lang="en-US" sz="1000" b="1" baseline="0"/>
              <a:t> Cable Replacement - Pre-Analysis Comparisons</a:t>
            </a:r>
          </a:p>
          <a:p>
            <a:pPr>
              <a:defRPr/>
            </a:pPr>
            <a:r>
              <a:rPr lang="en-US" sz="800" b="1"/>
              <a:t>(Unit Cost - per Meter)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Plots!$F$8:$H$8</c:f>
              <c:numCache>
                <c:formatCode>_("$"* #,##0_);_("$"* \(#,##0\);_("$"* "-"??_);_(@_)</c:formatCode>
                <c:ptCount val="3"/>
                <c:pt idx="0">
                  <c:v>56</c:v>
                </c:pt>
                <c:pt idx="1">
                  <c:v>96.025358040685916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5-4B45-9E93-4104A3EF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930336"/>
        <c:axId val="520930664"/>
      </c:barChart>
      <c:catAx>
        <c:axId val="52093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930664"/>
        <c:crosses val="autoZero"/>
        <c:auto val="1"/>
        <c:lblAlgn val="ctr"/>
        <c:lblOffset val="100"/>
        <c:noMultiLvlLbl val="0"/>
      </c:catAx>
      <c:valAx>
        <c:axId val="52093066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93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UG Cable Replacement - Normalized Comparisons</a:t>
            </a:r>
          </a:p>
          <a:p>
            <a:pPr>
              <a:defRPr/>
            </a:pPr>
            <a:r>
              <a:rPr lang="en-US" sz="800" b="1"/>
              <a:t>(Unit Cost - per Meter)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Plots!$I$8:$K$8</c:f>
              <c:numCache>
                <c:formatCode>_("$"* #,##0_);_("$"* \(#,##0\);_("$"* "-"??_);_(@_)</c:formatCode>
                <c:ptCount val="3"/>
                <c:pt idx="0">
                  <c:v>56</c:v>
                </c:pt>
                <c:pt idx="1">
                  <c:v>98.341887041679456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D-412C-8645-26187225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7104432"/>
        <c:axId val="697104760"/>
      </c:barChart>
      <c:catAx>
        <c:axId val="69710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04760"/>
        <c:crosses val="autoZero"/>
        <c:auto val="1"/>
        <c:lblAlgn val="ctr"/>
        <c:lblOffset val="100"/>
        <c:noMultiLvlLbl val="0"/>
      </c:catAx>
      <c:valAx>
        <c:axId val="69710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104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OH Switches Replacement -</a:t>
            </a:r>
            <a:r>
              <a:rPr lang="en-US" sz="1000" b="1" baseline="0"/>
              <a:t> Raw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Switch</a:t>
            </a:r>
            <a:r>
              <a:rPr lang="en-US" sz="800" b="1"/>
              <a:t>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Plots!$C$6:$E$6</c:f>
              <c:strCache>
                <c:ptCount val="3"/>
                <c:pt idx="0">
                  <c:v>OEB</c:v>
                </c:pt>
                <c:pt idx="1">
                  <c:v>Median</c:v>
                </c:pt>
                <c:pt idx="2">
                  <c:v>THESL</c:v>
                </c:pt>
              </c:strCache>
            </c:strRef>
          </c:cat>
          <c:val>
            <c:numRef>
              <c:f>Plots!$C$9:$E$9</c:f>
              <c:numCache>
                <c:formatCode>_("$"* #,##0_);_("$"* \(#,##0\);_("$"* "-"??_);_(@_)</c:formatCode>
                <c:ptCount val="3"/>
                <c:pt idx="0">
                  <c:v>30882</c:v>
                </c:pt>
                <c:pt idx="1">
                  <c:v>21589.523809523809</c:v>
                </c:pt>
                <c:pt idx="2">
                  <c:v>21062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4-4164-B22B-24221230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56696"/>
        <c:axId val="553162272"/>
      </c:barChart>
      <c:catAx>
        <c:axId val="55315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62272"/>
        <c:crosses val="autoZero"/>
        <c:auto val="1"/>
        <c:lblAlgn val="ctr"/>
        <c:lblOffset val="100"/>
        <c:noMultiLvlLbl val="0"/>
      </c:catAx>
      <c:valAx>
        <c:axId val="55316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56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OH Switches Replacement - Pre-Adjustment Comparisons</a:t>
            </a:r>
          </a:p>
          <a:p>
            <a:pPr>
              <a:defRPr/>
            </a:pPr>
            <a:r>
              <a:rPr lang="en-US" sz="800" b="1"/>
              <a:t>(Unit Cost - per</a:t>
            </a:r>
            <a:r>
              <a:rPr lang="en-US" sz="800" b="1" baseline="0"/>
              <a:t> Switch</a:t>
            </a:r>
            <a:r>
              <a:rPr lang="en-US" sz="800" b="1"/>
              <a:t>)</a:t>
            </a:r>
            <a:r>
              <a:rPr lang="en-US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Plots!$F$6:$H$6</c:f>
              <c:strCache>
                <c:ptCount val="3"/>
                <c:pt idx="0">
                  <c:v>OEB</c:v>
                </c:pt>
                <c:pt idx="1">
                  <c:v>Median 1</c:v>
                </c:pt>
                <c:pt idx="2">
                  <c:v>THESL</c:v>
                </c:pt>
              </c:strCache>
            </c:strRef>
          </c:cat>
          <c:val>
            <c:numRef>
              <c:f>Plots!$F$9:$H$9</c:f>
              <c:numCache>
                <c:formatCode>_("$"* #,##0_);_("$"* \(#,##0\);_("$"* "-"??_);_(@_)</c:formatCode>
                <c:ptCount val="3"/>
                <c:pt idx="0">
                  <c:v>30882</c:v>
                </c:pt>
                <c:pt idx="1">
                  <c:v>22268.708880398277</c:v>
                </c:pt>
                <c:pt idx="2">
                  <c:v>21062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C-446D-A1CE-D75417E8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3737120"/>
        <c:axId val="683740728"/>
      </c:barChart>
      <c:catAx>
        <c:axId val="68373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740728"/>
        <c:crosses val="autoZero"/>
        <c:auto val="1"/>
        <c:lblAlgn val="ctr"/>
        <c:lblOffset val="100"/>
        <c:noMultiLvlLbl val="0"/>
      </c:catAx>
      <c:valAx>
        <c:axId val="683740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373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OH Switches Replacement - Normalized Comparisons</a:t>
            </a:r>
          </a:p>
          <a:p>
            <a:pPr>
              <a:defRPr/>
            </a:pPr>
            <a:r>
              <a:rPr lang="en-US" sz="800" b="1"/>
              <a:t>(Unit Cost = per Switch)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Plots!$I$6:$K$6</c:f>
              <c:strCache>
                <c:ptCount val="3"/>
                <c:pt idx="0">
                  <c:v>OEB</c:v>
                </c:pt>
                <c:pt idx="1">
                  <c:v>Median 2</c:v>
                </c:pt>
                <c:pt idx="2">
                  <c:v>THESL</c:v>
                </c:pt>
              </c:strCache>
            </c:strRef>
          </c:cat>
          <c:val>
            <c:numRef>
              <c:f>Plots!$I$9:$K$9</c:f>
              <c:numCache>
                <c:formatCode>_("$"* #,##0_);_("$"* \(#,##0\);_("$"* "-"??_);_(@_)</c:formatCode>
                <c:ptCount val="3"/>
                <c:pt idx="0">
                  <c:v>30882</c:v>
                </c:pt>
                <c:pt idx="1">
                  <c:v>23451.104786562842</c:v>
                </c:pt>
                <c:pt idx="2">
                  <c:v>21062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F-402F-990E-C0D3ACE02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3147160"/>
        <c:axId val="553146176"/>
      </c:barChart>
      <c:catAx>
        <c:axId val="55314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46176"/>
        <c:crosses val="autoZero"/>
        <c:auto val="1"/>
        <c:lblAlgn val="ctr"/>
        <c:lblOffset val="100"/>
        <c:noMultiLvlLbl val="0"/>
      </c:catAx>
      <c:valAx>
        <c:axId val="55314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314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?><Relationships xmlns="http://schemas.openxmlformats.org/package/2006/relationships"><Relationship Target="../charts/chart8.xml" Type="http://schemas.openxmlformats.org/officeDocument/2006/relationships/chart" Id="rId8"></Relationship><Relationship Target="../charts/chart13.xml" Type="http://schemas.openxmlformats.org/officeDocument/2006/relationships/chart" Id="rId13"></Relationship><Relationship Target="../charts/chart18.xml" Type="http://schemas.openxmlformats.org/officeDocument/2006/relationships/chart" Id="rId18"></Relationship><Relationship Target="../charts/chart26.xml" Type="http://schemas.openxmlformats.org/officeDocument/2006/relationships/chart" Id="rId26"></Relationship><Relationship Target="../charts/chart3.xml" Type="http://schemas.openxmlformats.org/officeDocument/2006/relationships/chart" Id="rId3"></Relationship><Relationship Target="../charts/chart21.xml" Type="http://schemas.openxmlformats.org/officeDocument/2006/relationships/chart" Id="rId21"></Relationship><Relationship Target="../charts/chart34.xml" Type="http://schemas.openxmlformats.org/officeDocument/2006/relationships/chart" Id="rId34"></Relationship><Relationship Target="../charts/chart7.xml" Type="http://schemas.openxmlformats.org/officeDocument/2006/relationships/chart" Id="rId7"></Relationship><Relationship Target="../charts/chart12.xml" Type="http://schemas.openxmlformats.org/officeDocument/2006/relationships/chart" Id="rId12"></Relationship><Relationship Target="../charts/chart17.xml" Type="http://schemas.openxmlformats.org/officeDocument/2006/relationships/chart" Id="rId17"></Relationship><Relationship Target="../charts/chart25.xml" Type="http://schemas.openxmlformats.org/officeDocument/2006/relationships/chart" Id="rId25"></Relationship><Relationship Target="../charts/chart33.xml" Type="http://schemas.openxmlformats.org/officeDocument/2006/relationships/chart" Id="rId33"></Relationship><Relationship Target="../charts/chart2.xml" Type="http://schemas.openxmlformats.org/officeDocument/2006/relationships/chart" Id="rId2"></Relationship><Relationship Target="../charts/chart16.xml" Type="http://schemas.openxmlformats.org/officeDocument/2006/relationships/chart" Id="rId16"></Relationship><Relationship Target="../charts/chart20.xml" Type="http://schemas.openxmlformats.org/officeDocument/2006/relationships/chart" Id="rId20"></Relationship><Relationship Target="../charts/chart29.xml" Type="http://schemas.openxmlformats.org/officeDocument/2006/relationships/chart" Id="rId29"></Relationship><Relationship Target="../charts/chart1.xml" Type="http://schemas.openxmlformats.org/officeDocument/2006/relationships/chart" Id="rId1"></Relationship><Relationship Target="../charts/chart6.xml" Type="http://schemas.openxmlformats.org/officeDocument/2006/relationships/chart" Id="rId6"></Relationship><Relationship Target="../charts/chart11.xml" Type="http://schemas.openxmlformats.org/officeDocument/2006/relationships/chart" Id="rId11"></Relationship><Relationship Target="../charts/chart24.xml" Type="http://schemas.openxmlformats.org/officeDocument/2006/relationships/chart" Id="rId24"></Relationship><Relationship Target="../charts/chart32.xml" Type="http://schemas.openxmlformats.org/officeDocument/2006/relationships/chart" Id="rId32"></Relationship><Relationship Target="../charts/chart5.xml" Type="http://schemas.openxmlformats.org/officeDocument/2006/relationships/chart" Id="rId5"></Relationship><Relationship Target="../charts/chart15.xml" Type="http://schemas.openxmlformats.org/officeDocument/2006/relationships/chart" Id="rId15"></Relationship><Relationship Target="../charts/chart23.xml" Type="http://schemas.openxmlformats.org/officeDocument/2006/relationships/chart" Id="rId23"></Relationship><Relationship Target="../charts/chart28.xml" Type="http://schemas.openxmlformats.org/officeDocument/2006/relationships/chart" Id="rId28"></Relationship><Relationship Target="../charts/chart10.xml" Type="http://schemas.openxmlformats.org/officeDocument/2006/relationships/chart" Id="rId10"></Relationship><Relationship Target="../charts/chart19.xml" Type="http://schemas.openxmlformats.org/officeDocument/2006/relationships/chart" Id="rId19"></Relationship><Relationship Target="../charts/chart31.xml" Type="http://schemas.openxmlformats.org/officeDocument/2006/relationships/chart" Id="rId31"></Relationship><Relationship Target="../charts/chart4.xml" Type="http://schemas.openxmlformats.org/officeDocument/2006/relationships/chart" Id="rId4"></Relationship><Relationship Target="../charts/chart9.xml" Type="http://schemas.openxmlformats.org/officeDocument/2006/relationships/chart" Id="rId9"></Relationship><Relationship Target="../charts/chart14.xml" Type="http://schemas.openxmlformats.org/officeDocument/2006/relationships/chart" Id="rId14"></Relationship><Relationship Target="../charts/chart22.xml" Type="http://schemas.openxmlformats.org/officeDocument/2006/relationships/chart" Id="rId22"></Relationship><Relationship Target="../charts/chart27.xml" Type="http://schemas.openxmlformats.org/officeDocument/2006/relationships/chart" Id="rId27"></Relationship><Relationship Target="../charts/chart30.xml" Type="http://schemas.openxmlformats.org/officeDocument/2006/relationships/chart" Id="rId30"></Relationship><Relationship Target="../media/image1.png" Type="http://schemas.openxmlformats.org/officeDocument/2006/relationships/image" Id="rId35"></Relationship></Relationships>
</file>

<file path=xl/drawings/_rels/drawing2.xml.rels><?xml version="1.0" encoding="UTF-8" ?><Relationships xmlns="http://schemas.openxmlformats.org/package/2006/relationships"><Relationship Target="../charts/chart37.xml" Type="http://schemas.openxmlformats.org/officeDocument/2006/relationships/chart" Id="rId3"></Relationship><Relationship Target="../charts/chart36.xml" Type="http://schemas.openxmlformats.org/officeDocument/2006/relationships/chart" Id="rId2"></Relationship><Relationship Target="../charts/chart35.xml" Type="http://schemas.openxmlformats.org/officeDocument/2006/relationships/chart" Id="rId1"></Relationship><Relationship Target="../charts/chart40.xml" Type="http://schemas.openxmlformats.org/officeDocument/2006/relationships/chart" Id="rId6"></Relationship><Relationship Target="../charts/chart39.xml" Type="http://schemas.openxmlformats.org/officeDocument/2006/relationships/chart" Id="rId5"></Relationship><Relationship Target="../charts/chart38.xml" Type="http://schemas.openxmlformats.org/officeDocument/2006/relationships/chart" Id="rId4"></Relationship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461010</xdr:colOff>
      <xdr:row>20</xdr:row>
      <xdr:rowOff>1905</xdr:rowOff>
    </xdr:from>
    <xdr:to>
      <xdr:col>2</xdr:col>
      <xdr:colOff>830580</xdr:colOff>
      <xdr:row>35</xdr:row>
      <xdr:rowOff>1905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301703-0485-4C66-8F60-E2300C37E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441960</xdr:colOff>
      <xdr:row>20</xdr:row>
      <xdr:rowOff>36195</xdr:rowOff>
    </xdr:from>
    <xdr:to>
      <xdr:col>8</xdr:col>
      <xdr:colOff>822960</xdr:colOff>
      <xdr:row>35</xdr:row>
      <xdr:rowOff>36195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36CBF7-C8F8-4B32-AE6B-9236860A8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485775</xdr:colOff>
      <xdr:row>20</xdr:row>
      <xdr:rowOff>1905</xdr:rowOff>
    </xdr:from>
    <xdr:to>
      <xdr:col>15</xdr:col>
      <xdr:colOff>622935</xdr:colOff>
      <xdr:row>35</xdr:row>
      <xdr:rowOff>1905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454F7DC-ECE3-4FA8-ABBF-9C562AF0C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483870</xdr:colOff>
      <xdr:row>36</xdr:row>
      <xdr:rowOff>5715</xdr:rowOff>
    </xdr:from>
    <xdr:to>
      <xdr:col>3</xdr:col>
      <xdr:colOff>15240</xdr:colOff>
      <xdr:row>51</xdr:row>
      <xdr:rowOff>5715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35A37C-386F-41C2-A472-E9AE534E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445770</xdr:colOff>
      <xdr:row>35</xdr:row>
      <xdr:rowOff>173355</xdr:rowOff>
    </xdr:from>
    <xdr:to>
      <xdr:col>8</xdr:col>
      <xdr:colOff>826770</xdr:colOff>
      <xdr:row>50</xdr:row>
      <xdr:rowOff>173355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302F4E-CB40-4280-BE96-9F0539A91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491490</xdr:colOff>
      <xdr:row>35</xdr:row>
      <xdr:rowOff>165735</xdr:rowOff>
    </xdr:from>
    <xdr:to>
      <xdr:col>15</xdr:col>
      <xdr:colOff>628650</xdr:colOff>
      <xdr:row>50</xdr:row>
      <xdr:rowOff>165735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C58BC6-9641-4903-ABCA-41C0954AA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472440</xdr:colOff>
      <xdr:row>52</xdr:row>
      <xdr:rowOff>5715</xdr:rowOff>
    </xdr:from>
    <xdr:to>
      <xdr:col>3</xdr:col>
      <xdr:colOff>3810</xdr:colOff>
      <xdr:row>67</xdr:row>
      <xdr:rowOff>5715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6C6B87B-CFA4-4B9C-9A38-67882FE23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441960</xdr:colOff>
      <xdr:row>51</xdr:row>
      <xdr:rowOff>169545</xdr:rowOff>
    </xdr:from>
    <xdr:to>
      <xdr:col>8</xdr:col>
      <xdr:colOff>822960</xdr:colOff>
      <xdr:row>66</xdr:row>
      <xdr:rowOff>169545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3CB3F63-071A-4BCA-BEFD-52BC9E27C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483870</xdr:colOff>
      <xdr:row>52</xdr:row>
      <xdr:rowOff>9525</xdr:rowOff>
    </xdr:from>
    <xdr:to>
      <xdr:col>16</xdr:col>
      <xdr:colOff>11430</xdr:colOff>
      <xdr:row>67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935F109-BE59-4FB8-A68B-FB5D1F6ED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480060</xdr:colOff>
      <xdr:row>67</xdr:row>
      <xdr:rowOff>154305</xdr:rowOff>
    </xdr:from>
    <xdr:to>
      <xdr:col>3</xdr:col>
      <xdr:colOff>11430</xdr:colOff>
      <xdr:row>82</xdr:row>
      <xdr:rowOff>154305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CFFCDA6-6EB2-48F8-88F3-95DC8B8BC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453390</xdr:colOff>
      <xdr:row>68</xdr:row>
      <xdr:rowOff>5715</xdr:rowOff>
    </xdr:from>
    <xdr:to>
      <xdr:col>8</xdr:col>
      <xdr:colOff>834390</xdr:colOff>
      <xdr:row>83</xdr:row>
      <xdr:rowOff>5715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95FB285-51BB-4F55-AC13-E4B49115B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468630</xdr:colOff>
      <xdr:row>67</xdr:row>
      <xdr:rowOff>173355</xdr:rowOff>
    </xdr:from>
    <xdr:to>
      <xdr:col>15</xdr:col>
      <xdr:colOff>605790</xdr:colOff>
      <xdr:row>82</xdr:row>
      <xdr:rowOff>173355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B1E54F2-97C7-478C-AA44-9790407BB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765810</xdr:colOff>
      <xdr:row>1</xdr:row>
      <xdr:rowOff>180975</xdr:rowOff>
    </xdr:from>
    <xdr:to>
      <xdr:col>19</xdr:col>
      <xdr:colOff>28575</xdr:colOff>
      <xdr:row>16</xdr:row>
      <xdr:rowOff>97155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6C658CE7-23CF-4F9B-B11E-A94EF899E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20</xdr:col>
      <xdr:colOff>17145</xdr:colOff>
      <xdr:row>2</xdr:row>
      <xdr:rowOff>47625</xdr:rowOff>
    </xdr:from>
    <xdr:to>
      <xdr:col>27</xdr:col>
      <xdr:colOff>78105</xdr:colOff>
      <xdr:row>16</xdr:row>
      <xdr:rowOff>154305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74FD1BE-EA26-4E19-A136-84E3F1394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29</xdr:col>
      <xdr:colOff>636270</xdr:colOff>
      <xdr:row>1</xdr:row>
      <xdr:rowOff>70485</xdr:rowOff>
    </xdr:from>
    <xdr:to>
      <xdr:col>37</xdr:col>
      <xdr:colOff>87630</xdr:colOff>
      <xdr:row>15</xdr:row>
      <xdr:rowOff>177165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12B1559-1609-4280-9AA0-1A3DA686F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565785</xdr:colOff>
      <xdr:row>16</xdr:row>
      <xdr:rowOff>180975</xdr:rowOff>
    </xdr:from>
    <xdr:to>
      <xdr:col>24</xdr:col>
      <xdr:colOff>17145</xdr:colOff>
      <xdr:row>31</xdr:row>
      <xdr:rowOff>158115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6D91050-18B3-4723-A3FB-52E4767C6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1905</xdr:colOff>
      <xdr:row>16</xdr:row>
      <xdr:rowOff>184785</xdr:rowOff>
    </xdr:from>
    <xdr:to>
      <xdr:col>32</xdr:col>
      <xdr:colOff>93345</xdr:colOff>
      <xdr:row>31</xdr:row>
      <xdr:rowOff>161925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CC72ACFE-40E1-4412-9888-5689385BD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33</xdr:col>
      <xdr:colOff>1905</xdr:colOff>
      <xdr:row>17</xdr:row>
      <xdr:rowOff>5715</xdr:rowOff>
    </xdr:from>
    <xdr:to>
      <xdr:col>40</xdr:col>
      <xdr:colOff>93345</xdr:colOff>
      <xdr:row>31</xdr:row>
      <xdr:rowOff>173355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998A579C-416E-4013-90DE-3E5493374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16</xdr:col>
      <xdr:colOff>544830</xdr:colOff>
      <xdr:row>33</xdr:row>
      <xdr:rowOff>1905</xdr:rowOff>
    </xdr:from>
    <xdr:to>
      <xdr:col>23</xdr:col>
      <xdr:colOff>636270</xdr:colOff>
      <xdr:row>48</xdr:row>
      <xdr:rowOff>1905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CA02F2E-AB1B-4EB9-9FD1-504084B18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611505</xdr:colOff>
      <xdr:row>32</xdr:row>
      <xdr:rowOff>154305</xdr:rowOff>
    </xdr:from>
    <xdr:to>
      <xdr:col>32</xdr:col>
      <xdr:colOff>62865</xdr:colOff>
      <xdr:row>47</xdr:row>
      <xdr:rowOff>154305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D2DDA4C-E86C-42B3-B06A-85B4BDA6B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32</xdr:col>
      <xdr:colOff>622935</xdr:colOff>
      <xdr:row>32</xdr:row>
      <xdr:rowOff>165735</xdr:rowOff>
    </xdr:from>
    <xdr:to>
      <xdr:col>40</xdr:col>
      <xdr:colOff>74295</xdr:colOff>
      <xdr:row>47</xdr:row>
      <xdr:rowOff>165735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5E8E6E3-0AFF-403B-A393-A96B003BD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17</xdr:col>
      <xdr:colOff>9525</xdr:colOff>
      <xdr:row>71</xdr:row>
      <xdr:rowOff>104775</xdr:rowOff>
    </xdr:from>
    <xdr:to>
      <xdr:col>23</xdr:col>
      <xdr:colOff>588645</xdr:colOff>
      <xdr:row>86</xdr:row>
      <xdr:rowOff>28575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84AF714D-302D-49C4-AC6C-17550993B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</xdr:col>
      <xdr:colOff>5715</xdr:colOff>
      <xdr:row>123</xdr:row>
      <xdr:rowOff>184785</xdr:rowOff>
    </xdr:from>
    <xdr:to>
      <xdr:col>23</xdr:col>
      <xdr:colOff>586740</xdr:colOff>
      <xdr:row>138</xdr:row>
      <xdr:rowOff>70485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F4892AE-F508-4186-AC9E-A21E7B280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</xdr:col>
      <xdr:colOff>813435</xdr:colOff>
      <xdr:row>91</xdr:row>
      <xdr:rowOff>169545</xdr:rowOff>
    </xdr:from>
    <xdr:to>
      <xdr:col>13</xdr:col>
      <xdr:colOff>554355</xdr:colOff>
      <xdr:row>106</xdr:row>
      <xdr:rowOff>169545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C07DCC3A-1EE3-47CD-BB18-93D4A05FA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14</xdr:col>
      <xdr:colOff>257175</xdr:colOff>
      <xdr:row>92</xdr:row>
      <xdr:rowOff>5715</xdr:rowOff>
    </xdr:from>
    <xdr:to>
      <xdr:col>21</xdr:col>
      <xdr:colOff>379095</xdr:colOff>
      <xdr:row>107</xdr:row>
      <xdr:rowOff>5715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5228879C-4DB4-40D1-9F8C-FB04BE5CC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767715</xdr:colOff>
      <xdr:row>108</xdr:row>
      <xdr:rowOff>87630</xdr:rowOff>
    </xdr:from>
    <xdr:to>
      <xdr:col>8</xdr:col>
      <xdr:colOff>241935</xdr:colOff>
      <xdr:row>123</xdr:row>
      <xdr:rowOff>87630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04B906E-79C3-4792-8776-3D4677CC8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29</xdr:col>
      <xdr:colOff>600075</xdr:colOff>
      <xdr:row>91</xdr:row>
      <xdr:rowOff>180975</xdr:rowOff>
    </xdr:from>
    <xdr:to>
      <xdr:col>36</xdr:col>
      <xdr:colOff>571500</xdr:colOff>
      <xdr:row>106</xdr:row>
      <xdr:rowOff>180975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20AD9BBA-E048-4EFC-A7F6-170710EAC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16</xdr:col>
      <xdr:colOff>607695</xdr:colOff>
      <xdr:row>107</xdr:row>
      <xdr:rowOff>180975</xdr:rowOff>
    </xdr:from>
    <xdr:to>
      <xdr:col>24</xdr:col>
      <xdr:colOff>276225</xdr:colOff>
      <xdr:row>122</xdr:row>
      <xdr:rowOff>180975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E57FD40-BED6-42C7-8C26-DB28C730A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57150</xdr:colOff>
      <xdr:row>109</xdr:row>
      <xdr:rowOff>15240</xdr:rowOff>
    </xdr:from>
    <xdr:to>
      <xdr:col>2</xdr:col>
      <xdr:colOff>293370</xdr:colOff>
      <xdr:row>124</xdr:row>
      <xdr:rowOff>15240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BEA05264-A5A6-4010-8A1B-CBDDECA9F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19050</xdr:colOff>
      <xdr:row>123</xdr:row>
      <xdr:rowOff>167640</xdr:rowOff>
    </xdr:from>
    <xdr:to>
      <xdr:col>9</xdr:col>
      <xdr:colOff>400050</xdr:colOff>
      <xdr:row>138</xdr:row>
      <xdr:rowOff>53340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5A09827-92FE-4021-B3EE-C7F745BE5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13335</xdr:colOff>
      <xdr:row>123</xdr:row>
      <xdr:rowOff>175260</xdr:rowOff>
    </xdr:from>
    <xdr:to>
      <xdr:col>16</xdr:col>
      <xdr:colOff>348615</xdr:colOff>
      <xdr:row>138</xdr:row>
      <xdr:rowOff>60960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F8A3657-2959-4832-8E17-DC37D7F7B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417195</xdr:colOff>
      <xdr:row>92</xdr:row>
      <xdr:rowOff>13335</xdr:rowOff>
    </xdr:from>
    <xdr:to>
      <xdr:col>7</xdr:col>
      <xdr:colOff>24765</xdr:colOff>
      <xdr:row>107</xdr:row>
      <xdr:rowOff>13335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99FC2B55-CE20-443A-A126-F9E5657F3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22</xdr:col>
      <xdr:colOff>3810</xdr:colOff>
      <xdr:row>91</xdr:row>
      <xdr:rowOff>184785</xdr:rowOff>
    </xdr:from>
    <xdr:to>
      <xdr:col>28</xdr:col>
      <xdr:colOff>584835</xdr:colOff>
      <xdr:row>106</xdr:row>
      <xdr:rowOff>184785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15F9C99-C587-49DE-96DB-49381FCAC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9</xdr:col>
      <xdr:colOff>752475</xdr:colOff>
      <xdr:row>108</xdr:row>
      <xdr:rowOff>5715</xdr:rowOff>
    </xdr:from>
    <xdr:to>
      <xdr:col>16</xdr:col>
      <xdr:colOff>243840</xdr:colOff>
      <xdr:row>123</xdr:row>
      <xdr:rowOff>5715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7FCC48D-87A7-499F-A899-D12F34ECB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7</xdr:col>
      <xdr:colOff>0</xdr:colOff>
      <xdr:row>140</xdr:row>
      <xdr:rowOff>0</xdr:rowOff>
    </xdr:from>
    <xdr:to>
      <xdr:col>14</xdr:col>
      <xdr:colOff>587290</xdr:colOff>
      <xdr:row>154</xdr:row>
      <xdr:rowOff>19280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43978D-D772-4928-918E-41F68B125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8393430" y="25759410"/>
          <a:ext cx="6340390" cy="2651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45</xdr:row>
      <xdr:rowOff>184785</xdr:rowOff>
    </xdr:from>
    <xdr:to>
      <xdr:col>27</xdr:col>
      <xdr:colOff>609600</xdr:colOff>
      <xdr:row>66</xdr:row>
      <xdr:rowOff>59055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1950DC-26EF-4200-B633-BFEB0DCBE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493395</xdr:colOff>
      <xdr:row>68</xdr:row>
      <xdr:rowOff>24765</xdr:rowOff>
    </xdr:from>
    <xdr:to>
      <xdr:col>27</xdr:col>
      <xdr:colOff>584835</xdr:colOff>
      <xdr:row>88</xdr:row>
      <xdr:rowOff>81915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16197A-B382-485E-A53A-B51400393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46</xdr:row>
      <xdr:rowOff>1905</xdr:rowOff>
    </xdr:from>
    <xdr:to>
      <xdr:col>36</xdr:col>
      <xdr:colOff>91440</xdr:colOff>
      <xdr:row>66</xdr:row>
      <xdr:rowOff>62865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2D02129-6369-45A2-9305-E29C22CE4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632460</xdr:colOff>
      <xdr:row>46</xdr:row>
      <xdr:rowOff>17145</xdr:rowOff>
    </xdr:from>
    <xdr:to>
      <xdr:col>44</xdr:col>
      <xdr:colOff>83820</xdr:colOff>
      <xdr:row>66</xdr:row>
      <xdr:rowOff>78105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3CAE79-A5B9-4FDC-AF58-B271FA79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13335</xdr:colOff>
      <xdr:row>68</xdr:row>
      <xdr:rowOff>9525</xdr:rowOff>
    </xdr:from>
    <xdr:to>
      <xdr:col>36</xdr:col>
      <xdr:colOff>104775</xdr:colOff>
      <xdr:row>88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8D9F9C9-E56A-4FFE-B029-CD2EC2525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7620</xdr:colOff>
      <xdr:row>99</xdr:row>
      <xdr:rowOff>32385</xdr:rowOff>
    </xdr:from>
    <xdr:to>
      <xdr:col>21</xdr:col>
      <xdr:colOff>87630</xdr:colOff>
      <xdr:row>114</xdr:row>
      <xdr:rowOff>131445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C5F84E5-7713-4C8A-BD0C-38251EF394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?><Relationships xmlns="http://schemas.openxmlformats.org/package/2006/relationships"><Relationship Target="../drawings/drawing1.xml" Type="http://schemas.openxmlformats.org/officeDocument/2006/relationships/drawing" Id="rId2"></Relationship></Relationships>
</file>

<file path=xl/worksheets/_rels/sheet3.xml.rels><?xml version="1.0" encoding="UTF-8" ?><Relationships xmlns="http://schemas.openxmlformats.org/package/2006/relationships"><Relationship Target="../drawings/drawing2.xml" Type="http://schemas.openxmlformats.org/officeDocument/2006/relationships/drawing" Id="rId2"></Relationship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59"/>
  <sheetViews>
    <sheetView topLeftCell="B8" workbookViewId="0">
      <selection activeCell="D8" sqref="D8"/>
    </sheetView>
  </sheetViews>
  <sheetFormatPr defaultRowHeight="15" x14ac:dyDescent="0.25"/>
  <cols>
    <col min="1" max="1" width="46.42578125" customWidth="1"/>
    <col min="2" max="9" width="11.5703125" customWidth="1"/>
    <col min="10" max="12" width="11.5703125" style="11" customWidth="1"/>
    <col min="13" max="14" width="10.85546875" bestFit="1" customWidth="1"/>
    <col min="15" max="15" width="9.85546875" bestFit="1" customWidth="1"/>
    <col min="16" max="16" width="8.42578125" customWidth="1"/>
  </cols>
  <sheetData>
    <row r="6" spans="1:14" ht="15" customHeight="1" x14ac:dyDescent="0.25">
      <c r="A6" s="1"/>
      <c r="B6" s="2"/>
      <c r="C6" s="2" t="s">
        <v>0</v>
      </c>
      <c r="D6" s="3" t="s">
        <v>1</v>
      </c>
      <c r="E6" s="3" t="s">
        <v>2</v>
      </c>
      <c r="F6" s="3" t="s">
        <v>0</v>
      </c>
      <c r="G6" s="3" t="s">
        <v>3</v>
      </c>
      <c r="H6" s="3" t="s">
        <v>2</v>
      </c>
      <c r="I6" s="3" t="s">
        <v>0</v>
      </c>
      <c r="J6" s="3" t="s">
        <v>4</v>
      </c>
      <c r="K6" s="3" t="s">
        <v>2</v>
      </c>
    </row>
    <row r="7" spans="1:14" ht="15" customHeight="1" x14ac:dyDescent="0.25">
      <c r="A7" s="4" t="s">
        <v>5</v>
      </c>
      <c r="B7" s="5" t="s">
        <v>6</v>
      </c>
      <c r="C7" s="5">
        <v>5604</v>
      </c>
      <c r="D7" s="6">
        <f>'Working Data'!V25</f>
        <v>7371.7619047619046</v>
      </c>
      <c r="E7" s="6">
        <v>7434</v>
      </c>
      <c r="F7" s="5">
        <v>5604</v>
      </c>
      <c r="G7" s="6">
        <f>'Working Data'!V91</f>
        <v>7437.9356434346028</v>
      </c>
      <c r="H7" s="6">
        <v>7434</v>
      </c>
      <c r="I7" s="5">
        <v>5604</v>
      </c>
      <c r="J7" s="6">
        <f>'Working Data'!V108</f>
        <v>7664.840059518956</v>
      </c>
      <c r="K7" s="6">
        <v>7434</v>
      </c>
      <c r="L7" s="6"/>
      <c r="M7" s="240"/>
      <c r="N7" s="240"/>
    </row>
    <row r="8" spans="1:14" ht="15" customHeight="1" x14ac:dyDescent="0.25">
      <c r="A8" s="4" t="s">
        <v>7</v>
      </c>
      <c r="B8" s="5" t="s">
        <v>8</v>
      </c>
      <c r="C8" s="5">
        <v>56</v>
      </c>
      <c r="D8" s="6">
        <f>'Working Data'!V26</f>
        <v>95.61904761904762</v>
      </c>
      <c r="E8" s="6">
        <v>96</v>
      </c>
      <c r="F8" s="5">
        <v>56</v>
      </c>
      <c r="G8" s="6">
        <f>'Working Data'!V92</f>
        <v>96.025358040685916</v>
      </c>
      <c r="H8" s="6">
        <v>96</v>
      </c>
      <c r="I8" s="5">
        <v>56</v>
      </c>
      <c r="J8" s="6">
        <f>'Working Data'!V109</f>
        <v>98.341887041679456</v>
      </c>
      <c r="K8" s="6">
        <v>96</v>
      </c>
      <c r="L8" s="6"/>
      <c r="M8" s="240"/>
      <c r="N8" s="240"/>
    </row>
    <row r="9" spans="1:14" ht="15" customHeight="1" x14ac:dyDescent="0.25">
      <c r="A9" s="7" t="s">
        <v>9</v>
      </c>
      <c r="B9" s="8" t="s">
        <v>6</v>
      </c>
      <c r="C9" s="8">
        <v>30882</v>
      </c>
      <c r="D9" s="6">
        <f>'Working Data'!V27</f>
        <v>21589.523809523809</v>
      </c>
      <c r="E9" s="6">
        <v>21062</v>
      </c>
      <c r="F9" s="8">
        <v>30882</v>
      </c>
      <c r="G9" s="6">
        <f>'Working Data'!V93</f>
        <v>22268.708880398277</v>
      </c>
      <c r="H9" s="6">
        <v>21062</v>
      </c>
      <c r="I9" s="8">
        <v>30882</v>
      </c>
      <c r="J9" s="6">
        <f>'Working Data'!V110</f>
        <v>23451.104786562842</v>
      </c>
      <c r="K9" s="6">
        <v>21062</v>
      </c>
      <c r="L9" s="6"/>
      <c r="M9" s="240"/>
      <c r="N9" s="240"/>
    </row>
    <row r="10" spans="1:14" ht="15" customHeight="1" x14ac:dyDescent="0.25">
      <c r="A10" s="7" t="s">
        <v>10</v>
      </c>
      <c r="B10" s="8" t="s">
        <v>6</v>
      </c>
      <c r="C10" s="8">
        <v>0</v>
      </c>
      <c r="D10" s="6">
        <f>'Working Data'!V28</f>
        <v>8651.9047619047633</v>
      </c>
      <c r="E10" s="6">
        <v>11761</v>
      </c>
      <c r="F10" s="8">
        <v>0</v>
      </c>
      <c r="G10" s="6">
        <f>'Working Data'!V94</f>
        <v>9300.9946822467282</v>
      </c>
      <c r="H10" s="6">
        <v>11761</v>
      </c>
      <c r="I10" s="8">
        <v>0</v>
      </c>
      <c r="J10" s="6">
        <f>'Working Data'!V111</f>
        <v>10514.394552260397</v>
      </c>
      <c r="K10" s="6">
        <v>11761</v>
      </c>
      <c r="L10" s="6"/>
      <c r="M10" s="240"/>
      <c r="N10" s="240"/>
    </row>
    <row r="11" spans="1:14" ht="15" customHeight="1" x14ac:dyDescent="0.25">
      <c r="A11" s="9" t="s">
        <v>11</v>
      </c>
      <c r="B11" s="10" t="s">
        <v>6</v>
      </c>
      <c r="C11" s="10">
        <v>16817</v>
      </c>
      <c r="D11" s="6">
        <f>'Working Data'!V29</f>
        <v>21491.285714285717</v>
      </c>
      <c r="E11" s="6">
        <v>21454</v>
      </c>
      <c r="F11" s="10">
        <v>16817</v>
      </c>
      <c r="G11" s="6">
        <f>'Working Data'!V95</f>
        <v>21645.055371839426</v>
      </c>
      <c r="H11" s="6">
        <v>21454</v>
      </c>
      <c r="I11" s="10">
        <v>16817</v>
      </c>
      <c r="J11" s="6">
        <f>'Working Data'!V112</f>
        <v>23478.993197123502</v>
      </c>
      <c r="K11" s="6">
        <v>21454</v>
      </c>
      <c r="L11" s="6"/>
      <c r="M11" s="240"/>
      <c r="N11" s="240"/>
    </row>
    <row r="12" spans="1:14" ht="15" customHeight="1" x14ac:dyDescent="0.25">
      <c r="A12" s="9" t="s">
        <v>12</v>
      </c>
      <c r="B12" s="10" t="s">
        <v>6</v>
      </c>
      <c r="C12" s="10">
        <v>68105</v>
      </c>
      <c r="D12" s="6">
        <f>'Working Data'!V30</f>
        <v>89253.880952380961</v>
      </c>
      <c r="E12" s="6">
        <v>88943</v>
      </c>
      <c r="F12" s="10">
        <v>68105</v>
      </c>
      <c r="G12" s="6">
        <f>'Working Data'!V96</f>
        <v>87990.535648712423</v>
      </c>
      <c r="H12" s="6">
        <v>88943</v>
      </c>
      <c r="I12" s="10">
        <v>68105</v>
      </c>
      <c r="J12" s="6">
        <f>'Working Data'!V113</f>
        <v>95369.27071997973</v>
      </c>
      <c r="K12" s="6">
        <v>88943</v>
      </c>
      <c r="L12" s="6"/>
      <c r="M12" s="240"/>
      <c r="N12" s="240"/>
    </row>
    <row r="13" spans="1:14" ht="15" customHeight="1" x14ac:dyDescent="0.25">
      <c r="A13" s="7" t="s">
        <v>13</v>
      </c>
      <c r="B13" s="10" t="s">
        <v>6</v>
      </c>
      <c r="C13" s="10">
        <v>167542</v>
      </c>
      <c r="D13" s="6">
        <f>'Working Data'!V31</f>
        <v>85228.14285714287</v>
      </c>
      <c r="E13" s="6">
        <v>85242</v>
      </c>
      <c r="F13" s="10">
        <v>167542</v>
      </c>
      <c r="G13" s="6">
        <f>'Working Data'!V97</f>
        <v>85127.737765783371</v>
      </c>
      <c r="H13" s="6">
        <v>85242</v>
      </c>
      <c r="I13" s="10">
        <v>167542</v>
      </c>
      <c r="J13" s="6">
        <f>'Working Data'!V114</f>
        <v>92937.564210027005</v>
      </c>
      <c r="K13" s="6">
        <v>85242</v>
      </c>
      <c r="L13" s="6"/>
      <c r="M13" s="240"/>
      <c r="N13" s="240"/>
    </row>
    <row r="14" spans="1:14" ht="15" customHeight="1" x14ac:dyDescent="0.25">
      <c r="A14" s="7" t="s">
        <v>14</v>
      </c>
      <c r="B14" s="10"/>
      <c r="C14" s="10">
        <v>1713484</v>
      </c>
      <c r="D14" s="6"/>
      <c r="E14" s="6">
        <v>1529625</v>
      </c>
      <c r="F14" s="10">
        <v>1713484</v>
      </c>
      <c r="G14" s="11"/>
      <c r="H14" s="6">
        <v>1529625</v>
      </c>
      <c r="I14" s="10">
        <v>1713484</v>
      </c>
      <c r="J14" s="6"/>
      <c r="K14" s="6">
        <v>1529625</v>
      </c>
    </row>
    <row r="15" spans="1:14" ht="15" customHeight="1" x14ac:dyDescent="0.25">
      <c r="A15" s="7"/>
      <c r="B15" s="10"/>
      <c r="C15" s="10"/>
      <c r="D15" s="6"/>
      <c r="E15" s="6"/>
      <c r="F15" s="10"/>
      <c r="G15" s="11"/>
      <c r="H15" s="6"/>
      <c r="I15" s="10"/>
      <c r="J15" s="6"/>
      <c r="K15" s="6"/>
    </row>
    <row r="16" spans="1:14" ht="15" customHeight="1" x14ac:dyDescent="0.25">
      <c r="A16" s="12" t="s">
        <v>15</v>
      </c>
      <c r="B16" s="10" t="s">
        <v>16</v>
      </c>
      <c r="C16" s="10"/>
      <c r="D16" s="6">
        <v>5358.0952380952385</v>
      </c>
      <c r="E16" s="6">
        <v>2111</v>
      </c>
      <c r="F16" s="10"/>
      <c r="G16" s="13">
        <v>5037</v>
      </c>
      <c r="H16" s="6">
        <v>2111</v>
      </c>
      <c r="I16" s="10"/>
      <c r="J16" s="6">
        <v>5235</v>
      </c>
      <c r="K16" s="6">
        <v>2111</v>
      </c>
    </row>
    <row r="17" spans="1:11" ht="15" customHeight="1" x14ac:dyDescent="0.25">
      <c r="A17" s="9" t="s">
        <v>17</v>
      </c>
      <c r="B17" s="10" t="s">
        <v>6</v>
      </c>
      <c r="C17" s="10">
        <v>18</v>
      </c>
      <c r="D17" s="6">
        <v>45.714285714285722</v>
      </c>
      <c r="E17" s="6">
        <v>18</v>
      </c>
      <c r="F17" s="10">
        <v>18</v>
      </c>
      <c r="G17" s="6">
        <v>52</v>
      </c>
      <c r="H17" s="6">
        <v>18</v>
      </c>
      <c r="I17" s="10">
        <v>18</v>
      </c>
      <c r="J17" s="6">
        <v>54</v>
      </c>
      <c r="K17" s="6">
        <v>18</v>
      </c>
    </row>
    <row r="18" spans="1:11" ht="15" customHeight="1" x14ac:dyDescent="0.25">
      <c r="A18" s="9" t="s">
        <v>18</v>
      </c>
      <c r="B18" s="10" t="s">
        <v>19</v>
      </c>
      <c r="C18" s="10">
        <v>44</v>
      </c>
      <c r="D18" s="6">
        <v>49.523809523809526</v>
      </c>
      <c r="E18" s="6">
        <v>44</v>
      </c>
      <c r="F18" s="10">
        <v>44</v>
      </c>
      <c r="G18" s="6">
        <v>115</v>
      </c>
      <c r="H18" s="6">
        <v>44</v>
      </c>
      <c r="I18" s="10">
        <v>44</v>
      </c>
      <c r="J18" s="6">
        <v>118</v>
      </c>
      <c r="K18" s="6">
        <v>44</v>
      </c>
    </row>
    <row r="19" spans="1:11" ht="15" customHeight="1" x14ac:dyDescent="0.25">
      <c r="A19" s="9" t="s">
        <v>20</v>
      </c>
      <c r="B19" s="10" t="s">
        <v>6</v>
      </c>
      <c r="C19" s="10"/>
      <c r="D19" s="6">
        <v>255.23809523809524</v>
      </c>
      <c r="E19" s="6">
        <v>253</v>
      </c>
      <c r="F19" s="10"/>
      <c r="G19" s="13">
        <v>275</v>
      </c>
      <c r="H19" s="6">
        <v>253</v>
      </c>
      <c r="I19" s="10"/>
      <c r="J19" s="6">
        <v>278</v>
      </c>
      <c r="K19" s="6">
        <v>253</v>
      </c>
    </row>
    <row r="87" spans="1:16" x14ac:dyDescent="0.25">
      <c r="C87" s="2" t="s">
        <v>0</v>
      </c>
      <c r="D87" s="3" t="s">
        <v>1</v>
      </c>
      <c r="E87" s="3" t="s">
        <v>2</v>
      </c>
      <c r="F87" s="3" t="s">
        <v>0</v>
      </c>
      <c r="G87" s="3" t="s">
        <v>3</v>
      </c>
      <c r="H87" s="3" t="s">
        <v>2</v>
      </c>
      <c r="I87" s="3" t="s">
        <v>0</v>
      </c>
      <c r="J87" s="3" t="s">
        <v>4</v>
      </c>
      <c r="K87" s="3" t="s">
        <v>2</v>
      </c>
      <c r="N87" s="240"/>
      <c r="O87" s="240"/>
      <c r="P87" s="240"/>
    </row>
    <row r="88" spans="1:16" x14ac:dyDescent="0.25">
      <c r="A88" s="12" t="s">
        <v>15</v>
      </c>
      <c r="B88" s="10" t="s">
        <v>16</v>
      </c>
      <c r="C88" s="10">
        <v>0</v>
      </c>
      <c r="D88" s="6">
        <f>'Working Data'!V33</f>
        <v>3739.166666666667</v>
      </c>
      <c r="E88" s="6">
        <v>2111</v>
      </c>
      <c r="F88" s="10">
        <v>0</v>
      </c>
      <c r="G88" s="13">
        <f>'Working Data'!V99</f>
        <v>3792.2041798564715</v>
      </c>
      <c r="H88" s="6">
        <v>2111</v>
      </c>
      <c r="I88" s="10">
        <v>0</v>
      </c>
      <c r="J88" s="6">
        <f>'Working Data'!V116</f>
        <v>3965.3228901862221</v>
      </c>
      <c r="K88" s="6">
        <v>2111</v>
      </c>
      <c r="N88" s="240"/>
      <c r="O88" s="240"/>
      <c r="P88" s="240"/>
    </row>
    <row r="89" spans="1:16" x14ac:dyDescent="0.25">
      <c r="A89" s="9" t="s">
        <v>17</v>
      </c>
      <c r="B89" s="10" t="s">
        <v>6</v>
      </c>
      <c r="C89" s="10">
        <v>18</v>
      </c>
      <c r="D89" s="6">
        <f>'Working Data'!V34</f>
        <v>17.142857142857142</v>
      </c>
      <c r="E89" s="6">
        <v>18</v>
      </c>
      <c r="F89" s="10">
        <v>18</v>
      </c>
      <c r="G89" s="13">
        <f>'Working Data'!V100</f>
        <v>18.89796327690361</v>
      </c>
      <c r="H89" s="6">
        <v>18</v>
      </c>
      <c r="I89" s="10">
        <v>18</v>
      </c>
      <c r="J89" s="6">
        <f>'Working Data'!V117</f>
        <v>18.89796327690361</v>
      </c>
      <c r="K89" s="6">
        <v>18</v>
      </c>
      <c r="N89" s="240"/>
      <c r="O89" s="240"/>
      <c r="P89" s="240"/>
    </row>
    <row r="90" spans="1:16" x14ac:dyDescent="0.25">
      <c r="A90" s="9" t="s">
        <v>18</v>
      </c>
      <c r="B90" s="10" t="s">
        <v>19</v>
      </c>
      <c r="C90" s="10">
        <v>44</v>
      </c>
      <c r="D90" s="6">
        <f>'Working Data'!V35</f>
        <v>43.809523809523817</v>
      </c>
      <c r="E90" s="6">
        <v>44</v>
      </c>
      <c r="F90" s="10">
        <v>44</v>
      </c>
      <c r="G90" s="13">
        <f>'Working Data'!V101</f>
        <v>47.215075736471327</v>
      </c>
      <c r="H90" s="6">
        <v>44</v>
      </c>
      <c r="I90" s="10">
        <v>44</v>
      </c>
      <c r="J90" s="6">
        <f>'Working Data'!V118</f>
        <v>47.215075736471327</v>
      </c>
      <c r="K90" s="6">
        <v>44</v>
      </c>
      <c r="N90" s="240"/>
      <c r="O90" s="240"/>
      <c r="P90" s="240"/>
    </row>
    <row r="91" spans="1:16" x14ac:dyDescent="0.25">
      <c r="A91" s="9" t="s">
        <v>20</v>
      </c>
      <c r="B91" s="10" t="s">
        <v>6</v>
      </c>
      <c r="C91" s="10">
        <v>0</v>
      </c>
      <c r="D91" s="6">
        <f>'Working Data'!V36</f>
        <v>253</v>
      </c>
      <c r="E91" s="6">
        <v>253</v>
      </c>
      <c r="F91" s="10">
        <v>0</v>
      </c>
      <c r="G91" s="13">
        <f>'Working Data'!V102</f>
        <v>261.00215316120114</v>
      </c>
      <c r="H91" s="6">
        <v>253</v>
      </c>
      <c r="I91" s="10">
        <v>0</v>
      </c>
      <c r="J91" s="6">
        <f>'Working Data'!V119</f>
        <v>272.35007286386207</v>
      </c>
      <c r="K91" s="6">
        <v>253</v>
      </c>
    </row>
    <row r="94" spans="1:16" x14ac:dyDescent="0.25">
      <c r="C94" s="10"/>
      <c r="D94" s="6"/>
      <c r="E94" s="6"/>
      <c r="F94" s="13"/>
      <c r="G94" s="6"/>
      <c r="H94" s="6"/>
      <c r="I94" s="6"/>
    </row>
    <row r="95" spans="1:16" x14ac:dyDescent="0.25">
      <c r="C95" s="10"/>
      <c r="D95" s="6"/>
      <c r="E95" s="6"/>
      <c r="F95" s="6"/>
      <c r="G95" s="6"/>
      <c r="H95" s="6"/>
      <c r="I95" s="6"/>
    </row>
    <row r="96" spans="1:16" x14ac:dyDescent="0.25">
      <c r="C96" s="10"/>
      <c r="D96" s="6"/>
      <c r="E96" s="6"/>
      <c r="F96" s="6"/>
      <c r="G96" s="6"/>
      <c r="H96" s="6"/>
      <c r="I96" s="6"/>
    </row>
    <row r="97" spans="3:9" x14ac:dyDescent="0.25">
      <c r="C97" s="10"/>
      <c r="D97" s="6"/>
      <c r="E97" s="6"/>
      <c r="F97" s="13"/>
      <c r="G97" s="6"/>
      <c r="H97" s="6"/>
      <c r="I97" s="6"/>
    </row>
    <row r="125" spans="1:3" ht="15.75" thickBot="1" x14ac:dyDescent="0.3"/>
    <row r="126" spans="1:3" ht="18" thickBot="1" x14ac:dyDescent="0.3">
      <c r="B126" s="276" t="s">
        <v>119</v>
      </c>
      <c r="C126" s="277"/>
    </row>
    <row r="127" spans="1:3" ht="18" thickBot="1" x14ac:dyDescent="0.3">
      <c r="B127" s="14" t="s">
        <v>24</v>
      </c>
      <c r="C127" s="14" t="s">
        <v>25</v>
      </c>
    </row>
    <row r="128" spans="1:3" ht="15.75" thickBot="1" x14ac:dyDescent="0.3">
      <c r="A128" s="278" t="s">
        <v>22</v>
      </c>
      <c r="B128" s="279"/>
      <c r="C128" s="280"/>
    </row>
    <row r="129" spans="1:3" x14ac:dyDescent="0.25">
      <c r="A129" s="16" t="s">
        <v>5</v>
      </c>
      <c r="B129" s="33">
        <v>7434</v>
      </c>
      <c r="C129" s="24">
        <v>5604</v>
      </c>
    </row>
    <row r="130" spans="1:3" x14ac:dyDescent="0.25">
      <c r="A130" s="17" t="s">
        <v>7</v>
      </c>
      <c r="B130" s="32">
        <v>96</v>
      </c>
      <c r="C130" s="25">
        <v>56</v>
      </c>
    </row>
    <row r="131" spans="1:3" x14ac:dyDescent="0.25">
      <c r="A131" s="18" t="s">
        <v>9</v>
      </c>
      <c r="B131" s="22">
        <v>21062</v>
      </c>
      <c r="C131" s="26">
        <v>30882</v>
      </c>
    </row>
    <row r="132" spans="1:3" x14ac:dyDescent="0.25">
      <c r="A132" s="18" t="s">
        <v>10</v>
      </c>
      <c r="B132" s="22">
        <v>11761</v>
      </c>
      <c r="C132" s="26" t="s">
        <v>26</v>
      </c>
    </row>
    <row r="133" spans="1:3" x14ac:dyDescent="0.25">
      <c r="A133" s="19" t="s">
        <v>11</v>
      </c>
      <c r="B133" s="32">
        <v>21454</v>
      </c>
      <c r="C133" s="27">
        <v>16817</v>
      </c>
    </row>
    <row r="134" spans="1:3" x14ac:dyDescent="0.25">
      <c r="A134" s="19" t="s">
        <v>12</v>
      </c>
      <c r="B134" s="32">
        <v>88943</v>
      </c>
      <c r="C134" s="27">
        <v>68105</v>
      </c>
    </row>
    <row r="135" spans="1:3" x14ac:dyDescent="0.25">
      <c r="A135" s="18" t="s">
        <v>13</v>
      </c>
      <c r="B135" s="22">
        <v>85242</v>
      </c>
      <c r="C135" s="27">
        <v>167542</v>
      </c>
    </row>
    <row r="136" spans="1:3" ht="15.75" thickBot="1" x14ac:dyDescent="0.3">
      <c r="A136" s="20" t="s">
        <v>14</v>
      </c>
      <c r="B136" s="23">
        <v>1529625</v>
      </c>
      <c r="C136" s="28">
        <v>1713484</v>
      </c>
    </row>
    <row r="137" spans="1:3" ht="15.75" thickBot="1" x14ac:dyDescent="0.3">
      <c r="A137" s="278" t="s">
        <v>23</v>
      </c>
      <c r="B137" s="279"/>
      <c r="C137" s="280"/>
    </row>
    <row r="138" spans="1:3" x14ac:dyDescent="0.25">
      <c r="A138" s="29" t="s">
        <v>15</v>
      </c>
      <c r="B138" s="21">
        <v>2111</v>
      </c>
      <c r="C138" s="31" t="s">
        <v>26</v>
      </c>
    </row>
    <row r="139" spans="1:3" x14ac:dyDescent="0.25">
      <c r="A139" s="15" t="s">
        <v>17</v>
      </c>
      <c r="B139" s="22">
        <v>18</v>
      </c>
      <c r="C139" s="27">
        <v>18</v>
      </c>
    </row>
    <row r="140" spans="1:3" x14ac:dyDescent="0.25">
      <c r="A140" s="15" t="s">
        <v>18</v>
      </c>
      <c r="B140" s="22">
        <v>44</v>
      </c>
      <c r="C140" s="27">
        <v>44</v>
      </c>
    </row>
    <row r="141" spans="1:3" ht="15.75" thickBot="1" x14ac:dyDescent="0.3">
      <c r="A141" s="30" t="s">
        <v>20</v>
      </c>
      <c r="B141" s="23">
        <v>253</v>
      </c>
      <c r="C141" s="28" t="s">
        <v>26</v>
      </c>
    </row>
    <row r="144" spans="1:3" ht="15.75" thickBot="1" x14ac:dyDescent="0.3"/>
    <row r="145" spans="1:6" ht="18" thickBot="1" x14ac:dyDescent="0.3">
      <c r="B145" s="71" t="s">
        <v>110</v>
      </c>
      <c r="C145" s="107" t="s">
        <v>24</v>
      </c>
      <c r="D145" s="107" t="s">
        <v>1</v>
      </c>
      <c r="E145" s="107" t="s">
        <v>3</v>
      </c>
      <c r="F145" s="107" t="s">
        <v>4</v>
      </c>
    </row>
    <row r="146" spans="1:6" ht="15.75" thickBot="1" x14ac:dyDescent="0.3">
      <c r="A146" s="281" t="s">
        <v>22</v>
      </c>
      <c r="B146" s="282"/>
      <c r="C146" s="283"/>
      <c r="D146" s="283"/>
      <c r="E146" s="283"/>
      <c r="F146" s="284"/>
    </row>
    <row r="147" spans="1:6" ht="15.75" thickBot="1" x14ac:dyDescent="0.3">
      <c r="A147" s="104" t="s">
        <v>5</v>
      </c>
      <c r="B147" s="108" t="s">
        <v>6</v>
      </c>
      <c r="C147" s="99">
        <v>7434</v>
      </c>
      <c r="D147" s="21">
        <f>'Working Data'!V25</f>
        <v>7371.7619047619046</v>
      </c>
      <c r="E147" s="33">
        <f>'Working Data'!V91</f>
        <v>7437.9356434346028</v>
      </c>
      <c r="F147" s="21">
        <f>'Working Data'!V108</f>
        <v>7664.840059518956</v>
      </c>
    </row>
    <row r="148" spans="1:6" ht="15.75" thickBot="1" x14ac:dyDescent="0.3">
      <c r="A148" s="17" t="s">
        <v>7</v>
      </c>
      <c r="B148" s="109" t="s">
        <v>8</v>
      </c>
      <c r="C148" s="100">
        <v>96</v>
      </c>
      <c r="D148" s="21">
        <f>'Working Data'!V26</f>
        <v>95.61904761904762</v>
      </c>
      <c r="E148" s="21">
        <f>'Working Data'!V92</f>
        <v>96.025358040685916</v>
      </c>
      <c r="F148" s="21">
        <f>'Working Data'!V109</f>
        <v>98.341887041679456</v>
      </c>
    </row>
    <row r="149" spans="1:6" ht="15.75" thickBot="1" x14ac:dyDescent="0.3">
      <c r="A149" s="18" t="s">
        <v>9</v>
      </c>
      <c r="B149" s="109" t="s">
        <v>6</v>
      </c>
      <c r="C149" s="100">
        <v>21062</v>
      </c>
      <c r="D149" s="21">
        <f>'Working Data'!V27</f>
        <v>21589.523809523809</v>
      </c>
      <c r="E149" s="21">
        <f>'Working Data'!V93</f>
        <v>22268.708880398277</v>
      </c>
      <c r="F149" s="21">
        <f>'Working Data'!V110</f>
        <v>23451.104786562842</v>
      </c>
    </row>
    <row r="150" spans="1:6" ht="15.75" thickBot="1" x14ac:dyDescent="0.3">
      <c r="A150" s="18" t="s">
        <v>10</v>
      </c>
      <c r="B150" s="109" t="s">
        <v>6</v>
      </c>
      <c r="C150" s="100">
        <v>11761</v>
      </c>
      <c r="D150" s="33">
        <f>'Working Data'!V28</f>
        <v>8651.9047619047633</v>
      </c>
      <c r="E150" s="33">
        <f>'Working Data'!V94</f>
        <v>9300.9946822467282</v>
      </c>
      <c r="F150" s="33">
        <f>'Working Data'!V111</f>
        <v>10514.394552260397</v>
      </c>
    </row>
    <row r="151" spans="1:6" ht="15.75" thickBot="1" x14ac:dyDescent="0.3">
      <c r="A151" s="19" t="s">
        <v>11</v>
      </c>
      <c r="B151" s="109" t="s">
        <v>6</v>
      </c>
      <c r="C151" s="100">
        <v>21454</v>
      </c>
      <c r="D151" s="21">
        <f>'Working Data'!V29</f>
        <v>21491.285714285717</v>
      </c>
      <c r="E151" s="21">
        <f>'Working Data'!V95</f>
        <v>21645.055371839426</v>
      </c>
      <c r="F151" s="21">
        <f>'Working Data'!V112</f>
        <v>23478.993197123502</v>
      </c>
    </row>
    <row r="152" spans="1:6" ht="15.75" thickBot="1" x14ac:dyDescent="0.3">
      <c r="A152" s="19" t="s">
        <v>12</v>
      </c>
      <c r="B152" s="109" t="s">
        <v>6</v>
      </c>
      <c r="C152" s="100">
        <v>88943</v>
      </c>
      <c r="D152" s="232">
        <f>'Working Data'!V30</f>
        <v>89253.880952380961</v>
      </c>
      <c r="E152" s="232">
        <f>'Working Data'!V96</f>
        <v>87990.535648712423</v>
      </c>
      <c r="F152" s="232">
        <f>'Working Data'!V113</f>
        <v>95369.27071997973</v>
      </c>
    </row>
    <row r="153" spans="1:6" ht="15.75" thickBot="1" x14ac:dyDescent="0.3">
      <c r="A153" s="18" t="s">
        <v>13</v>
      </c>
      <c r="B153" s="109" t="s">
        <v>6</v>
      </c>
      <c r="C153" s="100">
        <v>85242</v>
      </c>
      <c r="D153" s="232">
        <f>'Working Data'!V31</f>
        <v>85228.14285714287</v>
      </c>
      <c r="E153" s="21">
        <f>'Working Data'!V97</f>
        <v>85127.737765783371</v>
      </c>
      <c r="F153" s="232">
        <f>'Working Data'!V114</f>
        <v>92937.564210027005</v>
      </c>
    </row>
    <row r="154" spans="1:6" ht="15.75" thickBot="1" x14ac:dyDescent="0.3">
      <c r="A154" s="105" t="s">
        <v>14</v>
      </c>
      <c r="B154" s="110" t="s">
        <v>6</v>
      </c>
      <c r="C154" s="101">
        <v>1529625</v>
      </c>
      <c r="D154" s="231" t="s">
        <v>125</v>
      </c>
      <c r="E154" s="231" t="s">
        <v>125</v>
      </c>
      <c r="F154" s="61" t="s">
        <v>125</v>
      </c>
    </row>
    <row r="155" spans="1:6" ht="15.75" thickBot="1" x14ac:dyDescent="0.3">
      <c r="A155" s="281" t="s">
        <v>23</v>
      </c>
      <c r="B155" s="282"/>
      <c r="C155" s="285"/>
      <c r="D155" s="286"/>
      <c r="E155" s="286"/>
      <c r="F155" s="287"/>
    </row>
    <row r="156" spans="1:6" ht="15.75" thickBot="1" x14ac:dyDescent="0.3">
      <c r="A156" s="29" t="s">
        <v>15</v>
      </c>
      <c r="B156" s="106" t="s">
        <v>111</v>
      </c>
      <c r="C156" s="111">
        <v>2111</v>
      </c>
      <c r="D156" s="232">
        <f>'Working Data'!V33</f>
        <v>3739.166666666667</v>
      </c>
      <c r="E156" s="232">
        <f>'Working Data'!V99</f>
        <v>3792.2041798564715</v>
      </c>
      <c r="F156" s="232">
        <f>'Working Data'!V116</f>
        <v>3965.3228901862221</v>
      </c>
    </row>
    <row r="157" spans="1:6" ht="15.75" thickBot="1" x14ac:dyDescent="0.3">
      <c r="A157" s="148" t="s">
        <v>17</v>
      </c>
      <c r="B157" s="102" t="s">
        <v>6</v>
      </c>
      <c r="C157" s="112">
        <v>18</v>
      </c>
      <c r="D157" s="21">
        <f>'Working Data'!V34</f>
        <v>17.142857142857142</v>
      </c>
      <c r="E157" s="21">
        <f>'Working Data'!V100</f>
        <v>18.89796327690361</v>
      </c>
      <c r="F157" s="21">
        <f>'Working Data'!V117</f>
        <v>18.89796327690361</v>
      </c>
    </row>
    <row r="158" spans="1:6" ht="15.75" thickBot="1" x14ac:dyDescent="0.3">
      <c r="A158" s="148" t="s">
        <v>18</v>
      </c>
      <c r="B158" s="102" t="s">
        <v>111</v>
      </c>
      <c r="C158" s="112">
        <v>44</v>
      </c>
      <c r="D158" s="232">
        <f>'Working Data'!V35</f>
        <v>43.809523809523817</v>
      </c>
      <c r="E158" s="232">
        <f>'Working Data'!V101</f>
        <v>47.215075736471327</v>
      </c>
      <c r="F158" s="232">
        <f>'Working Data'!V118</f>
        <v>47.215075736471327</v>
      </c>
    </row>
    <row r="159" spans="1:6" ht="15.75" thickBot="1" x14ac:dyDescent="0.3">
      <c r="A159" s="30" t="s">
        <v>20</v>
      </c>
      <c r="B159" s="103" t="s">
        <v>6</v>
      </c>
      <c r="C159" s="113">
        <v>253</v>
      </c>
      <c r="D159" s="21">
        <f>'Working Data'!V36</f>
        <v>253</v>
      </c>
      <c r="E159" s="21">
        <f>'Working Data'!V102</f>
        <v>261.00215316120114</v>
      </c>
      <c r="F159" s="21">
        <f>'Working Data'!V119</f>
        <v>272.35007286386207</v>
      </c>
    </row>
  </sheetData>
  <mergeCells count="5">
    <mergeCell ref="B126:C126"/>
    <mergeCell ref="A128:C128"/>
    <mergeCell ref="A137:C137"/>
    <mergeCell ref="A146:F146"/>
    <mergeCell ref="A155:F155"/>
  </mergeCells>
  <pageMargins left="0.7" right="0.7" top="0.75" bottom="0.75" header="0.3" footer="0.3"/>
  <pageSetup orientation="portrait" horizontalDpi="4294967293" verticalDpi="429496729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148"/>
  <sheetViews>
    <sheetView topLeftCell="A108" workbookViewId="0">
      <selection activeCell="D124" sqref="D124"/>
    </sheetView>
  </sheetViews>
  <sheetFormatPr defaultRowHeight="15" x14ac:dyDescent="0.25"/>
  <cols>
    <col min="1" max="1" width="28.140625" style="11" customWidth="1"/>
    <col min="2" max="2" width="6" style="11" customWidth="1"/>
    <col min="3" max="3" width="4.42578125" style="11" customWidth="1"/>
    <col min="4" max="4" width="12.42578125" style="11" customWidth="1"/>
    <col min="5" max="5" width="10.42578125" style="11" customWidth="1"/>
    <col min="6" max="21" width="8.7109375" style="11" customWidth="1"/>
    <col min="22" max="22" width="12.5703125" style="11" customWidth="1"/>
    <col min="23" max="23" width="13.140625" customWidth="1"/>
    <col min="25" max="26" width="10.5703125" bestFit="1" customWidth="1"/>
    <col min="29" max="29" width="8.85546875" customWidth="1"/>
    <col min="30" max="30" width="18.5703125" customWidth="1"/>
    <col min="32" max="32" width="3.5703125" customWidth="1"/>
    <col min="33" max="50" width="5.5703125" customWidth="1"/>
    <col min="53" max="53" width="27.85546875" customWidth="1"/>
    <col min="55" max="73" width="6.85546875" customWidth="1"/>
    <col min="76" max="76" width="27.85546875" customWidth="1"/>
    <col min="78" max="96" width="6.85546875" customWidth="1"/>
    <col min="98" max="98" width="27.85546875" customWidth="1"/>
    <col min="100" max="118" width="6.85546875" customWidth="1"/>
  </cols>
  <sheetData>
    <row r="2" spans="1:50" ht="15.75" thickBot="1" x14ac:dyDescent="0.3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8"/>
      <c r="U2" s="38"/>
    </row>
    <row r="3" spans="1:50" s="265" customFormat="1" ht="12" thickBo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264" t="s">
        <v>1</v>
      </c>
      <c r="W3" s="265" t="s">
        <v>120</v>
      </c>
      <c r="AD3" s="266"/>
      <c r="AE3" s="266"/>
      <c r="AF3" s="266"/>
      <c r="AG3" s="252"/>
      <c r="AH3" s="173" t="s">
        <v>28</v>
      </c>
      <c r="AI3" s="173" t="s">
        <v>29</v>
      </c>
      <c r="AJ3" s="173" t="s">
        <v>30</v>
      </c>
      <c r="AK3" s="173" t="s">
        <v>31</v>
      </c>
      <c r="AL3" s="173" t="s">
        <v>40</v>
      </c>
      <c r="AM3" s="173" t="s">
        <v>32</v>
      </c>
      <c r="AN3" s="173" t="s">
        <v>27</v>
      </c>
      <c r="AO3" s="173" t="s">
        <v>33</v>
      </c>
      <c r="AP3" s="173" t="s">
        <v>34</v>
      </c>
      <c r="AQ3" s="173" t="s">
        <v>35</v>
      </c>
      <c r="AR3" s="173" t="s">
        <v>113</v>
      </c>
      <c r="AS3" s="173" t="s">
        <v>36</v>
      </c>
      <c r="AT3" s="173" t="s">
        <v>37</v>
      </c>
      <c r="AU3" s="173" t="s">
        <v>38</v>
      </c>
      <c r="AV3" s="173" t="s">
        <v>39</v>
      </c>
      <c r="AW3" s="173" t="s">
        <v>102</v>
      </c>
      <c r="AX3" s="250" t="s">
        <v>104</v>
      </c>
    </row>
    <row r="4" spans="1:50" s="265" customFormat="1" ht="12" thickBot="1" x14ac:dyDescent="0.25">
      <c r="A4" s="163" t="s">
        <v>80</v>
      </c>
      <c r="B4" s="163" t="s">
        <v>79</v>
      </c>
      <c r="C4" s="163" t="s">
        <v>53</v>
      </c>
      <c r="D4" s="163" t="s">
        <v>2</v>
      </c>
      <c r="E4" s="163" t="s">
        <v>41</v>
      </c>
      <c r="F4" s="163" t="s">
        <v>42</v>
      </c>
      <c r="G4" s="163" t="s">
        <v>43</v>
      </c>
      <c r="H4" s="163" t="s">
        <v>44</v>
      </c>
      <c r="I4" s="163" t="s">
        <v>45</v>
      </c>
      <c r="J4" s="163" t="s">
        <v>46</v>
      </c>
      <c r="K4" s="163" t="s">
        <v>82</v>
      </c>
      <c r="L4" s="163" t="s">
        <v>47</v>
      </c>
      <c r="M4" s="163" t="s">
        <v>48</v>
      </c>
      <c r="N4" s="163" t="s">
        <v>49</v>
      </c>
      <c r="O4" s="163" t="s">
        <v>105</v>
      </c>
      <c r="P4" s="163" t="s">
        <v>50</v>
      </c>
      <c r="Q4" s="163" t="s">
        <v>51</v>
      </c>
      <c r="R4" s="163" t="s">
        <v>52</v>
      </c>
      <c r="S4" s="163" t="s">
        <v>103</v>
      </c>
      <c r="T4" s="163" t="s">
        <v>21</v>
      </c>
      <c r="U4" s="163" t="s">
        <v>114</v>
      </c>
      <c r="V4" s="264"/>
      <c r="AD4" s="301" t="s">
        <v>132</v>
      </c>
      <c r="AE4" s="302"/>
      <c r="AF4" s="303"/>
      <c r="AG4" s="149" t="s">
        <v>2</v>
      </c>
      <c r="AH4" s="149" t="s">
        <v>41</v>
      </c>
      <c r="AI4" s="149" t="s">
        <v>42</v>
      </c>
      <c r="AJ4" s="149" t="s">
        <v>43</v>
      </c>
      <c r="AK4" s="149" t="s">
        <v>44</v>
      </c>
      <c r="AL4" s="149" t="s">
        <v>45</v>
      </c>
      <c r="AM4" s="149" t="s">
        <v>46</v>
      </c>
      <c r="AN4" s="149" t="s">
        <v>82</v>
      </c>
      <c r="AO4" s="149" t="s">
        <v>47</v>
      </c>
      <c r="AP4" s="149" t="s">
        <v>48</v>
      </c>
      <c r="AQ4" s="149" t="s">
        <v>49</v>
      </c>
      <c r="AR4" s="149" t="s">
        <v>105</v>
      </c>
      <c r="AS4" s="149" t="s">
        <v>50</v>
      </c>
      <c r="AT4" s="149" t="s">
        <v>51</v>
      </c>
      <c r="AU4" s="149" t="s">
        <v>52</v>
      </c>
      <c r="AV4" s="149" t="s">
        <v>103</v>
      </c>
      <c r="AW4" s="149" t="s">
        <v>21</v>
      </c>
      <c r="AX4" s="149" t="s">
        <v>114</v>
      </c>
    </row>
    <row r="5" spans="1:50" s="166" customFormat="1" ht="24.95" customHeight="1" x14ac:dyDescent="0.2">
      <c r="A5" s="164" t="s">
        <v>5</v>
      </c>
      <c r="B5" s="164"/>
      <c r="C5" s="165" t="s">
        <v>6</v>
      </c>
      <c r="D5" s="212">
        <v>7434</v>
      </c>
      <c r="E5" s="212">
        <v>6499</v>
      </c>
      <c r="F5" s="212">
        <v>5830</v>
      </c>
      <c r="G5" s="212">
        <v>6255</v>
      </c>
      <c r="H5" s="212">
        <v>5490</v>
      </c>
      <c r="I5" s="212">
        <v>5041</v>
      </c>
      <c r="J5" s="212">
        <v>7945</v>
      </c>
      <c r="K5" s="212">
        <v>7533</v>
      </c>
      <c r="L5" s="212">
        <v>5433</v>
      </c>
      <c r="M5" s="212">
        <v>7825</v>
      </c>
      <c r="N5" s="212">
        <v>7595</v>
      </c>
      <c r="O5" s="212">
        <v>7650</v>
      </c>
      <c r="P5" s="212">
        <v>7964</v>
      </c>
      <c r="Q5" s="212">
        <v>8240</v>
      </c>
      <c r="R5" s="212">
        <v>7830</v>
      </c>
      <c r="S5" s="212">
        <v>8150</v>
      </c>
      <c r="T5" s="212">
        <v>7675</v>
      </c>
      <c r="U5" s="212">
        <v>7925</v>
      </c>
      <c r="V5" s="262">
        <f>MEDIAN(D5:U5)</f>
        <v>7622.5</v>
      </c>
      <c r="W5" s="263">
        <f>SUM(D5:U5)/18</f>
        <v>7128.5555555555557</v>
      </c>
      <c r="AD5" s="304" t="s">
        <v>83</v>
      </c>
      <c r="AE5" s="305"/>
      <c r="AF5" s="306"/>
      <c r="AG5" s="123" t="s">
        <v>64</v>
      </c>
      <c r="AH5" s="123"/>
      <c r="AI5" s="150" t="s">
        <v>64</v>
      </c>
      <c r="AJ5" s="150" t="s">
        <v>64</v>
      </c>
      <c r="AK5" s="123" t="s">
        <v>64</v>
      </c>
      <c r="AL5" s="123" t="s">
        <v>64</v>
      </c>
      <c r="AM5" s="123" t="s">
        <v>64</v>
      </c>
      <c r="AN5" s="150" t="s">
        <v>64</v>
      </c>
      <c r="AO5" s="151"/>
      <c r="AP5" s="150"/>
      <c r="AQ5" s="123" t="s">
        <v>64</v>
      </c>
      <c r="AR5" s="123" t="s">
        <v>64</v>
      </c>
      <c r="AS5" s="123" t="s">
        <v>64</v>
      </c>
      <c r="AT5" s="123" t="s">
        <v>64</v>
      </c>
      <c r="AU5" s="150" t="s">
        <v>64</v>
      </c>
      <c r="AV5" s="123" t="s">
        <v>64</v>
      </c>
      <c r="AW5" s="152" t="s">
        <v>64</v>
      </c>
      <c r="AX5" s="153" t="s">
        <v>64</v>
      </c>
    </row>
    <row r="6" spans="1:50" s="166" customFormat="1" ht="24.95" customHeight="1" x14ac:dyDescent="0.2">
      <c r="A6" s="164" t="s">
        <v>54</v>
      </c>
      <c r="B6" s="164"/>
      <c r="C6" s="165" t="s">
        <v>19</v>
      </c>
      <c r="D6" s="212">
        <v>96</v>
      </c>
      <c r="E6" s="212">
        <v>76</v>
      </c>
      <c r="F6" s="212">
        <v>83</v>
      </c>
      <c r="G6" s="212">
        <v>88</v>
      </c>
      <c r="H6" s="212">
        <v>81</v>
      </c>
      <c r="I6" s="212">
        <v>104</v>
      </c>
      <c r="J6" s="212">
        <v>97</v>
      </c>
      <c r="K6" s="212">
        <v>96</v>
      </c>
      <c r="L6" s="212">
        <v>100</v>
      </c>
      <c r="M6" s="212">
        <v>106</v>
      </c>
      <c r="N6" s="212">
        <v>98</v>
      </c>
      <c r="O6" s="212">
        <v>94</v>
      </c>
      <c r="P6" s="212">
        <v>99</v>
      </c>
      <c r="Q6" s="212">
        <v>101</v>
      </c>
      <c r="R6" s="212">
        <v>103</v>
      </c>
      <c r="S6" s="212">
        <v>102</v>
      </c>
      <c r="T6" s="212">
        <v>92</v>
      </c>
      <c r="U6" s="212">
        <v>105</v>
      </c>
      <c r="V6" s="262">
        <f t="shared" ref="V6:V12" si="0">MEDIAN(D6:U6)</f>
        <v>97.5</v>
      </c>
      <c r="W6" s="263">
        <f t="shared" ref="W6:W11" si="1">SUM(D6:U6)/18</f>
        <v>95.611111111111114</v>
      </c>
      <c r="AD6" s="289" t="s">
        <v>65</v>
      </c>
      <c r="AE6" s="290"/>
      <c r="AF6" s="291"/>
      <c r="AG6" s="124" t="s">
        <v>64</v>
      </c>
      <c r="AH6" s="124" t="s">
        <v>64</v>
      </c>
      <c r="AI6" s="154" t="s">
        <v>64</v>
      </c>
      <c r="AJ6" s="154" t="s">
        <v>64</v>
      </c>
      <c r="AK6" s="124" t="s">
        <v>64</v>
      </c>
      <c r="AL6" s="124" t="s">
        <v>64</v>
      </c>
      <c r="AM6" s="124" t="s">
        <v>64</v>
      </c>
      <c r="AN6" s="154" t="s">
        <v>64</v>
      </c>
      <c r="AO6" s="155"/>
      <c r="AP6" s="154" t="s">
        <v>64</v>
      </c>
      <c r="AQ6" s="124" t="s">
        <v>64</v>
      </c>
      <c r="AR6" s="124" t="s">
        <v>64</v>
      </c>
      <c r="AS6" s="124"/>
      <c r="AT6" s="124" t="s">
        <v>64</v>
      </c>
      <c r="AU6" s="154" t="s">
        <v>64</v>
      </c>
      <c r="AV6" s="124" t="s">
        <v>64</v>
      </c>
      <c r="AW6" s="124" t="s">
        <v>64</v>
      </c>
      <c r="AX6" s="154" t="s">
        <v>64</v>
      </c>
    </row>
    <row r="7" spans="1:50" s="166" customFormat="1" ht="24.95" customHeight="1" x14ac:dyDescent="0.2">
      <c r="A7" s="164" t="s">
        <v>9</v>
      </c>
      <c r="B7" s="164"/>
      <c r="C7" s="165" t="s">
        <v>6</v>
      </c>
      <c r="D7" s="212">
        <v>21062</v>
      </c>
      <c r="E7" s="212">
        <v>28829</v>
      </c>
      <c r="F7" s="212">
        <v>22140</v>
      </c>
      <c r="G7" s="212">
        <v>20050</v>
      </c>
      <c r="H7" s="212">
        <v>19196</v>
      </c>
      <c r="I7" s="212">
        <v>22653</v>
      </c>
      <c r="J7" s="212">
        <v>22875</v>
      </c>
      <c r="K7" s="212">
        <v>23278</v>
      </c>
      <c r="L7" s="212">
        <v>22685</v>
      </c>
      <c r="M7" s="212">
        <v>17654</v>
      </c>
      <c r="N7" s="212">
        <v>18650</v>
      </c>
      <c r="O7" s="212">
        <v>21793</v>
      </c>
      <c r="P7" s="212">
        <v>23795</v>
      </c>
      <c r="Q7" s="212">
        <v>27625</v>
      </c>
      <c r="R7" s="212">
        <v>23415</v>
      </c>
      <c r="S7" s="212">
        <v>23555</v>
      </c>
      <c r="T7" s="212">
        <v>19875</v>
      </c>
      <c r="U7" s="212">
        <v>25362</v>
      </c>
      <c r="V7" s="262">
        <f t="shared" si="0"/>
        <v>22669</v>
      </c>
      <c r="W7" s="263">
        <f t="shared" si="1"/>
        <v>22471.777777777777</v>
      </c>
      <c r="AD7" s="289" t="s">
        <v>66</v>
      </c>
      <c r="AE7" s="290"/>
      <c r="AF7" s="291"/>
      <c r="AG7" s="124" t="s">
        <v>64</v>
      </c>
      <c r="AH7" s="124" t="s">
        <v>64</v>
      </c>
      <c r="AI7" s="154"/>
      <c r="AJ7" s="154"/>
      <c r="AK7" s="124"/>
      <c r="AL7" s="124"/>
      <c r="AM7" s="124" t="s">
        <v>64</v>
      </c>
      <c r="AN7" s="154" t="s">
        <v>64</v>
      </c>
      <c r="AO7" s="155"/>
      <c r="AP7" s="154" t="s">
        <v>64</v>
      </c>
      <c r="AQ7" s="124"/>
      <c r="AR7" s="124" t="s">
        <v>64</v>
      </c>
      <c r="AS7" s="124"/>
      <c r="AT7" s="124" t="s">
        <v>64</v>
      </c>
      <c r="AU7" s="154" t="s">
        <v>64</v>
      </c>
      <c r="AV7" s="124"/>
      <c r="AW7" s="124"/>
      <c r="AX7" s="154"/>
    </row>
    <row r="8" spans="1:50" s="166" customFormat="1" ht="24.95" customHeight="1" x14ac:dyDescent="0.2">
      <c r="A8" s="164" t="s">
        <v>10</v>
      </c>
      <c r="B8" s="164"/>
      <c r="C8" s="165" t="s">
        <v>6</v>
      </c>
      <c r="D8" s="212">
        <v>11761</v>
      </c>
      <c r="E8" s="212">
        <v>7356</v>
      </c>
      <c r="F8" s="212">
        <v>8495</v>
      </c>
      <c r="G8" s="212">
        <v>7783</v>
      </c>
      <c r="H8" s="212">
        <v>8498</v>
      </c>
      <c r="I8" s="212">
        <v>8565</v>
      </c>
      <c r="J8" s="212">
        <v>9765</v>
      </c>
      <c r="K8" s="212">
        <v>12576</v>
      </c>
      <c r="L8" s="212">
        <v>7866</v>
      </c>
      <c r="M8" s="212">
        <v>10674</v>
      </c>
      <c r="N8" s="212">
        <v>12645</v>
      </c>
      <c r="O8" s="212">
        <v>7649</v>
      </c>
      <c r="P8" s="212">
        <v>12435</v>
      </c>
      <c r="Q8" s="212">
        <v>14367</v>
      </c>
      <c r="R8" s="212">
        <v>8953</v>
      </c>
      <c r="S8" s="212">
        <v>8742</v>
      </c>
      <c r="T8" s="212">
        <v>10876</v>
      </c>
      <c r="U8" s="212">
        <v>9216</v>
      </c>
      <c r="V8" s="262">
        <f t="shared" si="0"/>
        <v>9084.5</v>
      </c>
      <c r="W8" s="263">
        <f t="shared" si="1"/>
        <v>9901.2222222222226</v>
      </c>
      <c r="AD8" s="289" t="s">
        <v>67</v>
      </c>
      <c r="AE8" s="290"/>
      <c r="AF8" s="291"/>
      <c r="AG8" s="124" t="s">
        <v>64</v>
      </c>
      <c r="AH8" s="124" t="s">
        <v>64</v>
      </c>
      <c r="AI8" s="154" t="s">
        <v>64</v>
      </c>
      <c r="AJ8" s="154" t="s">
        <v>64</v>
      </c>
      <c r="AK8" s="124" t="s">
        <v>64</v>
      </c>
      <c r="AL8" s="124" t="s">
        <v>64</v>
      </c>
      <c r="AM8" s="124" t="s">
        <v>64</v>
      </c>
      <c r="AN8" s="154" t="s">
        <v>64</v>
      </c>
      <c r="AO8" s="124" t="s">
        <v>64</v>
      </c>
      <c r="AP8" s="154" t="s">
        <v>64</v>
      </c>
      <c r="AQ8" s="124" t="s">
        <v>64</v>
      </c>
      <c r="AR8" s="124" t="s">
        <v>64</v>
      </c>
      <c r="AS8" s="124"/>
      <c r="AT8" s="124" t="s">
        <v>64</v>
      </c>
      <c r="AU8" s="154" t="s">
        <v>64</v>
      </c>
      <c r="AV8" s="124" t="s">
        <v>64</v>
      </c>
      <c r="AW8" s="124" t="s">
        <v>64</v>
      </c>
      <c r="AX8" s="154" t="s">
        <v>64</v>
      </c>
    </row>
    <row r="9" spans="1:50" s="166" customFormat="1" ht="24.95" customHeight="1" x14ac:dyDescent="0.2">
      <c r="A9" s="164" t="s">
        <v>11</v>
      </c>
      <c r="B9" s="164"/>
      <c r="C9" s="165" t="s">
        <v>6</v>
      </c>
      <c r="D9" s="212">
        <v>21454</v>
      </c>
      <c r="E9" s="212">
        <v>20668</v>
      </c>
      <c r="F9" s="212">
        <v>19151</v>
      </c>
      <c r="G9" s="212">
        <v>19885</v>
      </c>
      <c r="H9" s="212">
        <v>19543</v>
      </c>
      <c r="I9" s="212">
        <v>20449</v>
      </c>
      <c r="J9" s="212">
        <v>20274</v>
      </c>
      <c r="K9" s="212">
        <v>22375</v>
      </c>
      <c r="L9" s="212">
        <v>19623</v>
      </c>
      <c r="M9" s="212">
        <v>22776</v>
      </c>
      <c r="N9" s="212">
        <v>22948</v>
      </c>
      <c r="O9" s="212">
        <v>22825</v>
      </c>
      <c r="P9" s="212">
        <v>23025</v>
      </c>
      <c r="Q9" s="212">
        <v>25840</v>
      </c>
      <c r="R9" s="212">
        <v>22753</v>
      </c>
      <c r="S9" s="212">
        <v>18325</v>
      </c>
      <c r="T9" s="212">
        <v>22605</v>
      </c>
      <c r="U9" s="212">
        <v>23005</v>
      </c>
      <c r="V9" s="262">
        <f t="shared" si="0"/>
        <v>21914.5</v>
      </c>
      <c r="W9" s="263">
        <f t="shared" si="1"/>
        <v>21529.111111111109</v>
      </c>
      <c r="AD9" s="289" t="s">
        <v>68</v>
      </c>
      <c r="AE9" s="290"/>
      <c r="AF9" s="291"/>
      <c r="AG9" s="124" t="s">
        <v>64</v>
      </c>
      <c r="AH9" s="124"/>
      <c r="AI9" s="154" t="s">
        <v>64</v>
      </c>
      <c r="AJ9" s="154" t="s">
        <v>64</v>
      </c>
      <c r="AK9" s="124" t="s">
        <v>64</v>
      </c>
      <c r="AL9" s="124" t="s">
        <v>64</v>
      </c>
      <c r="AM9" s="124" t="s">
        <v>64</v>
      </c>
      <c r="AN9" s="154" t="s">
        <v>64</v>
      </c>
      <c r="AO9" s="124"/>
      <c r="AP9" s="154" t="s">
        <v>64</v>
      </c>
      <c r="AQ9" s="124" t="s">
        <v>64</v>
      </c>
      <c r="AR9" s="124" t="s">
        <v>64</v>
      </c>
      <c r="AS9" s="124" t="s">
        <v>64</v>
      </c>
      <c r="AT9" s="124" t="s">
        <v>64</v>
      </c>
      <c r="AU9" s="154" t="s">
        <v>64</v>
      </c>
      <c r="AV9" s="124" t="s">
        <v>64</v>
      </c>
      <c r="AW9" s="124" t="s">
        <v>64</v>
      </c>
      <c r="AX9" s="154" t="s">
        <v>64</v>
      </c>
    </row>
    <row r="10" spans="1:50" s="166" customFormat="1" ht="24.95" customHeight="1" x14ac:dyDescent="0.2">
      <c r="A10" s="164" t="s">
        <v>12</v>
      </c>
      <c r="B10" s="164"/>
      <c r="C10" s="165" t="s">
        <v>6</v>
      </c>
      <c r="D10" s="212">
        <v>88943</v>
      </c>
      <c r="E10" s="212">
        <v>85902</v>
      </c>
      <c r="F10" s="212">
        <v>84104</v>
      </c>
      <c r="G10" s="212">
        <v>83754</v>
      </c>
      <c r="H10" s="212">
        <v>75734</v>
      </c>
      <c r="I10" s="212">
        <v>85965</v>
      </c>
      <c r="J10" s="212">
        <v>76675</v>
      </c>
      <c r="K10" s="212">
        <v>92465</v>
      </c>
      <c r="L10" s="212">
        <v>76550</v>
      </c>
      <c r="M10" s="212">
        <v>95994</v>
      </c>
      <c r="N10" s="212">
        <v>90336</v>
      </c>
      <c r="O10" s="212">
        <v>94043</v>
      </c>
      <c r="P10" s="212">
        <v>90700</v>
      </c>
      <c r="Q10" s="212">
        <v>98755</v>
      </c>
      <c r="R10" s="212">
        <v>99552</v>
      </c>
      <c r="S10" s="212">
        <v>96645</v>
      </c>
      <c r="T10" s="212">
        <v>95582</v>
      </c>
      <c r="U10" s="212">
        <v>94996</v>
      </c>
      <c r="V10" s="262">
        <f t="shared" si="0"/>
        <v>90518</v>
      </c>
      <c r="W10" s="263">
        <f t="shared" si="1"/>
        <v>89260.833333333328</v>
      </c>
      <c r="AD10" s="289" t="s">
        <v>69</v>
      </c>
      <c r="AE10" s="290"/>
      <c r="AF10" s="291"/>
      <c r="AG10" s="124" t="s">
        <v>64</v>
      </c>
      <c r="AH10" s="124" t="s">
        <v>64</v>
      </c>
      <c r="AI10" s="154" t="s">
        <v>64</v>
      </c>
      <c r="AJ10" s="154" t="s">
        <v>64</v>
      </c>
      <c r="AK10" s="124"/>
      <c r="AL10" s="124" t="s">
        <v>64</v>
      </c>
      <c r="AM10" s="124"/>
      <c r="AN10" s="154" t="s">
        <v>64</v>
      </c>
      <c r="AO10" s="124" t="s">
        <v>64</v>
      </c>
      <c r="AP10" s="154"/>
      <c r="AQ10" s="124"/>
      <c r="AR10" s="124" t="s">
        <v>64</v>
      </c>
      <c r="AS10" s="124" t="s">
        <v>64</v>
      </c>
      <c r="AT10" s="124" t="s">
        <v>64</v>
      </c>
      <c r="AU10" s="154"/>
      <c r="AV10" s="124"/>
      <c r="AW10" s="124"/>
      <c r="AX10" s="154"/>
    </row>
    <row r="11" spans="1:50" s="166" customFormat="1" ht="24.95" customHeight="1" x14ac:dyDescent="0.2">
      <c r="A11" s="164" t="s">
        <v>13</v>
      </c>
      <c r="B11" s="164"/>
      <c r="C11" s="165" t="s">
        <v>6</v>
      </c>
      <c r="D11" s="212">
        <v>85242</v>
      </c>
      <c r="E11" s="212">
        <v>78092</v>
      </c>
      <c r="F11" s="212">
        <v>82511</v>
      </c>
      <c r="G11" s="212">
        <v>77760</v>
      </c>
      <c r="H11" s="212">
        <v>74775</v>
      </c>
      <c r="I11" s="212">
        <v>85649</v>
      </c>
      <c r="J11" s="212">
        <v>83762</v>
      </c>
      <c r="K11" s="212">
        <v>89565</v>
      </c>
      <c r="L11" s="212">
        <v>82500</v>
      </c>
      <c r="M11" s="212">
        <v>92744</v>
      </c>
      <c r="N11" s="212">
        <v>89475</v>
      </c>
      <c r="O11" s="212">
        <v>90674</v>
      </c>
      <c r="P11" s="212">
        <v>87765</v>
      </c>
      <c r="Q11" s="212">
        <v>92652</v>
      </c>
      <c r="R11" s="212">
        <v>92732</v>
      </c>
      <c r="S11" s="212">
        <v>86949</v>
      </c>
      <c r="T11" s="212">
        <v>92546</v>
      </c>
      <c r="U11" s="212">
        <v>91448</v>
      </c>
      <c r="V11" s="262">
        <f t="shared" si="0"/>
        <v>87357</v>
      </c>
      <c r="W11" s="263">
        <f t="shared" si="1"/>
        <v>86491.166666666672</v>
      </c>
      <c r="AD11" s="289" t="s">
        <v>70</v>
      </c>
      <c r="AE11" s="290"/>
      <c r="AF11" s="291"/>
      <c r="AG11" s="124" t="s">
        <v>64</v>
      </c>
      <c r="AH11" s="124" t="s">
        <v>64</v>
      </c>
      <c r="AI11" s="154" t="s">
        <v>64</v>
      </c>
      <c r="AJ11" s="154" t="s">
        <v>64</v>
      </c>
      <c r="AK11" s="124"/>
      <c r="AL11" s="124"/>
      <c r="AM11" s="124"/>
      <c r="AN11" s="154" t="s">
        <v>64</v>
      </c>
      <c r="AO11" s="124" t="s">
        <v>64</v>
      </c>
      <c r="AP11" s="154" t="s">
        <v>64</v>
      </c>
      <c r="AQ11" s="124"/>
      <c r="AR11" s="124"/>
      <c r="AS11" s="124" t="s">
        <v>64</v>
      </c>
      <c r="AT11" s="124"/>
      <c r="AU11" s="154" t="s">
        <v>64</v>
      </c>
      <c r="AV11" s="124"/>
      <c r="AW11" s="124"/>
      <c r="AX11" s="154"/>
    </row>
    <row r="12" spans="1:50" s="166" customFormat="1" ht="24.95" customHeight="1" x14ac:dyDescent="0.2">
      <c r="A12" s="164" t="s">
        <v>14</v>
      </c>
      <c r="B12" s="164"/>
      <c r="C12" s="165" t="s">
        <v>6</v>
      </c>
      <c r="D12" s="212">
        <v>1529625</v>
      </c>
      <c r="E12" s="212">
        <v>588000</v>
      </c>
      <c r="F12" s="212"/>
      <c r="G12" s="212"/>
      <c r="H12" s="164"/>
      <c r="I12" s="212"/>
      <c r="J12" s="164"/>
      <c r="K12" s="212"/>
      <c r="L12" s="164"/>
      <c r="M12" s="212"/>
      <c r="N12" s="164"/>
      <c r="O12" s="164"/>
      <c r="P12" s="164"/>
      <c r="Q12" s="164"/>
      <c r="R12" s="164"/>
      <c r="S12" s="164"/>
      <c r="T12" s="164"/>
      <c r="U12" s="164"/>
      <c r="V12" s="262">
        <f t="shared" si="0"/>
        <v>1058812.5</v>
      </c>
      <c r="AD12" s="289" t="s">
        <v>71</v>
      </c>
      <c r="AE12" s="290"/>
      <c r="AF12" s="291"/>
      <c r="AG12" s="124" t="s">
        <v>64</v>
      </c>
      <c r="AH12" s="124"/>
      <c r="AI12" s="154"/>
      <c r="AJ12" s="154"/>
      <c r="AK12" s="124"/>
      <c r="AL12" s="124"/>
      <c r="AM12" s="124"/>
      <c r="AN12" s="154"/>
      <c r="AO12" s="124"/>
      <c r="AP12" s="154"/>
      <c r="AQ12" s="124"/>
      <c r="AR12" s="124" t="s">
        <v>64</v>
      </c>
      <c r="AS12" s="124"/>
      <c r="AT12" s="124" t="s">
        <v>64</v>
      </c>
      <c r="AU12" s="154"/>
      <c r="AV12" s="124" t="s">
        <v>64</v>
      </c>
      <c r="AW12" s="124" t="s">
        <v>64</v>
      </c>
      <c r="AX12" s="154" t="s">
        <v>64</v>
      </c>
    </row>
    <row r="13" spans="1:50" ht="24.95" customHeight="1" x14ac:dyDescent="0.25">
      <c r="A13" s="41"/>
      <c r="B13" s="41"/>
      <c r="C13" s="42"/>
      <c r="D13" s="43"/>
      <c r="E13" s="43"/>
      <c r="F13" s="43"/>
      <c r="G13" s="43"/>
      <c r="H13" s="41"/>
      <c r="I13" s="43"/>
      <c r="J13" s="41"/>
      <c r="K13" s="43"/>
      <c r="L13" s="41"/>
      <c r="M13" s="43"/>
      <c r="N13" s="41"/>
      <c r="O13" s="41"/>
      <c r="P13" s="41"/>
      <c r="Q13" s="41"/>
      <c r="R13" s="41"/>
      <c r="S13" s="41"/>
      <c r="T13" s="41"/>
      <c r="U13" s="41"/>
      <c r="V13" s="44"/>
      <c r="AD13" s="289" t="s">
        <v>72</v>
      </c>
      <c r="AE13" s="290"/>
      <c r="AF13" s="291"/>
      <c r="AG13" s="124" t="s">
        <v>64</v>
      </c>
      <c r="AH13" s="124" t="s">
        <v>64</v>
      </c>
      <c r="AI13" s="154"/>
      <c r="AJ13" s="154"/>
      <c r="AK13" s="124"/>
      <c r="AL13" s="124" t="s">
        <v>64</v>
      </c>
      <c r="AM13" s="124" t="s">
        <v>64</v>
      </c>
      <c r="AN13" s="154"/>
      <c r="AO13" s="124"/>
      <c r="AP13" s="154" t="s">
        <v>64</v>
      </c>
      <c r="AQ13" s="124" t="s">
        <v>64</v>
      </c>
      <c r="AR13" s="124" t="s">
        <v>64</v>
      </c>
      <c r="AS13" s="124"/>
      <c r="AT13" s="124" t="s">
        <v>64</v>
      </c>
      <c r="AU13" s="154" t="s">
        <v>64</v>
      </c>
      <c r="AV13" s="124" t="s">
        <v>64</v>
      </c>
      <c r="AW13" s="124" t="s">
        <v>64</v>
      </c>
      <c r="AX13" s="154" t="s">
        <v>64</v>
      </c>
    </row>
    <row r="14" spans="1:50" ht="24.95" customHeight="1" x14ac:dyDescent="0.25">
      <c r="A14" s="41" t="s">
        <v>15</v>
      </c>
      <c r="B14" s="41"/>
      <c r="C14" s="42" t="s">
        <v>55</v>
      </c>
      <c r="D14" s="43">
        <v>2111</v>
      </c>
      <c r="E14" s="43">
        <v>4275</v>
      </c>
      <c r="F14" s="43">
        <v>2523</v>
      </c>
      <c r="G14" s="43">
        <v>2832</v>
      </c>
      <c r="H14" s="43">
        <v>3975</v>
      </c>
      <c r="I14" s="43">
        <v>3899</v>
      </c>
      <c r="J14" s="43">
        <v>3867</v>
      </c>
      <c r="K14" s="43">
        <v>3436</v>
      </c>
      <c r="L14" s="43">
        <v>4587</v>
      </c>
      <c r="M14" s="43">
        <v>3478</v>
      </c>
      <c r="N14" s="43">
        <v>4477</v>
      </c>
      <c r="O14" s="43">
        <v>4231</v>
      </c>
      <c r="P14" s="43">
        <v>3765</v>
      </c>
      <c r="Q14" s="43">
        <v>3780</v>
      </c>
      <c r="R14" s="43">
        <v>4341</v>
      </c>
      <c r="S14" s="43">
        <v>4792</v>
      </c>
      <c r="T14" s="43">
        <v>3271</v>
      </c>
      <c r="U14" s="43">
        <v>4761</v>
      </c>
      <c r="V14" s="162">
        <f>MEDIAN(D14:U14)</f>
        <v>3883</v>
      </c>
      <c r="W14" s="169">
        <f t="shared" ref="W14" si="2">SUM(D14:U14)/18</f>
        <v>3800.0555555555557</v>
      </c>
      <c r="AD14" s="289" t="s">
        <v>73</v>
      </c>
      <c r="AE14" s="290"/>
      <c r="AF14" s="291"/>
      <c r="AG14" s="124" t="s">
        <v>64</v>
      </c>
      <c r="AH14" s="124" t="s">
        <v>64</v>
      </c>
      <c r="AI14" s="154"/>
      <c r="AJ14" s="154"/>
      <c r="AK14" s="124"/>
      <c r="AL14" s="124"/>
      <c r="AM14" s="124"/>
      <c r="AN14" s="154"/>
      <c r="AO14" s="124" t="s">
        <v>64</v>
      </c>
      <c r="AP14" s="154"/>
      <c r="AQ14" s="124"/>
      <c r="AR14" s="124"/>
      <c r="AS14" s="124" t="s">
        <v>64</v>
      </c>
      <c r="AT14" s="124"/>
      <c r="AU14" s="154"/>
      <c r="AV14" s="124"/>
      <c r="AW14" s="124" t="s">
        <v>64</v>
      </c>
      <c r="AX14" s="154"/>
    </row>
    <row r="15" spans="1:50" ht="24.95" customHeight="1" x14ac:dyDescent="0.25">
      <c r="A15" s="41" t="s">
        <v>17</v>
      </c>
      <c r="B15" s="41"/>
      <c r="C15" s="42" t="s">
        <v>6</v>
      </c>
      <c r="D15" s="43">
        <v>18</v>
      </c>
      <c r="E15" s="43">
        <v>16</v>
      </c>
      <c r="F15" s="43">
        <v>17</v>
      </c>
      <c r="G15" s="43">
        <v>18</v>
      </c>
      <c r="H15" s="43"/>
      <c r="I15" s="43">
        <v>18</v>
      </c>
      <c r="J15" s="43"/>
      <c r="K15" s="43">
        <v>19</v>
      </c>
      <c r="L15" s="43"/>
      <c r="M15" s="43"/>
      <c r="N15" s="43">
        <v>16</v>
      </c>
      <c r="O15" s="43"/>
      <c r="P15" s="43"/>
      <c r="Q15" s="43"/>
      <c r="R15" s="43">
        <v>16</v>
      </c>
      <c r="S15" s="43"/>
      <c r="T15" s="43">
        <v>19</v>
      </c>
      <c r="U15" s="43"/>
      <c r="V15" s="162">
        <f t="shared" ref="V15:V17" si="3">MEDIAN(D15:U15)</f>
        <v>18</v>
      </c>
      <c r="W15" s="169">
        <f>SUM(D15:U15)/8</f>
        <v>19.625</v>
      </c>
      <c r="AD15" s="295" t="s">
        <v>74</v>
      </c>
      <c r="AE15" s="296"/>
      <c r="AF15" s="297"/>
      <c r="AG15" s="124" t="s">
        <v>64</v>
      </c>
      <c r="AH15" s="124" t="s">
        <v>64</v>
      </c>
      <c r="AI15" s="154"/>
      <c r="AJ15" s="154"/>
      <c r="AK15" s="124"/>
      <c r="AL15" s="124"/>
      <c r="AM15" s="124"/>
      <c r="AN15" s="154"/>
      <c r="AO15" s="124"/>
      <c r="AP15" s="154" t="s">
        <v>64</v>
      </c>
      <c r="AQ15" s="124" t="s">
        <v>64</v>
      </c>
      <c r="AR15" s="124" t="s">
        <v>64</v>
      </c>
      <c r="AS15" s="124" t="s">
        <v>64</v>
      </c>
      <c r="AT15" s="124" t="s">
        <v>64</v>
      </c>
      <c r="AU15" s="154" t="s">
        <v>64</v>
      </c>
      <c r="AV15" s="124" t="s">
        <v>64</v>
      </c>
      <c r="AW15" s="124" t="s">
        <v>64</v>
      </c>
      <c r="AX15" s="154" t="s">
        <v>64</v>
      </c>
    </row>
    <row r="16" spans="1:50" ht="24.95" customHeight="1" x14ac:dyDescent="0.25">
      <c r="A16" s="41" t="s">
        <v>18</v>
      </c>
      <c r="B16" s="41"/>
      <c r="C16" s="42" t="s">
        <v>55</v>
      </c>
      <c r="D16" s="43">
        <v>44</v>
      </c>
      <c r="E16" s="43">
        <v>42</v>
      </c>
      <c r="F16" s="43">
        <v>46</v>
      </c>
      <c r="G16" s="43">
        <v>47</v>
      </c>
      <c r="H16" s="43"/>
      <c r="I16" s="43">
        <v>48</v>
      </c>
      <c r="J16" s="43"/>
      <c r="K16" s="43">
        <v>46</v>
      </c>
      <c r="L16" s="43"/>
      <c r="M16" s="43"/>
      <c r="N16" s="43">
        <v>43</v>
      </c>
      <c r="O16" s="43"/>
      <c r="P16" s="43"/>
      <c r="Q16" s="43"/>
      <c r="R16" s="43">
        <v>46</v>
      </c>
      <c r="S16" s="43"/>
      <c r="T16" s="43">
        <v>44</v>
      </c>
      <c r="U16" s="43"/>
      <c r="V16" s="162">
        <f t="shared" si="3"/>
        <v>46</v>
      </c>
      <c r="W16" s="169">
        <f t="shared" ref="W16:W17" si="4">SUM(D16:U16)/8</f>
        <v>50.75</v>
      </c>
      <c r="AD16" s="295" t="s">
        <v>75</v>
      </c>
      <c r="AE16" s="296"/>
      <c r="AF16" s="297"/>
      <c r="AG16" s="124" t="s">
        <v>64</v>
      </c>
      <c r="AH16" s="124" t="s">
        <v>64</v>
      </c>
      <c r="AI16" s="154" t="s">
        <v>64</v>
      </c>
      <c r="AJ16" s="154" t="s">
        <v>64</v>
      </c>
      <c r="AK16" s="124" t="s">
        <v>64</v>
      </c>
      <c r="AL16" s="124" t="s">
        <v>64</v>
      </c>
      <c r="AM16" s="124" t="s">
        <v>64</v>
      </c>
      <c r="AN16" s="154"/>
      <c r="AO16" s="124"/>
      <c r="AP16" s="154" t="s">
        <v>64</v>
      </c>
      <c r="AQ16" s="124"/>
      <c r="AR16" s="124" t="s">
        <v>64</v>
      </c>
      <c r="AS16" s="124" t="s">
        <v>64</v>
      </c>
      <c r="AT16" s="124" t="s">
        <v>64</v>
      </c>
      <c r="AU16" s="154" t="s">
        <v>64</v>
      </c>
      <c r="AV16" s="124" t="s">
        <v>64</v>
      </c>
      <c r="AW16" s="124" t="s">
        <v>64</v>
      </c>
      <c r="AX16" s="154" t="s">
        <v>64</v>
      </c>
    </row>
    <row r="17" spans="1:118" ht="24.95" customHeight="1" x14ac:dyDescent="0.25">
      <c r="A17" s="41" t="s">
        <v>20</v>
      </c>
      <c r="B17" s="41"/>
      <c r="C17" s="42" t="s">
        <v>6</v>
      </c>
      <c r="D17" s="43">
        <v>253</v>
      </c>
      <c r="E17" s="43">
        <v>225</v>
      </c>
      <c r="F17" s="43">
        <v>232</v>
      </c>
      <c r="G17" s="43">
        <v>226</v>
      </c>
      <c r="H17" s="43"/>
      <c r="I17" s="43">
        <v>240</v>
      </c>
      <c r="J17" s="43"/>
      <c r="K17" s="43">
        <v>275</v>
      </c>
      <c r="L17" s="43"/>
      <c r="M17" s="43"/>
      <c r="N17" s="43">
        <v>270</v>
      </c>
      <c r="O17" s="43"/>
      <c r="P17" s="43"/>
      <c r="Q17" s="43"/>
      <c r="R17" s="43">
        <v>297</v>
      </c>
      <c r="S17" s="43"/>
      <c r="T17" s="43">
        <v>269</v>
      </c>
      <c r="U17" s="43"/>
      <c r="V17" s="162">
        <f t="shared" si="3"/>
        <v>253</v>
      </c>
      <c r="W17" s="169">
        <f t="shared" si="4"/>
        <v>285.875</v>
      </c>
      <c r="AD17" s="295" t="s">
        <v>76</v>
      </c>
      <c r="AE17" s="296"/>
      <c r="AF17" s="297"/>
      <c r="AG17" s="124" t="s">
        <v>64</v>
      </c>
      <c r="AH17" s="124" t="s">
        <v>64</v>
      </c>
      <c r="AI17" s="154"/>
      <c r="AJ17" s="154"/>
      <c r="AK17" s="124"/>
      <c r="AL17" s="124"/>
      <c r="AM17" s="124"/>
      <c r="AN17" s="154" t="s">
        <v>64</v>
      </c>
      <c r="AO17" s="124"/>
      <c r="AP17" s="154"/>
      <c r="AQ17" s="124"/>
      <c r="AR17" s="124"/>
      <c r="AS17" s="124"/>
      <c r="AT17" s="124"/>
      <c r="AU17" s="154"/>
      <c r="AV17" s="124"/>
      <c r="AW17" s="124"/>
      <c r="AX17" s="154" t="s">
        <v>64</v>
      </c>
    </row>
    <row r="18" spans="1:118" ht="24.9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6"/>
      <c r="N18" s="34"/>
      <c r="O18" s="34"/>
      <c r="P18" s="34"/>
      <c r="Q18" s="34"/>
      <c r="R18" s="34"/>
      <c r="S18" s="34"/>
      <c r="T18" s="34"/>
      <c r="U18" s="34"/>
      <c r="AD18" s="295" t="s">
        <v>77</v>
      </c>
      <c r="AE18" s="296"/>
      <c r="AF18" s="297"/>
      <c r="AG18" s="124" t="s">
        <v>64</v>
      </c>
      <c r="AH18" s="124" t="s">
        <v>64</v>
      </c>
      <c r="AI18" s="154"/>
      <c r="AJ18" s="154"/>
      <c r="AK18" s="124"/>
      <c r="AL18" s="124" t="s">
        <v>64</v>
      </c>
      <c r="AM18" s="124" t="s">
        <v>64</v>
      </c>
      <c r="AN18" s="154" t="s">
        <v>64</v>
      </c>
      <c r="AO18" s="124"/>
      <c r="AP18" s="154" t="s">
        <v>64</v>
      </c>
      <c r="AQ18" s="124"/>
      <c r="AR18" s="124" t="s">
        <v>64</v>
      </c>
      <c r="AS18" s="124"/>
      <c r="AT18" s="124" t="s">
        <v>64</v>
      </c>
      <c r="AU18" s="154" t="s">
        <v>64</v>
      </c>
      <c r="AV18" s="124" t="s">
        <v>64</v>
      </c>
      <c r="AW18" s="124"/>
      <c r="AX18" s="154" t="s">
        <v>64</v>
      </c>
    </row>
    <row r="19" spans="1:118" ht="24.9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6"/>
      <c r="N19" s="34"/>
      <c r="O19" s="34"/>
      <c r="P19" s="34"/>
      <c r="Q19" s="34"/>
      <c r="R19" s="34"/>
      <c r="S19" s="34"/>
      <c r="T19" s="34"/>
      <c r="U19" s="34"/>
      <c r="AD19" s="295" t="s">
        <v>129</v>
      </c>
      <c r="AE19" s="296"/>
      <c r="AF19" s="297"/>
      <c r="AG19" s="124"/>
      <c r="AH19" s="124"/>
      <c r="AI19" s="154"/>
      <c r="AJ19" s="154"/>
      <c r="AK19" s="124"/>
      <c r="AL19" s="124"/>
      <c r="AM19" s="124"/>
      <c r="AN19" s="155"/>
      <c r="AO19" s="124" t="s">
        <v>64</v>
      </c>
      <c r="AP19" s="154"/>
      <c r="AQ19" s="124"/>
      <c r="AR19" s="124"/>
      <c r="AS19" s="124"/>
      <c r="AT19" s="124"/>
      <c r="AU19" s="154"/>
      <c r="AV19" s="124"/>
      <c r="AW19" s="124" t="s">
        <v>64</v>
      </c>
      <c r="AX19" s="154"/>
    </row>
    <row r="20" spans="1:118" ht="24.9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6"/>
      <c r="N20" s="34"/>
      <c r="O20" s="34"/>
      <c r="P20" s="34"/>
      <c r="Q20" s="34"/>
      <c r="R20" s="34"/>
      <c r="S20" s="34"/>
      <c r="T20" s="34"/>
      <c r="U20" s="34"/>
      <c r="AD20" s="298" t="s">
        <v>126</v>
      </c>
      <c r="AE20" s="299"/>
      <c r="AF20" s="300"/>
      <c r="AG20" s="187"/>
      <c r="AH20" s="187"/>
      <c r="AI20" s="248"/>
      <c r="AJ20" s="248"/>
      <c r="AK20" s="187"/>
      <c r="AL20" s="187"/>
      <c r="AM20" s="187"/>
      <c r="AN20" s="186"/>
      <c r="AO20" s="187"/>
      <c r="AP20" s="248" t="s">
        <v>64</v>
      </c>
      <c r="AQ20" s="187"/>
      <c r="AR20" s="187" t="s">
        <v>64</v>
      </c>
      <c r="AS20" s="187"/>
      <c r="AT20" s="187" t="s">
        <v>64</v>
      </c>
      <c r="AU20" s="248"/>
      <c r="AV20" s="187"/>
      <c r="AW20" s="187"/>
      <c r="AX20" s="248"/>
    </row>
    <row r="21" spans="1:118" ht="24.95" customHeight="1" thickBo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AD21" s="308" t="s">
        <v>78</v>
      </c>
      <c r="AE21" s="309"/>
      <c r="AF21" s="310"/>
      <c r="AG21" s="125" t="s">
        <v>64</v>
      </c>
      <c r="AH21" s="125" t="s">
        <v>64</v>
      </c>
      <c r="AI21" s="156" t="s">
        <v>64</v>
      </c>
      <c r="AJ21" s="156" t="s">
        <v>64</v>
      </c>
      <c r="AK21" s="125" t="s">
        <v>64</v>
      </c>
      <c r="AL21" s="125" t="s">
        <v>64</v>
      </c>
      <c r="AM21" s="125" t="s">
        <v>64</v>
      </c>
      <c r="AN21" s="157"/>
      <c r="AO21" s="125" t="s">
        <v>64</v>
      </c>
      <c r="AP21" s="156" t="s">
        <v>64</v>
      </c>
      <c r="AQ21" s="125" t="s">
        <v>64</v>
      </c>
      <c r="AR21" s="125" t="s">
        <v>64</v>
      </c>
      <c r="AS21" s="125" t="s">
        <v>64</v>
      </c>
      <c r="AT21" s="125" t="s">
        <v>64</v>
      </c>
      <c r="AU21" s="156" t="s">
        <v>64</v>
      </c>
      <c r="AV21" s="125" t="s">
        <v>64</v>
      </c>
      <c r="AW21" s="125" t="s">
        <v>64</v>
      </c>
      <c r="AX21" s="156" t="s">
        <v>64</v>
      </c>
    </row>
    <row r="22" spans="1:118" ht="24.95" customHeight="1" thickBot="1" x14ac:dyDescent="0.3">
      <c r="A22" s="307" t="s">
        <v>56</v>
      </c>
      <c r="B22" s="307"/>
      <c r="C22" s="307"/>
      <c r="D22" s="307"/>
      <c r="E22" s="307"/>
      <c r="F22" s="307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8"/>
      <c r="U22" s="38"/>
      <c r="AD22" s="292" t="s">
        <v>106</v>
      </c>
      <c r="AE22" s="293"/>
      <c r="AF22" s="293"/>
      <c r="AG22" s="175" t="s">
        <v>107</v>
      </c>
      <c r="AH22" s="175" t="s">
        <v>107</v>
      </c>
      <c r="AI22" s="249" t="s">
        <v>108</v>
      </c>
      <c r="AJ22" s="249" t="s">
        <v>108</v>
      </c>
      <c r="AK22" s="171" t="s">
        <v>109</v>
      </c>
      <c r="AL22" s="249" t="s">
        <v>108</v>
      </c>
      <c r="AM22" s="249" t="s">
        <v>108</v>
      </c>
      <c r="AN22" s="249" t="s">
        <v>108</v>
      </c>
      <c r="AO22" s="171" t="s">
        <v>109</v>
      </c>
      <c r="AP22" s="175" t="s">
        <v>107</v>
      </c>
      <c r="AQ22" s="249" t="s">
        <v>108</v>
      </c>
      <c r="AR22" s="175" t="s">
        <v>107</v>
      </c>
      <c r="AS22" s="249" t="s">
        <v>108</v>
      </c>
      <c r="AT22" s="175" t="s">
        <v>107</v>
      </c>
      <c r="AU22" s="175" t="s">
        <v>107</v>
      </c>
      <c r="AV22" s="175" t="s">
        <v>107</v>
      </c>
      <c r="AW22" s="175" t="s">
        <v>107</v>
      </c>
      <c r="AX22" s="175" t="s">
        <v>107</v>
      </c>
    </row>
    <row r="23" spans="1:118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 t="s">
        <v>1</v>
      </c>
    </row>
    <row r="24" spans="1:118" x14ac:dyDescent="0.25">
      <c r="A24" s="40" t="s">
        <v>80</v>
      </c>
      <c r="B24" s="40" t="s">
        <v>121</v>
      </c>
      <c r="C24" s="40" t="s">
        <v>53</v>
      </c>
      <c r="D24" s="40" t="s">
        <v>2</v>
      </c>
      <c r="E24" s="40" t="s">
        <v>41</v>
      </c>
      <c r="F24" s="40" t="s">
        <v>42</v>
      </c>
      <c r="G24" s="40" t="s">
        <v>43</v>
      </c>
      <c r="H24" s="40" t="s">
        <v>44</v>
      </c>
      <c r="I24" s="40" t="s">
        <v>45</v>
      </c>
      <c r="J24" s="40" t="s">
        <v>46</v>
      </c>
      <c r="K24" s="40" t="s">
        <v>82</v>
      </c>
      <c r="L24" s="40" t="s">
        <v>47</v>
      </c>
      <c r="M24" s="40" t="s">
        <v>48</v>
      </c>
      <c r="N24" s="40" t="s">
        <v>49</v>
      </c>
      <c r="O24" s="40" t="s">
        <v>105</v>
      </c>
      <c r="P24" s="40" t="s">
        <v>50</v>
      </c>
      <c r="Q24" s="40" t="s">
        <v>51</v>
      </c>
      <c r="R24" s="40" t="s">
        <v>52</v>
      </c>
      <c r="S24" s="40" t="s">
        <v>103</v>
      </c>
      <c r="T24" s="40" t="s">
        <v>21</v>
      </c>
      <c r="U24" s="40" t="s">
        <v>114</v>
      </c>
      <c r="V24" s="45"/>
      <c r="BA24" s="163" t="s">
        <v>80</v>
      </c>
      <c r="BB24" s="163" t="s">
        <v>53</v>
      </c>
      <c r="BC24" s="163" t="s">
        <v>2</v>
      </c>
      <c r="BD24" s="163" t="s">
        <v>41</v>
      </c>
      <c r="BE24" s="163" t="s">
        <v>42</v>
      </c>
      <c r="BF24" s="163" t="s">
        <v>43</v>
      </c>
      <c r="BG24" s="163" t="s">
        <v>44</v>
      </c>
      <c r="BH24" s="163" t="s">
        <v>45</v>
      </c>
      <c r="BI24" s="163" t="s">
        <v>46</v>
      </c>
      <c r="BJ24" s="163" t="s">
        <v>82</v>
      </c>
      <c r="BK24" s="163" t="s">
        <v>47</v>
      </c>
      <c r="BL24" s="163" t="s">
        <v>48</v>
      </c>
      <c r="BM24" s="163" t="s">
        <v>49</v>
      </c>
      <c r="BN24" s="163" t="s">
        <v>105</v>
      </c>
      <c r="BO24" s="163" t="s">
        <v>50</v>
      </c>
      <c r="BP24" s="163" t="s">
        <v>51</v>
      </c>
      <c r="BQ24" s="163" t="s">
        <v>52</v>
      </c>
      <c r="BR24" s="163" t="s">
        <v>103</v>
      </c>
      <c r="BS24" s="163" t="s">
        <v>21</v>
      </c>
      <c r="BT24" s="163" t="s">
        <v>114</v>
      </c>
      <c r="BU24" s="163" t="s">
        <v>1</v>
      </c>
      <c r="BX24" s="163" t="s">
        <v>80</v>
      </c>
      <c r="BY24" s="163" t="s">
        <v>53</v>
      </c>
      <c r="BZ24" s="163" t="s">
        <v>2</v>
      </c>
      <c r="CA24" s="163" t="s">
        <v>41</v>
      </c>
      <c r="CB24" s="163" t="s">
        <v>42</v>
      </c>
      <c r="CC24" s="163" t="s">
        <v>43</v>
      </c>
      <c r="CD24" s="163" t="s">
        <v>44</v>
      </c>
      <c r="CE24" s="163" t="s">
        <v>45</v>
      </c>
      <c r="CF24" s="163" t="s">
        <v>46</v>
      </c>
      <c r="CG24" s="163" t="s">
        <v>82</v>
      </c>
      <c r="CH24" s="163" t="s">
        <v>47</v>
      </c>
      <c r="CI24" s="163" t="s">
        <v>48</v>
      </c>
      <c r="CJ24" s="163" t="s">
        <v>49</v>
      </c>
      <c r="CK24" s="163" t="s">
        <v>105</v>
      </c>
      <c r="CL24" s="163" t="s">
        <v>50</v>
      </c>
      <c r="CM24" s="163" t="s">
        <v>51</v>
      </c>
      <c r="CN24" s="163" t="s">
        <v>52</v>
      </c>
      <c r="CO24" s="163" t="s">
        <v>103</v>
      </c>
      <c r="CP24" s="163" t="s">
        <v>21</v>
      </c>
      <c r="CQ24" s="163" t="s">
        <v>114</v>
      </c>
      <c r="CR24" s="163" t="s">
        <v>1</v>
      </c>
      <c r="CT24" s="163" t="s">
        <v>80</v>
      </c>
      <c r="CU24" s="163" t="s">
        <v>53</v>
      </c>
      <c r="CV24" s="163" t="s">
        <v>2</v>
      </c>
      <c r="CW24" s="163" t="s">
        <v>41</v>
      </c>
      <c r="CX24" s="163" t="s">
        <v>42</v>
      </c>
      <c r="CY24" s="163" t="s">
        <v>43</v>
      </c>
      <c r="CZ24" s="163" t="s">
        <v>44</v>
      </c>
      <c r="DA24" s="163" t="s">
        <v>45</v>
      </c>
      <c r="DB24" s="163" t="s">
        <v>46</v>
      </c>
      <c r="DC24" s="163" t="s">
        <v>82</v>
      </c>
      <c r="DD24" s="163" t="s">
        <v>47</v>
      </c>
      <c r="DE24" s="163" t="s">
        <v>48</v>
      </c>
      <c r="DF24" s="163" t="s">
        <v>49</v>
      </c>
      <c r="DG24" s="163" t="s">
        <v>105</v>
      </c>
      <c r="DH24" s="163" t="s">
        <v>50</v>
      </c>
      <c r="DI24" s="163" t="s">
        <v>51</v>
      </c>
      <c r="DJ24" s="163" t="s">
        <v>52</v>
      </c>
      <c r="DK24" s="163" t="s">
        <v>103</v>
      </c>
      <c r="DL24" s="163" t="s">
        <v>21</v>
      </c>
      <c r="DM24" s="163" t="s">
        <v>114</v>
      </c>
      <c r="DN24" s="163" t="s">
        <v>1</v>
      </c>
    </row>
    <row r="25" spans="1:118" x14ac:dyDescent="0.25">
      <c r="A25" s="41" t="s">
        <v>5</v>
      </c>
      <c r="B25" s="41"/>
      <c r="C25" s="42" t="s">
        <v>6</v>
      </c>
      <c r="D25" s="43">
        <v>7434</v>
      </c>
      <c r="E25" s="46">
        <f t="shared" ref="E25:E31" si="5">E5*0.8/0.84</f>
        <v>6189.523809523811</v>
      </c>
      <c r="F25" s="46">
        <f t="shared" ref="F25:J25" si="6">F5*0.8/0.84</f>
        <v>5552.3809523809523</v>
      </c>
      <c r="G25" s="46">
        <f t="shared" si="6"/>
        <v>5957.1428571428578</v>
      </c>
      <c r="H25" s="46">
        <f t="shared" si="6"/>
        <v>5228.5714285714284</v>
      </c>
      <c r="I25" s="46">
        <f t="shared" si="6"/>
        <v>4800.9523809523816</v>
      </c>
      <c r="J25" s="46">
        <f t="shared" si="6"/>
        <v>7566.666666666667</v>
      </c>
      <c r="K25" s="43">
        <f t="shared" ref="K25:K31" si="7">K5</f>
        <v>7533</v>
      </c>
      <c r="L25" s="46">
        <f t="shared" ref="L25:L31" si="8">L5*0.8/0.84</f>
        <v>5174.2857142857147</v>
      </c>
      <c r="M25" s="46">
        <f t="shared" ref="M25:O25" si="9">M5*0.8/0.84</f>
        <v>7452.3809523809523</v>
      </c>
      <c r="N25" s="46">
        <f t="shared" si="9"/>
        <v>7233.3333333333339</v>
      </c>
      <c r="O25" s="46">
        <f t="shared" si="9"/>
        <v>7285.7142857142862</v>
      </c>
      <c r="P25" s="43">
        <f t="shared" ref="P25:P31" si="10">P5</f>
        <v>7964</v>
      </c>
      <c r="Q25" s="46">
        <f t="shared" ref="Q25:Q31" si="11">Q5*0.8/0.84</f>
        <v>7847.6190476190477</v>
      </c>
      <c r="R25" s="46">
        <f t="shared" ref="R25:U25" si="12">R5*0.8/0.84</f>
        <v>7457.1428571428578</v>
      </c>
      <c r="S25" s="46">
        <f t="shared" si="12"/>
        <v>7761.9047619047624</v>
      </c>
      <c r="T25" s="46">
        <f t="shared" si="12"/>
        <v>7309.5238095238101</v>
      </c>
      <c r="U25" s="46">
        <f t="shared" si="12"/>
        <v>7547.6190476190477</v>
      </c>
      <c r="V25" s="44">
        <f>MEDIAN(D25:U25)</f>
        <v>7371.7619047619046</v>
      </c>
      <c r="W25" s="43">
        <v>7434</v>
      </c>
      <c r="BA25" s="164" t="s">
        <v>5</v>
      </c>
      <c r="BB25" s="165" t="s">
        <v>6</v>
      </c>
      <c r="BC25" s="167"/>
      <c r="BX25" s="164" t="s">
        <v>5</v>
      </c>
      <c r="BY25" s="165" t="s">
        <v>6</v>
      </c>
      <c r="CT25" s="164" t="s">
        <v>5</v>
      </c>
      <c r="CU25" s="165" t="s">
        <v>6</v>
      </c>
    </row>
    <row r="26" spans="1:118" x14ac:dyDescent="0.25">
      <c r="A26" s="41" t="s">
        <v>54</v>
      </c>
      <c r="B26" s="41"/>
      <c r="C26" s="42" t="s">
        <v>19</v>
      </c>
      <c r="D26" s="43">
        <v>96</v>
      </c>
      <c r="E26" s="46">
        <f t="shared" si="5"/>
        <v>72.380952380952394</v>
      </c>
      <c r="F26" s="46">
        <f t="shared" ref="F26:J31" si="13">F6*0.8/0.84</f>
        <v>79.047619047619051</v>
      </c>
      <c r="G26" s="46">
        <f t="shared" si="13"/>
        <v>83.809523809523824</v>
      </c>
      <c r="H26" s="46">
        <f t="shared" si="13"/>
        <v>77.142857142857139</v>
      </c>
      <c r="I26" s="46">
        <f t="shared" si="13"/>
        <v>99.047619047619051</v>
      </c>
      <c r="J26" s="46">
        <f t="shared" si="13"/>
        <v>92.380952380952394</v>
      </c>
      <c r="K26" s="43">
        <f t="shared" si="7"/>
        <v>96</v>
      </c>
      <c r="L26" s="46">
        <f t="shared" si="8"/>
        <v>95.238095238095241</v>
      </c>
      <c r="M26" s="46">
        <f t="shared" ref="M26" si="14">M6*0.8/0.84</f>
        <v>100.95238095238096</v>
      </c>
      <c r="N26" s="46">
        <f>N6*0.8/0.84</f>
        <v>93.333333333333343</v>
      </c>
      <c r="O26" s="46">
        <f>O6*0.8/0.84</f>
        <v>89.523809523809533</v>
      </c>
      <c r="P26" s="43">
        <f t="shared" si="10"/>
        <v>99</v>
      </c>
      <c r="Q26" s="46">
        <f t="shared" si="11"/>
        <v>96.190476190476204</v>
      </c>
      <c r="R26" s="46">
        <f t="shared" ref="R26:U31" si="15">R6*0.8/0.84</f>
        <v>98.095238095238102</v>
      </c>
      <c r="S26" s="46">
        <f t="shared" si="15"/>
        <v>97.142857142857153</v>
      </c>
      <c r="T26" s="46">
        <f t="shared" si="15"/>
        <v>87.619047619047635</v>
      </c>
      <c r="U26" s="46">
        <f t="shared" si="15"/>
        <v>100</v>
      </c>
      <c r="V26" s="44">
        <f t="shared" ref="V26:V31" si="16">MEDIAN(D26:U26)</f>
        <v>95.61904761904762</v>
      </c>
      <c r="W26" s="43">
        <v>96</v>
      </c>
      <c r="BA26" s="164" t="s">
        <v>54</v>
      </c>
      <c r="BB26" s="165" t="s">
        <v>19</v>
      </c>
      <c r="BX26" s="164" t="s">
        <v>54</v>
      </c>
      <c r="BY26" s="165" t="s">
        <v>19</v>
      </c>
      <c r="CT26" s="164" t="s">
        <v>54</v>
      </c>
      <c r="CU26" s="165" t="s">
        <v>19</v>
      </c>
    </row>
    <row r="27" spans="1:118" x14ac:dyDescent="0.25">
      <c r="A27" s="41" t="s">
        <v>9</v>
      </c>
      <c r="B27" s="41"/>
      <c r="C27" s="42" t="s">
        <v>6</v>
      </c>
      <c r="D27" s="43">
        <v>21062</v>
      </c>
      <c r="E27" s="46">
        <f t="shared" si="5"/>
        <v>27456.190476190477</v>
      </c>
      <c r="F27" s="46">
        <f t="shared" si="13"/>
        <v>21085.714285714286</v>
      </c>
      <c r="G27" s="46">
        <f t="shared" si="13"/>
        <v>19095.238095238095</v>
      </c>
      <c r="H27" s="46">
        <f t="shared" si="13"/>
        <v>18281.904761904763</v>
      </c>
      <c r="I27" s="46">
        <f t="shared" si="13"/>
        <v>21574.285714285717</v>
      </c>
      <c r="J27" s="46">
        <f t="shared" si="13"/>
        <v>21785.714285714286</v>
      </c>
      <c r="K27" s="43">
        <f t="shared" si="7"/>
        <v>23278</v>
      </c>
      <c r="L27" s="46">
        <f t="shared" si="8"/>
        <v>21604.761904761905</v>
      </c>
      <c r="M27" s="46">
        <f t="shared" ref="M27" si="17">M7*0.8/0.84</f>
        <v>16813.333333333336</v>
      </c>
      <c r="N27" s="46">
        <f t="shared" ref="N27" si="18">N7*0.8/0.84</f>
        <v>17761.904761904763</v>
      </c>
      <c r="O27" s="46">
        <f>O7*0.8/0.84</f>
        <v>20755.238095238099</v>
      </c>
      <c r="P27" s="43">
        <f t="shared" si="10"/>
        <v>23795</v>
      </c>
      <c r="Q27" s="46">
        <f t="shared" si="11"/>
        <v>26309.523809523809</v>
      </c>
      <c r="R27" s="46">
        <f t="shared" si="15"/>
        <v>22300</v>
      </c>
      <c r="S27" s="46">
        <f t="shared" si="15"/>
        <v>22433.333333333336</v>
      </c>
      <c r="T27" s="46">
        <f t="shared" si="15"/>
        <v>18928.571428571428</v>
      </c>
      <c r="U27" s="46">
        <f t="shared" si="15"/>
        <v>24154.285714285717</v>
      </c>
      <c r="V27" s="44">
        <f t="shared" si="16"/>
        <v>21589.523809523809</v>
      </c>
      <c r="W27" s="43">
        <v>21062</v>
      </c>
      <c r="BA27" s="164" t="s">
        <v>9</v>
      </c>
      <c r="BB27" s="165" t="s">
        <v>6</v>
      </c>
      <c r="BX27" s="164" t="s">
        <v>9</v>
      </c>
      <c r="BY27" s="165" t="s">
        <v>6</v>
      </c>
      <c r="CT27" s="164" t="s">
        <v>9</v>
      </c>
      <c r="CU27" s="165" t="s">
        <v>6</v>
      </c>
    </row>
    <row r="28" spans="1:118" x14ac:dyDescent="0.25">
      <c r="A28" s="41" t="s">
        <v>10</v>
      </c>
      <c r="B28" s="41"/>
      <c r="C28" s="42" t="s">
        <v>6</v>
      </c>
      <c r="D28" s="43">
        <v>11761</v>
      </c>
      <c r="E28" s="46">
        <f t="shared" si="5"/>
        <v>7005.7142857142862</v>
      </c>
      <c r="F28" s="46">
        <f t="shared" si="13"/>
        <v>8090.4761904761908</v>
      </c>
      <c r="G28" s="46">
        <f t="shared" si="13"/>
        <v>7412.3809523809532</v>
      </c>
      <c r="H28" s="46">
        <f t="shared" si="13"/>
        <v>8093.3333333333339</v>
      </c>
      <c r="I28" s="46">
        <f t="shared" si="13"/>
        <v>8157.1428571428578</v>
      </c>
      <c r="J28" s="46">
        <f t="shared" si="13"/>
        <v>9300</v>
      </c>
      <c r="K28" s="43">
        <f t="shared" si="7"/>
        <v>12576</v>
      </c>
      <c r="L28" s="46">
        <f t="shared" si="8"/>
        <v>7491.4285714285716</v>
      </c>
      <c r="M28" s="46">
        <f t="shared" ref="M28" si="19">M8*0.8/0.84</f>
        <v>10165.714285714286</v>
      </c>
      <c r="N28" s="46">
        <f>N8*0.8/0.84</f>
        <v>12042.857142857143</v>
      </c>
      <c r="O28" s="46">
        <f>O8*0.8/0.84</f>
        <v>7284.7619047619055</v>
      </c>
      <c r="P28" s="43">
        <f t="shared" si="10"/>
        <v>12435</v>
      </c>
      <c r="Q28" s="46">
        <f t="shared" si="11"/>
        <v>13682.857142857143</v>
      </c>
      <c r="R28" s="46">
        <f t="shared" si="15"/>
        <v>8526.6666666666679</v>
      </c>
      <c r="S28" s="46">
        <f t="shared" si="15"/>
        <v>8325.7142857142862</v>
      </c>
      <c r="T28" s="46">
        <f t="shared" si="15"/>
        <v>10358.09523809524</v>
      </c>
      <c r="U28" s="46">
        <f t="shared" si="15"/>
        <v>8777.1428571428569</v>
      </c>
      <c r="V28" s="44">
        <f t="shared" si="16"/>
        <v>8651.9047619047633</v>
      </c>
      <c r="W28" s="43">
        <v>11761</v>
      </c>
      <c r="BA28" s="164" t="s">
        <v>10</v>
      </c>
      <c r="BB28" s="165" t="s">
        <v>6</v>
      </c>
      <c r="BX28" s="164" t="s">
        <v>10</v>
      </c>
      <c r="BY28" s="165" t="s">
        <v>6</v>
      </c>
      <c r="CT28" s="164" t="s">
        <v>10</v>
      </c>
      <c r="CU28" s="165" t="s">
        <v>6</v>
      </c>
    </row>
    <row r="29" spans="1:118" x14ac:dyDescent="0.25">
      <c r="A29" s="41" t="s">
        <v>11</v>
      </c>
      <c r="B29" s="41"/>
      <c r="C29" s="42" t="s">
        <v>6</v>
      </c>
      <c r="D29" s="43">
        <v>21454</v>
      </c>
      <c r="E29" s="46">
        <f t="shared" si="5"/>
        <v>19683.809523809527</v>
      </c>
      <c r="F29" s="46">
        <f t="shared" si="13"/>
        <v>18239.047619047622</v>
      </c>
      <c r="G29" s="46">
        <f t="shared" si="13"/>
        <v>18938.09523809524</v>
      </c>
      <c r="H29" s="46">
        <f t="shared" si="13"/>
        <v>18612.380952380954</v>
      </c>
      <c r="I29" s="46">
        <f t="shared" si="13"/>
        <v>19475.238095238095</v>
      </c>
      <c r="J29" s="46">
        <f t="shared" si="13"/>
        <v>19308.571428571431</v>
      </c>
      <c r="K29" s="43">
        <f t="shared" si="7"/>
        <v>22375</v>
      </c>
      <c r="L29" s="46">
        <f t="shared" si="8"/>
        <v>18688.571428571431</v>
      </c>
      <c r="M29" s="46">
        <f t="shared" ref="M29" si="20">M9*0.8/0.84</f>
        <v>21691.428571428572</v>
      </c>
      <c r="N29" s="46">
        <f>N9*0.8/0.84</f>
        <v>21855.238095238099</v>
      </c>
      <c r="O29" s="46">
        <f>O9*0.8/0.84</f>
        <v>21738.09523809524</v>
      </c>
      <c r="P29" s="43">
        <f t="shared" si="10"/>
        <v>23025</v>
      </c>
      <c r="Q29" s="46">
        <f t="shared" si="11"/>
        <v>24609.523809523809</v>
      </c>
      <c r="R29" s="46">
        <f t="shared" si="15"/>
        <v>21669.523809523813</v>
      </c>
      <c r="S29" s="46">
        <f t="shared" si="15"/>
        <v>17452.380952380954</v>
      </c>
      <c r="T29" s="46">
        <f t="shared" si="15"/>
        <v>21528.571428571431</v>
      </c>
      <c r="U29" s="46">
        <f t="shared" si="15"/>
        <v>21909.523809523809</v>
      </c>
      <c r="V29" s="44">
        <f t="shared" si="16"/>
        <v>21491.285714285717</v>
      </c>
      <c r="W29" s="43">
        <v>21454</v>
      </c>
      <c r="BA29" s="164" t="s">
        <v>11</v>
      </c>
      <c r="BB29" s="165" t="s">
        <v>6</v>
      </c>
      <c r="BX29" s="164" t="s">
        <v>11</v>
      </c>
      <c r="BY29" s="165" t="s">
        <v>6</v>
      </c>
      <c r="CT29" s="164" t="s">
        <v>11</v>
      </c>
      <c r="CU29" s="165" t="s">
        <v>6</v>
      </c>
    </row>
    <row r="30" spans="1:118" x14ac:dyDescent="0.25">
      <c r="A30" s="41" t="s">
        <v>12</v>
      </c>
      <c r="B30" s="41"/>
      <c r="C30" s="42" t="s">
        <v>6</v>
      </c>
      <c r="D30" s="43">
        <v>88943</v>
      </c>
      <c r="E30" s="46">
        <f t="shared" si="5"/>
        <v>81811.42857142858</v>
      </c>
      <c r="F30" s="46">
        <f t="shared" si="13"/>
        <v>80099.047619047618</v>
      </c>
      <c r="G30" s="46">
        <f t="shared" si="13"/>
        <v>79765.71428571429</v>
      </c>
      <c r="H30" s="46">
        <f t="shared" si="13"/>
        <v>72127.619047619053</v>
      </c>
      <c r="I30" s="46">
        <f t="shared" si="13"/>
        <v>81871.42857142858</v>
      </c>
      <c r="J30" s="46">
        <f t="shared" si="13"/>
        <v>73023.809523809527</v>
      </c>
      <c r="K30" s="43">
        <f t="shared" si="7"/>
        <v>92465</v>
      </c>
      <c r="L30" s="46">
        <f t="shared" si="8"/>
        <v>72904.761904761908</v>
      </c>
      <c r="M30" s="46">
        <f t="shared" ref="M30" si="21">M10*0.8/0.84</f>
        <v>91422.857142857145</v>
      </c>
      <c r="N30" s="46">
        <f>N10*0.8/0.84</f>
        <v>86034.285714285725</v>
      </c>
      <c r="O30" s="46">
        <f>O10*0.8/0.84</f>
        <v>89564.761904761923</v>
      </c>
      <c r="P30" s="43">
        <f t="shared" si="10"/>
        <v>90700</v>
      </c>
      <c r="Q30" s="46">
        <f t="shared" si="11"/>
        <v>94052.380952380961</v>
      </c>
      <c r="R30" s="46">
        <f t="shared" si="15"/>
        <v>94811.42857142858</v>
      </c>
      <c r="S30" s="46">
        <f t="shared" si="15"/>
        <v>92042.857142857145</v>
      </c>
      <c r="T30" s="46">
        <f t="shared" si="15"/>
        <v>91030.476190476198</v>
      </c>
      <c r="U30" s="46">
        <f t="shared" si="15"/>
        <v>90472.380952380961</v>
      </c>
      <c r="V30" s="44">
        <f t="shared" si="16"/>
        <v>89253.880952380961</v>
      </c>
      <c r="W30" s="43">
        <v>88943</v>
      </c>
      <c r="BA30" s="164" t="s">
        <v>12</v>
      </c>
      <c r="BB30" s="165" t="s">
        <v>6</v>
      </c>
      <c r="BX30" s="164" t="s">
        <v>12</v>
      </c>
      <c r="BY30" s="165" t="s">
        <v>6</v>
      </c>
      <c r="CT30" s="164" t="s">
        <v>12</v>
      </c>
      <c r="CU30" s="165" t="s">
        <v>6</v>
      </c>
    </row>
    <row r="31" spans="1:118" x14ac:dyDescent="0.25">
      <c r="A31" s="41" t="s">
        <v>13</v>
      </c>
      <c r="B31" s="41"/>
      <c r="C31" s="42" t="s">
        <v>6</v>
      </c>
      <c r="D31" s="43">
        <v>85242</v>
      </c>
      <c r="E31" s="46">
        <f t="shared" si="5"/>
        <v>74373.333333333343</v>
      </c>
      <c r="F31" s="46">
        <f t="shared" si="13"/>
        <v>78581.904761904763</v>
      </c>
      <c r="G31" s="46">
        <f t="shared" si="13"/>
        <v>74057.142857142855</v>
      </c>
      <c r="H31" s="46">
        <f t="shared" si="13"/>
        <v>71214.28571428571</v>
      </c>
      <c r="I31" s="46">
        <f t="shared" si="13"/>
        <v>81570.476190476184</v>
      </c>
      <c r="J31" s="46">
        <f t="shared" si="13"/>
        <v>79773.333333333343</v>
      </c>
      <c r="K31" s="43">
        <f t="shared" si="7"/>
        <v>89565</v>
      </c>
      <c r="L31" s="46">
        <f t="shared" si="8"/>
        <v>78571.42857142858</v>
      </c>
      <c r="M31" s="46">
        <f t="shared" ref="M31" si="22">M11*0.8/0.84</f>
        <v>88327.619047619053</v>
      </c>
      <c r="N31" s="46">
        <f>N11*0.8/0.84</f>
        <v>85214.285714285725</v>
      </c>
      <c r="O31" s="46">
        <f>O11*0.8/0.84</f>
        <v>86356.190476190473</v>
      </c>
      <c r="P31" s="43">
        <f t="shared" si="10"/>
        <v>87765</v>
      </c>
      <c r="Q31" s="46">
        <f t="shared" si="11"/>
        <v>88240.000000000015</v>
      </c>
      <c r="R31" s="46">
        <f t="shared" si="15"/>
        <v>88316.190476190488</v>
      </c>
      <c r="S31" s="46">
        <f t="shared" si="15"/>
        <v>82808.571428571435</v>
      </c>
      <c r="T31" s="46">
        <f t="shared" si="15"/>
        <v>88139.047619047633</v>
      </c>
      <c r="U31" s="46">
        <f t="shared" si="15"/>
        <v>87093.333333333343</v>
      </c>
      <c r="V31" s="44">
        <f t="shared" si="16"/>
        <v>85228.14285714287</v>
      </c>
      <c r="W31" s="43">
        <v>85242</v>
      </c>
      <c r="BA31" s="164" t="s">
        <v>13</v>
      </c>
      <c r="BB31" s="165" t="s">
        <v>6</v>
      </c>
      <c r="BX31" s="164" t="s">
        <v>13</v>
      </c>
      <c r="BY31" s="165" t="s">
        <v>6</v>
      </c>
      <c r="CT31" s="164" t="s">
        <v>13</v>
      </c>
      <c r="CU31" s="165" t="s">
        <v>6</v>
      </c>
    </row>
    <row r="32" spans="1:118" x14ac:dyDescent="0.25">
      <c r="A32" s="41"/>
      <c r="B32" s="41"/>
      <c r="C32" s="42"/>
      <c r="D32" s="43"/>
      <c r="E32" s="46"/>
      <c r="F32" s="46"/>
      <c r="G32" s="46"/>
      <c r="H32" s="46"/>
      <c r="I32" s="46"/>
      <c r="J32" s="46">
        <f>J13*0.8/0.84</f>
        <v>0</v>
      </c>
      <c r="K32" s="43"/>
      <c r="L32" s="46"/>
      <c r="M32" s="46"/>
      <c r="N32" s="46"/>
      <c r="O32" s="46"/>
      <c r="P32" s="41"/>
      <c r="Q32" s="46"/>
      <c r="R32" s="46"/>
      <c r="S32" s="46"/>
      <c r="T32" s="46"/>
      <c r="U32" s="46"/>
      <c r="V32" s="45"/>
      <c r="BA32" s="164"/>
      <c r="BB32" s="165"/>
      <c r="BX32" s="164"/>
      <c r="BY32" s="165"/>
      <c r="CT32" s="164"/>
      <c r="CU32" s="165"/>
    </row>
    <row r="33" spans="1:99" x14ac:dyDescent="0.25">
      <c r="A33" s="41" t="s">
        <v>15</v>
      </c>
      <c r="B33" s="41"/>
      <c r="C33" s="42" t="s">
        <v>55</v>
      </c>
      <c r="D33" s="43">
        <v>2111</v>
      </c>
      <c r="E33" s="46">
        <f>E14*0.8/0.84</f>
        <v>4071.4285714285716</v>
      </c>
      <c r="F33" s="46">
        <f>F14*0.8/0.84</f>
        <v>2402.8571428571431</v>
      </c>
      <c r="G33" s="46">
        <f>G14*0.8/0.84</f>
        <v>2697.1428571428573</v>
      </c>
      <c r="H33" s="46">
        <f>H14*0.8/0.84</f>
        <v>3785.7142857142858</v>
      </c>
      <c r="I33" s="46">
        <f>I14*0.8/0.84</f>
        <v>3713.3333333333339</v>
      </c>
      <c r="J33" s="46">
        <f>J14*0.8/0.84</f>
        <v>3682.8571428571436</v>
      </c>
      <c r="K33" s="43">
        <f>K14</f>
        <v>3436</v>
      </c>
      <c r="L33" s="46">
        <f>L14*0.8/0.84</f>
        <v>4368.5714285714294</v>
      </c>
      <c r="M33" s="46">
        <f>M14*0.8/0.84</f>
        <v>3312.3809523809527</v>
      </c>
      <c r="N33" s="46">
        <f>N14*0.8/0.84</f>
        <v>4263.8095238095248</v>
      </c>
      <c r="O33" s="46">
        <f>O14*0.8/0.84</f>
        <v>4029.5238095238101</v>
      </c>
      <c r="P33" s="43">
        <f>P14</f>
        <v>3765</v>
      </c>
      <c r="Q33" s="46">
        <f>Q14*0.8/0.84</f>
        <v>3600</v>
      </c>
      <c r="R33" s="46">
        <f>R14*0.8/0.84</f>
        <v>4134.2857142857147</v>
      </c>
      <c r="S33" s="46">
        <f>S14*0.8/0.84</f>
        <v>4563.8095238095248</v>
      </c>
      <c r="T33" s="46">
        <f>T14*0.8/0.84</f>
        <v>3115.2380952380954</v>
      </c>
      <c r="U33" s="46">
        <f>U14*0.8/0.84</f>
        <v>4534.2857142857147</v>
      </c>
      <c r="V33" s="44">
        <f>MEDIAN(D33:U33)</f>
        <v>3739.166666666667</v>
      </c>
      <c r="BA33" s="164" t="s">
        <v>15</v>
      </c>
      <c r="BB33" s="165" t="s">
        <v>55</v>
      </c>
      <c r="BX33" s="164" t="s">
        <v>15</v>
      </c>
      <c r="BY33" s="165" t="s">
        <v>55</v>
      </c>
      <c r="CT33" s="164" t="s">
        <v>15</v>
      </c>
      <c r="CU33" s="165" t="s">
        <v>55</v>
      </c>
    </row>
    <row r="34" spans="1:99" x14ac:dyDescent="0.25">
      <c r="A34" s="41" t="s">
        <v>17</v>
      </c>
      <c r="B34" s="41"/>
      <c r="C34" s="42" t="s">
        <v>6</v>
      </c>
      <c r="D34" s="43">
        <v>18</v>
      </c>
      <c r="E34" s="46">
        <f t="shared" ref="E34:G36" si="23">E15*0.8/0.84</f>
        <v>15.238095238095239</v>
      </c>
      <c r="F34" s="46">
        <f t="shared" si="23"/>
        <v>16.190476190476193</v>
      </c>
      <c r="G34" s="46">
        <f t="shared" si="23"/>
        <v>17.142857142857142</v>
      </c>
      <c r="H34" s="46"/>
      <c r="I34" s="46">
        <f>I15*0.8/0.84</f>
        <v>17.142857142857142</v>
      </c>
      <c r="J34" s="46"/>
      <c r="K34" s="43">
        <f>K15</f>
        <v>19</v>
      </c>
      <c r="L34" s="46"/>
      <c r="M34" s="46"/>
      <c r="N34" s="46">
        <f>N15*0.8/0.84</f>
        <v>15.238095238095239</v>
      </c>
      <c r="O34" s="46"/>
      <c r="P34" s="41"/>
      <c r="Q34" s="46"/>
      <c r="R34" s="46">
        <f>R15*0.8/0.84</f>
        <v>15.238095238095239</v>
      </c>
      <c r="S34" s="46"/>
      <c r="T34" s="46">
        <f>T15*0.8/0.84</f>
        <v>18.095238095238098</v>
      </c>
      <c r="U34" s="46"/>
      <c r="V34" s="44">
        <f t="shared" ref="V34:V36" si="24">MEDIAN(D34:U34)</f>
        <v>17.142857142857142</v>
      </c>
      <c r="BA34" s="164" t="s">
        <v>17</v>
      </c>
      <c r="BB34" s="165" t="s">
        <v>6</v>
      </c>
      <c r="BX34" s="164" t="s">
        <v>17</v>
      </c>
      <c r="BY34" s="165" t="s">
        <v>6</v>
      </c>
      <c r="CT34" s="164" t="s">
        <v>17</v>
      </c>
      <c r="CU34" s="165" t="s">
        <v>6</v>
      </c>
    </row>
    <row r="35" spans="1:99" x14ac:dyDescent="0.25">
      <c r="A35" s="41" t="s">
        <v>18</v>
      </c>
      <c r="B35" s="41"/>
      <c r="C35" s="42" t="s">
        <v>55</v>
      </c>
      <c r="D35" s="43">
        <v>44</v>
      </c>
      <c r="E35" s="46">
        <f t="shared" si="23"/>
        <v>40</v>
      </c>
      <c r="F35" s="46">
        <f t="shared" si="23"/>
        <v>43.809523809523817</v>
      </c>
      <c r="G35" s="46">
        <f t="shared" si="23"/>
        <v>44.761904761904766</v>
      </c>
      <c r="H35" s="46"/>
      <c r="I35" s="46">
        <f>I16*0.8/0.84</f>
        <v>45.714285714285722</v>
      </c>
      <c r="J35" s="46"/>
      <c r="K35" s="43">
        <f>K16</f>
        <v>46</v>
      </c>
      <c r="L35" s="46"/>
      <c r="M35" s="46"/>
      <c r="N35" s="46">
        <f>N16*0.8/0.84</f>
        <v>40.952380952380949</v>
      </c>
      <c r="O35" s="46"/>
      <c r="P35" s="41"/>
      <c r="Q35" s="46"/>
      <c r="R35" s="46">
        <f>R16*0.8/0.84</f>
        <v>43.809523809523817</v>
      </c>
      <c r="S35" s="46"/>
      <c r="T35" s="46">
        <f>T16*0.8/0.84</f>
        <v>41.904761904761912</v>
      </c>
      <c r="U35" s="46"/>
      <c r="V35" s="44">
        <f t="shared" si="24"/>
        <v>43.809523809523817</v>
      </c>
      <c r="BA35" s="164" t="s">
        <v>18</v>
      </c>
      <c r="BB35" s="165" t="s">
        <v>55</v>
      </c>
      <c r="BX35" s="164" t="s">
        <v>18</v>
      </c>
      <c r="BY35" s="165" t="s">
        <v>55</v>
      </c>
      <c r="CT35" s="164" t="s">
        <v>18</v>
      </c>
      <c r="CU35" s="165" t="s">
        <v>55</v>
      </c>
    </row>
    <row r="36" spans="1:99" x14ac:dyDescent="0.25">
      <c r="A36" s="41" t="s">
        <v>20</v>
      </c>
      <c r="B36" s="41"/>
      <c r="C36" s="42" t="s">
        <v>6</v>
      </c>
      <c r="D36" s="43">
        <v>253</v>
      </c>
      <c r="E36" s="46">
        <f t="shared" si="23"/>
        <v>214.28571428571431</v>
      </c>
      <c r="F36" s="46">
        <f t="shared" si="23"/>
        <v>220.95238095238099</v>
      </c>
      <c r="G36" s="46">
        <f t="shared" si="23"/>
        <v>215.23809523809527</v>
      </c>
      <c r="H36" s="46"/>
      <c r="I36" s="46">
        <f>I17*0.8/0.84</f>
        <v>228.57142857142858</v>
      </c>
      <c r="J36" s="46"/>
      <c r="K36" s="43">
        <f>K17</f>
        <v>275</v>
      </c>
      <c r="L36" s="46"/>
      <c r="M36" s="46"/>
      <c r="N36" s="46">
        <f>N17*0.8/0.84</f>
        <v>257.14285714285717</v>
      </c>
      <c r="O36" s="46"/>
      <c r="P36" s="41"/>
      <c r="Q36" s="46"/>
      <c r="R36" s="46">
        <f>R17*0.8/0.84</f>
        <v>282.85714285714289</v>
      </c>
      <c r="S36" s="46"/>
      <c r="T36" s="46">
        <f>T17*0.8/0.84</f>
        <v>256.1904761904762</v>
      </c>
      <c r="U36" s="46"/>
      <c r="V36" s="44">
        <f t="shared" si="24"/>
        <v>253</v>
      </c>
      <c r="BA36" s="164" t="s">
        <v>20</v>
      </c>
      <c r="BB36" s="165" t="s">
        <v>6</v>
      </c>
      <c r="BX36" s="164" t="s">
        <v>20</v>
      </c>
      <c r="BY36" s="165" t="s">
        <v>6</v>
      </c>
      <c r="CT36" s="164" t="s">
        <v>20</v>
      </c>
      <c r="CU36" s="165" t="s">
        <v>6</v>
      </c>
    </row>
    <row r="37" spans="1:99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99" ht="15.75" thickBot="1" x14ac:dyDescent="0.3">
      <c r="A38" s="73"/>
      <c r="B38" s="73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93"/>
    </row>
    <row r="39" spans="1:99" ht="15.75" thickBot="1" x14ac:dyDescent="0.3">
      <c r="A39" s="59" t="s">
        <v>81</v>
      </c>
      <c r="B39" s="56" t="s">
        <v>122</v>
      </c>
      <c r="C39" s="57" t="s">
        <v>53</v>
      </c>
      <c r="D39" s="57" t="s">
        <v>2</v>
      </c>
      <c r="E39" s="57" t="s">
        <v>41</v>
      </c>
      <c r="F39" s="57" t="s">
        <v>42</v>
      </c>
      <c r="G39" s="57" t="s">
        <v>43</v>
      </c>
      <c r="H39" s="57" t="s">
        <v>44</v>
      </c>
      <c r="I39" s="57" t="s">
        <v>45</v>
      </c>
      <c r="J39" s="57" t="s">
        <v>46</v>
      </c>
      <c r="K39" s="57" t="s">
        <v>82</v>
      </c>
      <c r="L39" s="57" t="s">
        <v>47</v>
      </c>
      <c r="M39" s="57" t="s">
        <v>48</v>
      </c>
      <c r="N39" s="57" t="s">
        <v>49</v>
      </c>
      <c r="O39" s="57" t="s">
        <v>105</v>
      </c>
      <c r="P39" s="57" t="s">
        <v>50</v>
      </c>
      <c r="Q39" s="57" t="s">
        <v>51</v>
      </c>
      <c r="R39" s="57" t="s">
        <v>52</v>
      </c>
      <c r="S39" s="57" t="s">
        <v>103</v>
      </c>
      <c r="T39" s="57" t="s">
        <v>21</v>
      </c>
      <c r="U39" s="58" t="s">
        <v>114</v>
      </c>
      <c r="V39" s="94"/>
    </row>
    <row r="40" spans="1:99" x14ac:dyDescent="0.25">
      <c r="A40" s="19" t="s">
        <v>57</v>
      </c>
      <c r="B40" s="88"/>
      <c r="C40" s="47"/>
      <c r="D40" s="89"/>
      <c r="E40" s="90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91"/>
      <c r="R40" s="91"/>
      <c r="S40" s="91"/>
      <c r="T40" s="91"/>
      <c r="U40" s="92"/>
      <c r="V40" s="95"/>
    </row>
    <row r="41" spans="1:99" ht="25.5" x14ac:dyDescent="0.25">
      <c r="A41" s="19" t="s">
        <v>58</v>
      </c>
      <c r="B41" s="37"/>
      <c r="C41" s="42"/>
      <c r="D41" s="48"/>
      <c r="E41" s="49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50"/>
      <c r="R41" s="50"/>
      <c r="S41" s="50"/>
      <c r="T41" s="50"/>
      <c r="U41" s="77"/>
      <c r="V41" s="96"/>
    </row>
    <row r="42" spans="1:99" ht="25.5" x14ac:dyDescent="0.25">
      <c r="A42" s="19" t="s">
        <v>59</v>
      </c>
      <c r="B42" s="37"/>
      <c r="C42" s="42"/>
      <c r="D42" s="48"/>
      <c r="E42" s="4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50"/>
      <c r="R42" s="50"/>
      <c r="S42" s="50"/>
      <c r="T42" s="50"/>
      <c r="U42" s="77"/>
      <c r="V42" s="96"/>
    </row>
    <row r="43" spans="1:99" ht="38.25" x14ac:dyDescent="0.25">
      <c r="A43" s="86" t="s">
        <v>63</v>
      </c>
      <c r="B43" s="84"/>
      <c r="C43" s="42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0"/>
      <c r="Q43" s="50"/>
      <c r="R43" s="50"/>
      <c r="S43" s="50"/>
      <c r="T43" s="50"/>
      <c r="U43" s="78"/>
      <c r="V43" s="96"/>
    </row>
    <row r="44" spans="1:99" ht="38.25" x14ac:dyDescent="0.25">
      <c r="A44" s="19" t="s">
        <v>60</v>
      </c>
      <c r="B44" s="37"/>
      <c r="C44" s="42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50"/>
      <c r="R44" s="50"/>
      <c r="S44" s="50"/>
      <c r="T44" s="50"/>
      <c r="U44" s="77"/>
      <c r="V44" s="96"/>
    </row>
    <row r="45" spans="1:99" x14ac:dyDescent="0.25">
      <c r="A45" s="19" t="s">
        <v>61</v>
      </c>
      <c r="B45" s="37"/>
      <c r="C45" s="42"/>
      <c r="D45" s="40"/>
      <c r="E45" s="40"/>
      <c r="F45" s="48"/>
      <c r="G45" s="48"/>
      <c r="H45" s="40"/>
      <c r="I45" s="40"/>
      <c r="J45" s="40"/>
      <c r="K45" s="48"/>
      <c r="L45" s="48"/>
      <c r="M45" s="48"/>
      <c r="N45" s="40"/>
      <c r="O45" s="48"/>
      <c r="P45" s="40"/>
      <c r="Q45" s="41"/>
      <c r="R45" s="50"/>
      <c r="S45" s="50"/>
      <c r="T45" s="52"/>
      <c r="U45" s="77"/>
      <c r="V45" s="96"/>
    </row>
    <row r="46" spans="1:99" ht="15.75" thickBot="1" x14ac:dyDescent="0.3">
      <c r="A46" s="87" t="s">
        <v>62</v>
      </c>
      <c r="B46" s="85"/>
      <c r="C46" s="55"/>
      <c r="D46" s="79"/>
      <c r="E46" s="80"/>
      <c r="F46" s="79"/>
      <c r="G46" s="79"/>
      <c r="H46" s="79"/>
      <c r="I46" s="80"/>
      <c r="J46" s="80"/>
      <c r="K46" s="79"/>
      <c r="L46" s="79"/>
      <c r="M46" s="79"/>
      <c r="N46" s="80"/>
      <c r="O46" s="80"/>
      <c r="P46" s="79"/>
      <c r="Q46" s="81"/>
      <c r="R46" s="81"/>
      <c r="S46" s="81"/>
      <c r="T46" s="82"/>
      <c r="U46" s="83"/>
      <c r="V46" s="97"/>
    </row>
    <row r="47" spans="1:99" s="53" customFormat="1" ht="15.75" thickBot="1" x14ac:dyDescent="0.3">
      <c r="A47" s="160" t="s">
        <v>118</v>
      </c>
      <c r="B47" s="39"/>
      <c r="C47" s="51"/>
      <c r="D47" s="76">
        <v>1</v>
      </c>
      <c r="E47" s="74">
        <v>1.02</v>
      </c>
      <c r="F47" s="74">
        <v>0.95</v>
      </c>
      <c r="G47" s="74">
        <v>0.95</v>
      </c>
      <c r="H47" s="74">
        <v>1</v>
      </c>
      <c r="I47" s="74">
        <v>1.02</v>
      </c>
      <c r="J47" s="74">
        <v>1.02</v>
      </c>
      <c r="K47" s="74">
        <v>0.95</v>
      </c>
      <c r="L47" s="74">
        <v>0.95</v>
      </c>
      <c r="M47" s="74">
        <v>0.95</v>
      </c>
      <c r="N47" s="74">
        <v>1.02</v>
      </c>
      <c r="O47" s="74">
        <v>1</v>
      </c>
      <c r="P47" s="74">
        <v>1.01</v>
      </c>
      <c r="Q47" s="74">
        <v>1</v>
      </c>
      <c r="R47" s="74">
        <v>0.95</v>
      </c>
      <c r="S47" s="74">
        <v>0.95</v>
      </c>
      <c r="T47" s="74">
        <v>1.02</v>
      </c>
      <c r="U47" s="161">
        <v>1</v>
      </c>
      <c r="V47" s="75"/>
    </row>
    <row r="48" spans="1:99" ht="15.75" thickBot="1" x14ac:dyDescent="0.3">
      <c r="A48" s="34"/>
      <c r="B48" s="34"/>
      <c r="C48" s="34"/>
      <c r="D48" s="56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250"/>
      <c r="V48" s="94"/>
    </row>
    <row r="49" spans="1:22" ht="15.75" thickBot="1" x14ac:dyDescent="0.3">
      <c r="A49" s="301" t="s">
        <v>84</v>
      </c>
      <c r="B49" s="302"/>
      <c r="C49" s="303"/>
      <c r="D49" s="149" t="s">
        <v>2</v>
      </c>
      <c r="E49" s="149" t="s">
        <v>41</v>
      </c>
      <c r="F49" s="149" t="s">
        <v>42</v>
      </c>
      <c r="G49" s="149" t="s">
        <v>43</v>
      </c>
      <c r="H49" s="149" t="s">
        <v>44</v>
      </c>
      <c r="I49" s="149" t="s">
        <v>45</v>
      </c>
      <c r="J49" s="149" t="s">
        <v>46</v>
      </c>
      <c r="K49" s="149" t="s">
        <v>82</v>
      </c>
      <c r="L49" s="149" t="s">
        <v>47</v>
      </c>
      <c r="M49" s="149" t="s">
        <v>48</v>
      </c>
      <c r="N49" s="149" t="s">
        <v>49</v>
      </c>
      <c r="O49" s="149" t="s">
        <v>105</v>
      </c>
      <c r="P49" s="149" t="s">
        <v>50</v>
      </c>
      <c r="Q49" s="149" t="s">
        <v>51</v>
      </c>
      <c r="R49" s="149" t="s">
        <v>52</v>
      </c>
      <c r="S49" s="149" t="s">
        <v>103</v>
      </c>
      <c r="T49" s="149" t="s">
        <v>21</v>
      </c>
      <c r="U49" s="149" t="s">
        <v>114</v>
      </c>
      <c r="V49" s="247"/>
    </row>
    <row r="50" spans="1:22" s="11" customFormat="1" ht="15" customHeight="1" x14ac:dyDescent="0.2">
      <c r="A50" s="304" t="s">
        <v>83</v>
      </c>
      <c r="B50" s="305"/>
      <c r="C50" s="306"/>
      <c r="D50" s="123" t="s">
        <v>64</v>
      </c>
      <c r="E50" s="123"/>
      <c r="F50" s="150" t="s">
        <v>64</v>
      </c>
      <c r="G50" s="150" t="s">
        <v>64</v>
      </c>
      <c r="H50" s="123" t="s">
        <v>64</v>
      </c>
      <c r="I50" s="123" t="s">
        <v>64</v>
      </c>
      <c r="J50" s="123" t="s">
        <v>64</v>
      </c>
      <c r="K50" s="150" t="s">
        <v>64</v>
      </c>
      <c r="L50" s="151"/>
      <c r="M50" s="150"/>
      <c r="N50" s="123" t="s">
        <v>64</v>
      </c>
      <c r="O50" s="123" t="s">
        <v>64</v>
      </c>
      <c r="P50" s="123" t="s">
        <v>64</v>
      </c>
      <c r="Q50" s="123" t="s">
        <v>64</v>
      </c>
      <c r="R50" s="150" t="s">
        <v>64</v>
      </c>
      <c r="S50" s="123" t="s">
        <v>64</v>
      </c>
      <c r="T50" s="152" t="s">
        <v>64</v>
      </c>
      <c r="U50" s="153" t="s">
        <v>64</v>
      </c>
      <c r="V50" s="246"/>
    </row>
    <row r="51" spans="1:22" s="11" customFormat="1" ht="15" customHeight="1" x14ac:dyDescent="0.2">
      <c r="A51" s="289" t="s">
        <v>65</v>
      </c>
      <c r="B51" s="290"/>
      <c r="C51" s="291"/>
      <c r="D51" s="124" t="s">
        <v>64</v>
      </c>
      <c r="E51" s="124" t="s">
        <v>64</v>
      </c>
      <c r="F51" s="154" t="s">
        <v>64</v>
      </c>
      <c r="G51" s="154" t="s">
        <v>64</v>
      </c>
      <c r="H51" s="124" t="s">
        <v>64</v>
      </c>
      <c r="I51" s="124" t="s">
        <v>64</v>
      </c>
      <c r="J51" s="124" t="s">
        <v>64</v>
      </c>
      <c r="K51" s="154" t="s">
        <v>64</v>
      </c>
      <c r="L51" s="155"/>
      <c r="M51" s="154" t="s">
        <v>64</v>
      </c>
      <c r="N51" s="124" t="s">
        <v>64</v>
      </c>
      <c r="O51" s="124" t="s">
        <v>64</v>
      </c>
      <c r="P51" s="124"/>
      <c r="Q51" s="124" t="s">
        <v>64</v>
      </c>
      <c r="R51" s="154" t="s">
        <v>64</v>
      </c>
      <c r="S51" s="124" t="s">
        <v>64</v>
      </c>
      <c r="T51" s="124" t="s">
        <v>64</v>
      </c>
      <c r="U51" s="154" t="s">
        <v>64</v>
      </c>
      <c r="V51" s="245"/>
    </row>
    <row r="52" spans="1:22" s="11" customFormat="1" ht="15" customHeight="1" x14ac:dyDescent="0.2">
      <c r="A52" s="289" t="s">
        <v>128</v>
      </c>
      <c r="B52" s="290"/>
      <c r="C52" s="291"/>
      <c r="D52" s="124" t="s">
        <v>64</v>
      </c>
      <c r="E52" s="124" t="s">
        <v>64</v>
      </c>
      <c r="F52" s="154"/>
      <c r="G52" s="154"/>
      <c r="H52" s="124"/>
      <c r="I52" s="124"/>
      <c r="J52" s="124" t="s">
        <v>64</v>
      </c>
      <c r="K52" s="154" t="s">
        <v>64</v>
      </c>
      <c r="L52" s="155"/>
      <c r="M52" s="154" t="s">
        <v>64</v>
      </c>
      <c r="N52" s="124"/>
      <c r="O52" s="124" t="s">
        <v>64</v>
      </c>
      <c r="P52" s="124"/>
      <c r="Q52" s="124" t="s">
        <v>64</v>
      </c>
      <c r="R52" s="154" t="s">
        <v>64</v>
      </c>
      <c r="S52" s="124"/>
      <c r="T52" s="124"/>
      <c r="U52" s="154"/>
      <c r="V52" s="245"/>
    </row>
    <row r="53" spans="1:22" s="11" customFormat="1" ht="27" customHeight="1" x14ac:dyDescent="0.2">
      <c r="A53" s="289" t="s">
        <v>67</v>
      </c>
      <c r="B53" s="290"/>
      <c r="C53" s="291"/>
      <c r="D53" s="124" t="s">
        <v>64</v>
      </c>
      <c r="E53" s="124" t="s">
        <v>64</v>
      </c>
      <c r="F53" s="154" t="s">
        <v>64</v>
      </c>
      <c r="G53" s="154" t="s">
        <v>64</v>
      </c>
      <c r="H53" s="124" t="s">
        <v>64</v>
      </c>
      <c r="I53" s="124" t="s">
        <v>64</v>
      </c>
      <c r="J53" s="124" t="s">
        <v>64</v>
      </c>
      <c r="K53" s="154" t="s">
        <v>64</v>
      </c>
      <c r="L53" s="124" t="s">
        <v>64</v>
      </c>
      <c r="M53" s="154" t="s">
        <v>64</v>
      </c>
      <c r="N53" s="124" t="s">
        <v>64</v>
      </c>
      <c r="O53" s="124" t="s">
        <v>64</v>
      </c>
      <c r="P53" s="124"/>
      <c r="Q53" s="124" t="s">
        <v>64</v>
      </c>
      <c r="R53" s="154" t="s">
        <v>64</v>
      </c>
      <c r="S53" s="124" t="s">
        <v>64</v>
      </c>
      <c r="T53" s="124" t="s">
        <v>64</v>
      </c>
      <c r="U53" s="154" t="s">
        <v>64</v>
      </c>
      <c r="V53" s="245"/>
    </row>
    <row r="54" spans="1:22" s="11" customFormat="1" ht="15" customHeight="1" x14ac:dyDescent="0.2">
      <c r="A54" s="289" t="s">
        <v>68</v>
      </c>
      <c r="B54" s="290"/>
      <c r="C54" s="291"/>
      <c r="D54" s="124" t="s">
        <v>64</v>
      </c>
      <c r="E54" s="124"/>
      <c r="F54" s="154" t="s">
        <v>64</v>
      </c>
      <c r="G54" s="154" t="s">
        <v>64</v>
      </c>
      <c r="H54" s="124" t="s">
        <v>64</v>
      </c>
      <c r="I54" s="124" t="s">
        <v>64</v>
      </c>
      <c r="J54" s="124" t="s">
        <v>64</v>
      </c>
      <c r="K54" s="154" t="s">
        <v>64</v>
      </c>
      <c r="L54" s="124"/>
      <c r="M54" s="154" t="s">
        <v>64</v>
      </c>
      <c r="N54" s="124" t="s">
        <v>64</v>
      </c>
      <c r="O54" s="124" t="s">
        <v>64</v>
      </c>
      <c r="P54" s="124" t="s">
        <v>64</v>
      </c>
      <c r="Q54" s="124" t="s">
        <v>64</v>
      </c>
      <c r="R54" s="154" t="s">
        <v>64</v>
      </c>
      <c r="S54" s="124" t="s">
        <v>64</v>
      </c>
      <c r="T54" s="124" t="s">
        <v>64</v>
      </c>
      <c r="U54" s="154" t="s">
        <v>64</v>
      </c>
      <c r="V54" s="245"/>
    </row>
    <row r="55" spans="1:22" s="11" customFormat="1" ht="27.4" customHeight="1" x14ac:dyDescent="0.2">
      <c r="A55" s="289" t="s">
        <v>69</v>
      </c>
      <c r="B55" s="290"/>
      <c r="C55" s="291"/>
      <c r="D55" s="124" t="s">
        <v>64</v>
      </c>
      <c r="E55" s="124" t="s">
        <v>64</v>
      </c>
      <c r="F55" s="154" t="s">
        <v>64</v>
      </c>
      <c r="G55" s="154" t="s">
        <v>64</v>
      </c>
      <c r="H55" s="124"/>
      <c r="I55" s="124" t="s">
        <v>64</v>
      </c>
      <c r="J55" s="124"/>
      <c r="K55" s="154" t="s">
        <v>64</v>
      </c>
      <c r="L55" s="124" t="s">
        <v>64</v>
      </c>
      <c r="M55" s="154"/>
      <c r="N55" s="124"/>
      <c r="O55" s="124" t="s">
        <v>64</v>
      </c>
      <c r="P55" s="124" t="s">
        <v>64</v>
      </c>
      <c r="Q55" s="124" t="s">
        <v>64</v>
      </c>
      <c r="R55" s="154"/>
      <c r="S55" s="124"/>
      <c r="T55" s="124"/>
      <c r="U55" s="154"/>
      <c r="V55" s="245"/>
    </row>
    <row r="56" spans="1:22" s="11" customFormat="1" ht="27" customHeight="1" x14ac:dyDescent="0.2">
      <c r="A56" s="289" t="s">
        <v>70</v>
      </c>
      <c r="B56" s="290"/>
      <c r="C56" s="291"/>
      <c r="D56" s="124" t="s">
        <v>64</v>
      </c>
      <c r="E56" s="124" t="s">
        <v>64</v>
      </c>
      <c r="F56" s="154" t="s">
        <v>64</v>
      </c>
      <c r="G56" s="154" t="s">
        <v>64</v>
      </c>
      <c r="H56" s="124"/>
      <c r="I56" s="124"/>
      <c r="J56" s="124"/>
      <c r="K56" s="154" t="s">
        <v>64</v>
      </c>
      <c r="L56" s="124" t="s">
        <v>64</v>
      </c>
      <c r="M56" s="154" t="s">
        <v>64</v>
      </c>
      <c r="N56" s="124"/>
      <c r="O56" s="124"/>
      <c r="P56" s="124" t="s">
        <v>64</v>
      </c>
      <c r="Q56" s="124"/>
      <c r="R56" s="154" t="s">
        <v>64</v>
      </c>
      <c r="S56" s="124"/>
      <c r="T56" s="124"/>
      <c r="U56" s="154"/>
      <c r="V56" s="245"/>
    </row>
    <row r="57" spans="1:22" s="11" customFormat="1" ht="15" customHeight="1" x14ac:dyDescent="0.2">
      <c r="A57" s="289" t="s">
        <v>71</v>
      </c>
      <c r="B57" s="290"/>
      <c r="C57" s="291"/>
      <c r="D57" s="124" t="s">
        <v>64</v>
      </c>
      <c r="E57" s="124"/>
      <c r="F57" s="154"/>
      <c r="G57" s="154"/>
      <c r="H57" s="124"/>
      <c r="I57" s="124"/>
      <c r="J57" s="124"/>
      <c r="K57" s="154"/>
      <c r="L57" s="124"/>
      <c r="M57" s="154"/>
      <c r="N57" s="124"/>
      <c r="O57" s="124" t="s">
        <v>64</v>
      </c>
      <c r="P57" s="124"/>
      <c r="Q57" s="124" t="s">
        <v>64</v>
      </c>
      <c r="R57" s="154"/>
      <c r="S57" s="124" t="s">
        <v>64</v>
      </c>
      <c r="T57" s="124" t="s">
        <v>64</v>
      </c>
      <c r="U57" s="154" t="s">
        <v>64</v>
      </c>
      <c r="V57" s="245"/>
    </row>
    <row r="58" spans="1:22" s="11" customFormat="1" ht="15" customHeight="1" x14ac:dyDescent="0.2">
      <c r="A58" s="289" t="s">
        <v>72</v>
      </c>
      <c r="B58" s="290"/>
      <c r="C58" s="291"/>
      <c r="D58" s="124" t="s">
        <v>64</v>
      </c>
      <c r="E58" s="124" t="s">
        <v>64</v>
      </c>
      <c r="F58" s="154"/>
      <c r="G58" s="154"/>
      <c r="H58" s="124"/>
      <c r="I58" s="124" t="s">
        <v>64</v>
      </c>
      <c r="J58" s="124" t="s">
        <v>64</v>
      </c>
      <c r="K58" s="154"/>
      <c r="L58" s="124"/>
      <c r="M58" s="154" t="s">
        <v>64</v>
      </c>
      <c r="N58" s="124" t="s">
        <v>64</v>
      </c>
      <c r="O58" s="124" t="s">
        <v>64</v>
      </c>
      <c r="P58" s="124"/>
      <c r="Q58" s="124" t="s">
        <v>64</v>
      </c>
      <c r="R58" s="154" t="s">
        <v>64</v>
      </c>
      <c r="S58" s="124" t="s">
        <v>64</v>
      </c>
      <c r="T58" s="124" t="s">
        <v>64</v>
      </c>
      <c r="U58" s="154" t="s">
        <v>64</v>
      </c>
      <c r="V58" s="245"/>
    </row>
    <row r="59" spans="1:22" s="11" customFormat="1" ht="15" customHeight="1" x14ac:dyDescent="0.2">
      <c r="A59" s="289" t="s">
        <v>73</v>
      </c>
      <c r="B59" s="290"/>
      <c r="C59" s="291"/>
      <c r="D59" s="124" t="s">
        <v>64</v>
      </c>
      <c r="E59" s="124" t="s">
        <v>64</v>
      </c>
      <c r="F59" s="154"/>
      <c r="G59" s="154"/>
      <c r="H59" s="124"/>
      <c r="I59" s="124"/>
      <c r="J59" s="124"/>
      <c r="K59" s="154"/>
      <c r="L59" s="124" t="s">
        <v>64</v>
      </c>
      <c r="M59" s="154"/>
      <c r="N59" s="124"/>
      <c r="O59" s="124"/>
      <c r="P59" s="124" t="s">
        <v>64</v>
      </c>
      <c r="Q59" s="124"/>
      <c r="R59" s="154"/>
      <c r="S59" s="124"/>
      <c r="T59" s="124" t="s">
        <v>64</v>
      </c>
      <c r="U59" s="154"/>
      <c r="V59" s="245"/>
    </row>
    <row r="60" spans="1:22" s="11" customFormat="1" ht="15" customHeight="1" x14ac:dyDescent="0.2">
      <c r="A60" s="295" t="s">
        <v>74</v>
      </c>
      <c r="B60" s="296"/>
      <c r="C60" s="297"/>
      <c r="D60" s="124" t="s">
        <v>64</v>
      </c>
      <c r="E60" s="124" t="s">
        <v>64</v>
      </c>
      <c r="F60" s="154"/>
      <c r="G60" s="154"/>
      <c r="H60" s="124"/>
      <c r="I60" s="124"/>
      <c r="J60" s="124"/>
      <c r="K60" s="154"/>
      <c r="L60" s="124"/>
      <c r="M60" s="154" t="s">
        <v>64</v>
      </c>
      <c r="N60" s="124" t="s">
        <v>64</v>
      </c>
      <c r="O60" s="124" t="s">
        <v>64</v>
      </c>
      <c r="P60" s="124" t="s">
        <v>64</v>
      </c>
      <c r="Q60" s="124" t="s">
        <v>64</v>
      </c>
      <c r="R60" s="154" t="s">
        <v>64</v>
      </c>
      <c r="S60" s="124" t="s">
        <v>64</v>
      </c>
      <c r="T60" s="124" t="s">
        <v>64</v>
      </c>
      <c r="U60" s="154" t="s">
        <v>64</v>
      </c>
      <c r="V60" s="245"/>
    </row>
    <row r="61" spans="1:22" s="11" customFormat="1" ht="15" customHeight="1" x14ac:dyDescent="0.2">
      <c r="A61" s="295" t="s">
        <v>75</v>
      </c>
      <c r="B61" s="296"/>
      <c r="C61" s="297"/>
      <c r="D61" s="124" t="s">
        <v>64</v>
      </c>
      <c r="E61" s="124" t="s">
        <v>64</v>
      </c>
      <c r="F61" s="154" t="s">
        <v>64</v>
      </c>
      <c r="G61" s="154" t="s">
        <v>64</v>
      </c>
      <c r="H61" s="124" t="s">
        <v>64</v>
      </c>
      <c r="I61" s="124" t="s">
        <v>64</v>
      </c>
      <c r="J61" s="124" t="s">
        <v>64</v>
      </c>
      <c r="K61" s="154"/>
      <c r="L61" s="124"/>
      <c r="M61" s="154" t="s">
        <v>64</v>
      </c>
      <c r="N61" s="124"/>
      <c r="O61" s="124" t="s">
        <v>64</v>
      </c>
      <c r="P61" s="124" t="s">
        <v>64</v>
      </c>
      <c r="Q61" s="124" t="s">
        <v>64</v>
      </c>
      <c r="R61" s="154" t="s">
        <v>64</v>
      </c>
      <c r="S61" s="124" t="s">
        <v>64</v>
      </c>
      <c r="T61" s="124" t="s">
        <v>64</v>
      </c>
      <c r="U61" s="154" t="s">
        <v>64</v>
      </c>
      <c r="V61" s="245"/>
    </row>
    <row r="62" spans="1:22" s="11" customFormat="1" ht="15" customHeight="1" x14ac:dyDescent="0.2">
      <c r="A62" s="295" t="s">
        <v>76</v>
      </c>
      <c r="B62" s="296"/>
      <c r="C62" s="297"/>
      <c r="D62" s="124" t="s">
        <v>64</v>
      </c>
      <c r="E62" s="124" t="s">
        <v>64</v>
      </c>
      <c r="F62" s="154"/>
      <c r="G62" s="154"/>
      <c r="H62" s="124"/>
      <c r="I62" s="124"/>
      <c r="J62" s="124"/>
      <c r="K62" s="154" t="s">
        <v>64</v>
      </c>
      <c r="L62" s="124"/>
      <c r="M62" s="154"/>
      <c r="N62" s="124"/>
      <c r="O62" s="124"/>
      <c r="P62" s="124"/>
      <c r="Q62" s="124"/>
      <c r="R62" s="154"/>
      <c r="S62" s="124"/>
      <c r="T62" s="124"/>
      <c r="U62" s="154" t="s">
        <v>64</v>
      </c>
      <c r="V62" s="245"/>
    </row>
    <row r="63" spans="1:22" s="11" customFormat="1" ht="15" customHeight="1" x14ac:dyDescent="0.2">
      <c r="A63" s="295" t="s">
        <v>127</v>
      </c>
      <c r="B63" s="296"/>
      <c r="C63" s="297"/>
      <c r="D63" s="124" t="s">
        <v>64</v>
      </c>
      <c r="E63" s="124" t="s">
        <v>64</v>
      </c>
      <c r="F63" s="154"/>
      <c r="G63" s="154"/>
      <c r="H63" s="124"/>
      <c r="I63" s="124" t="s">
        <v>64</v>
      </c>
      <c r="J63" s="124" t="s">
        <v>64</v>
      </c>
      <c r="K63" s="154" t="s">
        <v>64</v>
      </c>
      <c r="L63" s="124"/>
      <c r="M63" s="154" t="s">
        <v>64</v>
      </c>
      <c r="N63" s="124"/>
      <c r="O63" s="124" t="s">
        <v>64</v>
      </c>
      <c r="P63" s="124"/>
      <c r="Q63" s="124" t="s">
        <v>64</v>
      </c>
      <c r="R63" s="154" t="s">
        <v>64</v>
      </c>
      <c r="S63" s="124" t="s">
        <v>64</v>
      </c>
      <c r="T63" s="124"/>
      <c r="U63" s="154" t="s">
        <v>64</v>
      </c>
      <c r="V63" s="245"/>
    </row>
    <row r="64" spans="1:22" s="11" customFormat="1" ht="27.4" customHeight="1" thickBot="1" x14ac:dyDescent="0.25">
      <c r="A64" s="295" t="s">
        <v>78</v>
      </c>
      <c r="B64" s="296"/>
      <c r="C64" s="297"/>
      <c r="D64" s="124" t="s">
        <v>64</v>
      </c>
      <c r="E64" s="124" t="s">
        <v>64</v>
      </c>
      <c r="F64" s="154" t="s">
        <v>64</v>
      </c>
      <c r="G64" s="154" t="s">
        <v>64</v>
      </c>
      <c r="H64" s="124" t="s">
        <v>64</v>
      </c>
      <c r="I64" s="124" t="s">
        <v>64</v>
      </c>
      <c r="J64" s="124" t="s">
        <v>64</v>
      </c>
      <c r="K64" s="155"/>
      <c r="L64" s="124" t="s">
        <v>64</v>
      </c>
      <c r="M64" s="154" t="s">
        <v>64</v>
      </c>
      <c r="N64" s="124" t="s">
        <v>64</v>
      </c>
      <c r="O64" s="124" t="s">
        <v>64</v>
      </c>
      <c r="P64" s="124" t="s">
        <v>64</v>
      </c>
      <c r="Q64" s="124" t="s">
        <v>64</v>
      </c>
      <c r="R64" s="154" t="s">
        <v>64</v>
      </c>
      <c r="S64" s="124" t="s">
        <v>64</v>
      </c>
      <c r="T64" s="124" t="s">
        <v>64</v>
      </c>
      <c r="U64" s="154" t="s">
        <v>64</v>
      </c>
      <c r="V64" s="244"/>
    </row>
    <row r="65" spans="1:24" s="11" customFormat="1" ht="15" customHeight="1" thickBot="1" x14ac:dyDescent="0.25">
      <c r="A65" s="295" t="s">
        <v>129</v>
      </c>
      <c r="B65" s="296"/>
      <c r="C65" s="297"/>
      <c r="D65" s="124"/>
      <c r="E65" s="124"/>
      <c r="F65" s="154"/>
      <c r="G65" s="154"/>
      <c r="H65" s="124"/>
      <c r="I65" s="124"/>
      <c r="J65" s="124"/>
      <c r="K65" s="155"/>
      <c r="L65" s="124" t="s">
        <v>64</v>
      </c>
      <c r="M65" s="154"/>
      <c r="N65" s="124"/>
      <c r="O65" s="124"/>
      <c r="P65" s="124"/>
      <c r="Q65" s="124"/>
      <c r="R65" s="154"/>
      <c r="S65" s="124"/>
      <c r="T65" s="124" t="s">
        <v>64</v>
      </c>
      <c r="U65" s="154"/>
      <c r="V65" s="244"/>
    </row>
    <row r="66" spans="1:24" s="11" customFormat="1" ht="15" customHeight="1" thickBot="1" x14ac:dyDescent="0.25">
      <c r="A66" s="298" t="s">
        <v>126</v>
      </c>
      <c r="B66" s="299"/>
      <c r="C66" s="300"/>
      <c r="D66" s="187"/>
      <c r="E66" s="187"/>
      <c r="F66" s="248"/>
      <c r="G66" s="248"/>
      <c r="H66" s="187"/>
      <c r="I66" s="187"/>
      <c r="J66" s="187"/>
      <c r="K66" s="186"/>
      <c r="L66" s="187"/>
      <c r="M66" s="248" t="s">
        <v>64</v>
      </c>
      <c r="N66" s="187"/>
      <c r="O66" s="187" t="s">
        <v>64</v>
      </c>
      <c r="P66" s="187"/>
      <c r="Q66" s="187" t="s">
        <v>64</v>
      </c>
      <c r="R66" s="248"/>
      <c r="S66" s="187"/>
      <c r="T66" s="187"/>
      <c r="U66" s="248"/>
      <c r="V66" s="244"/>
    </row>
    <row r="67" spans="1:24" s="98" customFormat="1" ht="15.75" thickBot="1" x14ac:dyDescent="0.3">
      <c r="A67" s="292" t="s">
        <v>106</v>
      </c>
      <c r="B67" s="293"/>
      <c r="C67" s="294"/>
      <c r="D67" s="175" t="s">
        <v>107</v>
      </c>
      <c r="E67" s="175" t="s">
        <v>107</v>
      </c>
      <c r="F67" s="249" t="s">
        <v>108</v>
      </c>
      <c r="G67" s="249" t="s">
        <v>108</v>
      </c>
      <c r="H67" s="171" t="s">
        <v>109</v>
      </c>
      <c r="I67" s="249" t="s">
        <v>108</v>
      </c>
      <c r="J67" s="249" t="s">
        <v>108</v>
      </c>
      <c r="K67" s="249" t="s">
        <v>108</v>
      </c>
      <c r="L67" s="171" t="s">
        <v>109</v>
      </c>
      <c r="M67" s="175" t="s">
        <v>107</v>
      </c>
      <c r="N67" s="249" t="s">
        <v>108</v>
      </c>
      <c r="O67" s="175" t="s">
        <v>107</v>
      </c>
      <c r="P67" s="249" t="s">
        <v>108</v>
      </c>
      <c r="Q67" s="175" t="s">
        <v>107</v>
      </c>
      <c r="R67" s="175" t="s">
        <v>107</v>
      </c>
      <c r="S67" s="175" t="s">
        <v>107</v>
      </c>
      <c r="T67" s="175" t="s">
        <v>107</v>
      </c>
      <c r="U67" s="175" t="s">
        <v>107</v>
      </c>
      <c r="V67" s="72"/>
    </row>
    <row r="68" spans="1:24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4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</row>
    <row r="70" spans="1:24" x14ac:dyDescent="0.25">
      <c r="A70" s="288" t="s">
        <v>115</v>
      </c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N70" s="288"/>
      <c r="O70" s="288"/>
      <c r="P70" s="288"/>
      <c r="Q70" s="288"/>
      <c r="R70" s="288"/>
      <c r="S70" s="288"/>
      <c r="T70" s="288"/>
      <c r="U70" s="288"/>
      <c r="V70" s="288"/>
    </row>
    <row r="71" spans="1:24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</row>
    <row r="72" spans="1:24" x14ac:dyDescent="0.25">
      <c r="A72" s="40" t="s">
        <v>80</v>
      </c>
      <c r="B72" s="40" t="s">
        <v>85</v>
      </c>
      <c r="C72" s="40" t="s">
        <v>53</v>
      </c>
      <c r="D72" s="40" t="s">
        <v>2</v>
      </c>
      <c r="E72" s="40" t="s">
        <v>41</v>
      </c>
      <c r="F72" s="40" t="s">
        <v>42</v>
      </c>
      <c r="G72" s="40" t="s">
        <v>43</v>
      </c>
      <c r="H72" s="40" t="s">
        <v>44</v>
      </c>
      <c r="I72" s="40" t="s">
        <v>45</v>
      </c>
      <c r="J72" s="40" t="s">
        <v>46</v>
      </c>
      <c r="K72" s="40" t="s">
        <v>82</v>
      </c>
      <c r="L72" s="40" t="s">
        <v>47</v>
      </c>
      <c r="M72" s="40" t="s">
        <v>48</v>
      </c>
      <c r="N72" s="40" t="s">
        <v>49</v>
      </c>
      <c r="O72" s="40" t="s">
        <v>105</v>
      </c>
      <c r="P72" s="40" t="s">
        <v>50</v>
      </c>
      <c r="Q72" s="40" t="s">
        <v>51</v>
      </c>
      <c r="R72" s="40" t="s">
        <v>52</v>
      </c>
      <c r="S72" s="40" t="s">
        <v>103</v>
      </c>
      <c r="T72" s="40" t="s">
        <v>21</v>
      </c>
      <c r="U72" s="40" t="s">
        <v>114</v>
      </c>
      <c r="V72" s="40" t="s">
        <v>1</v>
      </c>
    </row>
    <row r="73" spans="1:24" x14ac:dyDescent="0.25">
      <c r="A73" s="41" t="s">
        <v>5</v>
      </c>
      <c r="B73" s="41">
        <v>0.6</v>
      </c>
      <c r="C73" s="42" t="s">
        <v>6</v>
      </c>
      <c r="D73" s="43">
        <v>7434</v>
      </c>
      <c r="E73" s="13">
        <f>E25*B73*'Wage Adjustors'!D$12+((1-B73)*E25)</f>
        <v>7334.7357194591041</v>
      </c>
      <c r="F73" s="13">
        <f>F25*B73*'Wage Adjustors'!D$5+((1-B73)*F25)</f>
        <v>6710.9152706012301</v>
      </c>
      <c r="G73" s="13">
        <f>G25*B73*'Wage Adjustors'!D$6+((1-B73)*G25)</f>
        <v>7155.3021123301141</v>
      </c>
      <c r="H73" s="13">
        <f>H25*B73*'Wage Adjustors'!D$7+((1-B73)*H25)</f>
        <v>6196.8347204071806</v>
      </c>
      <c r="I73" s="13">
        <f>I25*B73*'Wage Adjustors'!D$9+((1-B73)*I25)</f>
        <v>5451.403993855607</v>
      </c>
      <c r="J73" s="13">
        <f>J25*B73*'Wage Adjustors'!D$10+((1-B73)*J25)</f>
        <v>8862.6635400450614</v>
      </c>
      <c r="K73" s="13">
        <f>K25*B73*'Wage Adjustors'!D$11+((1-B73)*K25)</f>
        <v>6401.8595536825978</v>
      </c>
      <c r="L73" s="13">
        <f>L25*B73*'Wage Adjustors'!D$13+((1-B73)*L25)</f>
        <v>6191.451191324195</v>
      </c>
      <c r="M73" s="13">
        <f>M25*B73*'Wage Adjustors'!D$15+((1-B73)*M25)</f>
        <v>8212.1784470262446</v>
      </c>
      <c r="N73" s="13">
        <f>N25*B73*'Wage Adjustors'!D$16+((1-B73)*N25)</f>
        <v>8005.8543260558563</v>
      </c>
      <c r="O73" s="13">
        <f>O25*B73*'Wage Adjustors'!D$17+((1-B73)*O25)</f>
        <v>7960.225147036519</v>
      </c>
      <c r="P73" s="13">
        <f>P25*B73*'Wage Adjustors'!D$18+((1-B73)*P25)</f>
        <v>7368.1893929398084</v>
      </c>
      <c r="Q73" s="13">
        <f>Q25*B73*'Wage Adjustors'!D$19+((1-B73)*Q25)</f>
        <v>7834.9016096271871</v>
      </c>
      <c r="R73" s="13">
        <f>R25*B73*'Wage Adjustors'!D$20+((1-B73)*R25)</f>
        <v>6403.2388392857156</v>
      </c>
      <c r="S73" s="13">
        <f>S25*B73*'Wage Adjustors'!D$22+((1-B73)*S25)</f>
        <v>8449.2614804569821</v>
      </c>
      <c r="T73" s="13">
        <f>T25*B73*'Wage Adjustors'!D$8+((1-B73)*T25)</f>
        <v>7965.0676923730989</v>
      </c>
      <c r="U73" s="13">
        <f>U25*B73*'Wage Adjustors'!D$14+((1-B73)*U25)</f>
        <v>6772.7809672255999</v>
      </c>
      <c r="V73" s="13">
        <f>MEDIAN(D73:U73)</f>
        <v>7351.4625561994562</v>
      </c>
      <c r="W73" s="43">
        <v>7434</v>
      </c>
      <c r="X73" s="44"/>
    </row>
    <row r="74" spans="1:24" x14ac:dyDescent="0.25">
      <c r="A74" s="41" t="s">
        <v>54</v>
      </c>
      <c r="B74" s="41">
        <v>0.5</v>
      </c>
      <c r="C74" s="42" t="s">
        <v>19</v>
      </c>
      <c r="D74" s="43">
        <v>96</v>
      </c>
      <c r="E74" s="13">
        <f>E26*B74*'Wage Adjustors'!D$12+((1-B74)*E26)</f>
        <v>83.541144353445887</v>
      </c>
      <c r="F74" s="13">
        <f>F26*B74*'Wage Adjustors'!D$5+((1-B74)*F26)</f>
        <v>92.792380112839624</v>
      </c>
      <c r="G74" s="13">
        <f>G26*B74*'Wage Adjustors'!D$6+((1-B74)*G26)</f>
        <v>97.85668800569735</v>
      </c>
      <c r="H74" s="13">
        <f>H26*B74*'Wage Adjustors'!D$7+((1-B74)*H26)</f>
        <v>89.047733681821313</v>
      </c>
      <c r="I74" s="13">
        <f>I26*B74*'Wage Adjustors'!D$9+((1-B74)*I26)</f>
        <v>110.23041474654379</v>
      </c>
      <c r="J74" s="233">
        <f>J26*B74*'Wage Adjustors'!D$10+((1-B74)*J26)</f>
        <v>105.56657192340091</v>
      </c>
      <c r="K74" s="13">
        <f>K26*B74*'Wage Adjustors'!D$11+((1-B74)*K26)</f>
        <v>83.987357532803372</v>
      </c>
      <c r="L74" s="13">
        <f>L26*B74*'Wage Adjustors'!D$13+((1-B74)*L26)</f>
        <v>110.83974989541287</v>
      </c>
      <c r="M74" s="13">
        <f>M26*B74*'Wage Adjustors'!D$15+((1-B74)*M26)</f>
        <v>109.52943467255145</v>
      </c>
      <c r="N74" s="13">
        <f>N26*B74*'Wage Adjustors'!D$16+((1-B74)*N26)</f>
        <v>101.64001067443573</v>
      </c>
      <c r="O74" s="13">
        <f>O26*B74*'Wage Adjustors'!D$17+((1-B74)*O26)</f>
        <v>96.430565620137401</v>
      </c>
      <c r="P74" s="13">
        <f>P26*B74*'Wage Adjustors'!D$18+((1-B74)*P26)</f>
        <v>92.827928794265972</v>
      </c>
      <c r="Q74" s="13">
        <f>Q26*B74*'Wage Adjustors'!D$19+((1-B74)*Q26)</f>
        <v>96.060575175389445</v>
      </c>
      <c r="R74" s="13">
        <f>R26*B74*'Wage Adjustors'!D$20+((1-B74)*R26)</f>
        <v>86.542224702380963</v>
      </c>
      <c r="S74" s="13">
        <f>S26*B74*'Wage Adjustors'!D$22+((1-B74)*S26)</f>
        <v>104.31160819524227</v>
      </c>
      <c r="T74" s="13">
        <f>T26*B74*'Wage Adjustors'!D$8+((1-B74)*T26)</f>
        <v>94.167368707227297</v>
      </c>
      <c r="U74" s="13">
        <f>U26*B74*'Wage Adjustors'!D$14+((1-B74)*U26)</f>
        <v>91.445005421523447</v>
      </c>
      <c r="V74" s="13">
        <f t="shared" ref="V74:V84" si="25">MEDIAN(D74:U74)</f>
        <v>96.030287587694716</v>
      </c>
      <c r="W74" s="43">
        <v>96</v>
      </c>
      <c r="X74" s="44"/>
    </row>
    <row r="75" spans="1:24" x14ac:dyDescent="0.25">
      <c r="A75" s="41" t="s">
        <v>9</v>
      </c>
      <c r="B75" s="41">
        <v>0.4</v>
      </c>
      <c r="C75" s="42" t="s">
        <v>6</v>
      </c>
      <c r="D75" s="43">
        <v>21062</v>
      </c>
      <c r="E75" s="13">
        <f>E27*B75*'Wage Adjustors'!D$12+((1-B75)*E27)</f>
        <v>30842.897574874845</v>
      </c>
      <c r="F75" s="13">
        <f>F27*B75*'Wage Adjustors'!D$5+((1-B75)*F27)</f>
        <v>24018.813177126176</v>
      </c>
      <c r="G75" s="13">
        <f>G27*B75*'Wage Adjustors'!D$6+((1-B75)*G27)</f>
        <v>21655.653023722451</v>
      </c>
      <c r="H75" s="13">
        <f>H27*B75*'Wage Adjustors'!D$7+((1-B75)*H27)</f>
        <v>20538.951774664823</v>
      </c>
      <c r="I75" s="13">
        <f>I27*B75*'Wage Adjustors'!D$9+((1-B75)*I27)</f>
        <v>23522.930875576043</v>
      </c>
      <c r="J75" s="233">
        <f>J27*B75*'Wage Adjustors'!D$10+((1-B75)*J27)</f>
        <v>24273.310549908183</v>
      </c>
      <c r="K75" s="13">
        <f>K27*B75*'Wage Adjustors'!D$11+((1-B75)*K27)</f>
        <v>20947.747572071639</v>
      </c>
      <c r="L75" s="13">
        <f>L27*B75*'Wage Adjustors'!D$13+((1-B75)*L27)</f>
        <v>24436.150191971908</v>
      </c>
      <c r="M75" s="13">
        <f>M27*B75*'Wage Adjustors'!D$15+((1-B75)*M27)</f>
        <v>17956.120551264579</v>
      </c>
      <c r="N75" s="13">
        <f>N27*B75*'Wage Adjustors'!D$16+((1-B75)*N27)</f>
        <v>19026.554006080758</v>
      </c>
      <c r="O75" s="13">
        <f>O27*B75*'Wage Adjustors'!D$17+((1-B75)*O27)</f>
        <v>22036.250313172342</v>
      </c>
      <c r="P75" s="13">
        <f>P27*B75*'Wage Adjustors'!D$18+((1-B75)*P27)</f>
        <v>22608.216692198454</v>
      </c>
      <c r="Q75" s="13">
        <f>Q27*B75*'Wage Adjustors'!D$19+((1-B75)*Q27)</f>
        <v>26281.099924044429</v>
      </c>
      <c r="R75" s="13">
        <f>R27*B75*'Wage Adjustors'!D$20+((1-B75)*R27)</f>
        <v>20198.921875</v>
      </c>
      <c r="S75" s="13">
        <f>S27*B75*'Wage Adjustors'!D$22+((1-B75)*S27)</f>
        <v>23757.724949324955</v>
      </c>
      <c r="T75" s="13">
        <f>T27*B75*'Wage Adjustors'!D$8+((1-B75)*T27)</f>
        <v>20060.29213837639</v>
      </c>
      <c r="U75" s="13">
        <f>U27*B75*'Wage Adjustors'!D$14+((1-B75)*U27)</f>
        <v>22501.167447624211</v>
      </c>
      <c r="V75" s="13">
        <f t="shared" si="25"/>
        <v>22268.708880398277</v>
      </c>
      <c r="W75" s="43">
        <v>21062</v>
      </c>
      <c r="X75" s="44"/>
    </row>
    <row r="76" spans="1:24" x14ac:dyDescent="0.25">
      <c r="A76" s="41" t="s">
        <v>10</v>
      </c>
      <c r="B76" s="41">
        <v>0.5</v>
      </c>
      <c r="C76" s="42" t="s">
        <v>6</v>
      </c>
      <c r="D76" s="43">
        <v>11761</v>
      </c>
      <c r="E76" s="13">
        <f>E28*B76*'Wage Adjustors'!D$12+((1-B76)*E28)</f>
        <v>8085.9033929466832</v>
      </c>
      <c r="F76" s="13">
        <f>F28*B76*'Wage Adjustors'!D$5+((1-B76)*F28)</f>
        <v>9497.2442055249703</v>
      </c>
      <c r="G76" s="13">
        <f>G28*B76*'Wage Adjustors'!D$6+((1-B76)*G28)</f>
        <v>8654.7568494129828</v>
      </c>
      <c r="H76" s="13">
        <f>H28*B76*'Wage Adjustors'!D$7+((1-B76)*H28)</f>
        <v>9342.3165534335494</v>
      </c>
      <c r="I76" s="13">
        <f>I28*B76*'Wage Adjustors'!D$9+((1-B76)*I28)</f>
        <v>9078.1105990783417</v>
      </c>
      <c r="J76" s="233">
        <f>J28*B76*'Wage Adjustors'!D$10+((1-B76)*J28)</f>
        <v>10627.397678680514</v>
      </c>
      <c r="K76" s="13">
        <f>K28*B76*'Wage Adjustors'!D$11+((1-B76)*K28)</f>
        <v>11002.343836797241</v>
      </c>
      <c r="L76" s="13">
        <f>L28*B76*'Wage Adjustors'!D$13+((1-B76)*L28)</f>
        <v>8718.6547267731767</v>
      </c>
      <c r="M76" s="13">
        <f>M28*B76*'Wage Adjustors'!D$15+((1-B76)*M28)</f>
        <v>11029.407412215227</v>
      </c>
      <c r="N76" s="13">
        <f>N28*B76*'Wage Adjustors'!D$16+((1-B76)*N28)</f>
        <v>13114.672805900405</v>
      </c>
      <c r="O76" s="13">
        <f>O28*B76*'Wage Adjustors'!D$17+((1-B76)*O28)</f>
        <v>7846.7808130684152</v>
      </c>
      <c r="P76" s="13">
        <f>P28*B76*'Wage Adjustors'!D$18+((1-B76)*P28)</f>
        <v>11659.750450067651</v>
      </c>
      <c r="Q76" s="13">
        <f>Q28*B76*'Wage Adjustors'!D$19+((1-B76)*Q28)</f>
        <v>13664.379044998219</v>
      </c>
      <c r="R76" s="13">
        <f>R28*B76*'Wage Adjustors'!D$20+((1-B76)*R28)</f>
        <v>7522.4518229166679</v>
      </c>
      <c r="S76" s="13">
        <f>S28*B76*'Wage Adjustors'!D$22+((1-B76)*S28)</f>
        <v>8940.1184200275275</v>
      </c>
      <c r="T76" s="13">
        <f>T28*B76*'Wage Adjustors'!D$8+((1-B76)*T28)</f>
        <v>11132.220674563087</v>
      </c>
      <c r="U76" s="13">
        <f>U28*B76*'Wage Adjustors'!D$14+((1-B76)*U28)</f>
        <v>8026.2587615691427</v>
      </c>
      <c r="V76" s="13">
        <f t="shared" si="25"/>
        <v>9419.7803794792599</v>
      </c>
      <c r="W76" s="43">
        <v>11761</v>
      </c>
      <c r="X76" s="44"/>
    </row>
    <row r="77" spans="1:24" x14ac:dyDescent="0.25">
      <c r="A77" s="41" t="s">
        <v>11</v>
      </c>
      <c r="B77" s="41">
        <v>0.5</v>
      </c>
      <c r="C77" s="42" t="s">
        <v>6</v>
      </c>
      <c r="D77" s="43">
        <v>21454</v>
      </c>
      <c r="E77" s="13">
        <f>E29*B77*'Wage Adjustors'!D$12+((1-B77)*E29)</f>
        <v>22718.794361802888</v>
      </c>
      <c r="F77" s="13">
        <f>F29*B77*'Wage Adjustors'!D$5+((1-B77)*F29)</f>
        <v>21410.444235433635</v>
      </c>
      <c r="G77" s="13">
        <f>G29*B77*'Wage Adjustors'!D$6+((1-B77)*G29)</f>
        <v>22112.275465832863</v>
      </c>
      <c r="H77" s="13">
        <f>H29*B77*'Wage Adjustors'!D$7+((1-B77)*H29)</f>
        <v>21484.689621528814</v>
      </c>
      <c r="I77" s="13">
        <f>I29*B77*'Wage Adjustors'!D$9+((1-B77)*I29)</f>
        <v>21674.05529953917</v>
      </c>
      <c r="J77" s="233">
        <f>J29*B77*'Wage Adjustors'!D$10+((1-B77)*J29)</f>
        <v>22064.501847165258</v>
      </c>
      <c r="K77" s="13">
        <f>K29*B77*'Wage Adjustors'!D$11+((1-B77)*K29)</f>
        <v>19575.178383296618</v>
      </c>
      <c r="L77" s="13">
        <f>L29*B77*'Wage Adjustors'!D$13+((1-B77)*L29)</f>
        <v>21750.08412197687</v>
      </c>
      <c r="M77" s="13">
        <f>M29*B77*'Wage Adjustors'!D$15+((1-B77)*M29)</f>
        <v>23534.362302849353</v>
      </c>
      <c r="N77" s="13">
        <f>N29*B77*'Wage Adjustors'!D$16+((1-B77)*N29)</f>
        <v>23800.356785275013</v>
      </c>
      <c r="O77" s="13">
        <f>O29*B77*'Wage Adjustors'!D$17+((1-B77)*O29)</f>
        <v>23415.187875315281</v>
      </c>
      <c r="P77" s="13">
        <f>P29*B77*'Wage Adjustors'!D$18+((1-B77)*P29)</f>
        <v>21589.525863514889</v>
      </c>
      <c r="Q77" s="13">
        <f>Q29*B77*'Wage Adjustors'!D$19+((1-B77)*Q29)</f>
        <v>24576.289728040225</v>
      </c>
      <c r="R77" s="13">
        <f>R29*B77*'Wage Adjustors'!D$20+((1-B77)*R29)</f>
        <v>19117.429501488099</v>
      </c>
      <c r="S77" s="13">
        <f>S29*B77*'Wage Adjustors'!D$22+((1-B77)*S29)</f>
        <v>18740.296276253084</v>
      </c>
      <c r="T77" s="13">
        <f>T29*B77*'Wage Adjustors'!D$8+((1-B77)*T29)</f>
        <v>23137.536626379049</v>
      </c>
      <c r="U77" s="13">
        <f>U29*B77*'Wage Adjustors'!D$14+((1-B77)*U29)</f>
        <v>20035.165235449018</v>
      </c>
      <c r="V77" s="13">
        <f t="shared" si="25"/>
        <v>21712.06971075802</v>
      </c>
      <c r="W77" s="43">
        <v>21454</v>
      </c>
      <c r="X77" s="44"/>
    </row>
    <row r="78" spans="1:24" x14ac:dyDescent="0.25">
      <c r="A78" s="41" t="s">
        <v>12</v>
      </c>
      <c r="B78" s="41">
        <v>0.4</v>
      </c>
      <c r="C78" s="42" t="s">
        <v>6</v>
      </c>
      <c r="D78" s="43">
        <v>88943</v>
      </c>
      <c r="E78" s="13">
        <f>E30*B78*'Wage Adjustors'!D$12+((1-B78)*E30)</f>
        <v>91902.826580072113</v>
      </c>
      <c r="F78" s="13">
        <f>F30*B78*'Wage Adjustors'!D$5+((1-B78)*F30)</f>
        <v>91241.113976920489</v>
      </c>
      <c r="G78" s="13">
        <f>G30*B78*'Wage Adjustors'!D$6+((1-B78)*G30)</f>
        <v>90461.225104680809</v>
      </c>
      <c r="H78" s="13">
        <f>H30*B78*'Wage Adjustors'!D$7+((1-B78)*H30)</f>
        <v>81032.349119736697</v>
      </c>
      <c r="I78" s="13">
        <f>I30*B78*'Wage Adjustors'!D$9+((1-B78)*I30)</f>
        <v>89266.267281106004</v>
      </c>
      <c r="J78" s="233">
        <f>J30*B78*'Wage Adjustors'!D$10+((1-B78)*J30)</f>
        <v>81362.014706632122</v>
      </c>
      <c r="K78" s="13">
        <f>K30*B78*'Wage Adjustors'!D$11+((1-B78)*K30)</f>
        <v>83208.758452255526</v>
      </c>
      <c r="L78" s="13">
        <f>L30*B78*'Wage Adjustors'!D$13+((1-B78)*L30)</f>
        <v>82459.21521690322</v>
      </c>
      <c r="M78" s="13">
        <f>M30*B78*'Wage Adjustors'!D$15+((1-B78)*M30)</f>
        <v>97636.786915038625</v>
      </c>
      <c r="N78" s="13">
        <f>N30*B78*'Wage Adjustors'!D$16+((1-B78)*N30)</f>
        <v>92159.934728863882</v>
      </c>
      <c r="O78" s="13">
        <f>O30*B78*'Wage Adjustors'!D$17+((1-B78)*O30)</f>
        <v>95092.694360650959</v>
      </c>
      <c r="P78" s="13">
        <f>P30*B78*'Wage Adjustors'!D$18+((1-B78)*P30)</f>
        <v>86176.308215272118</v>
      </c>
      <c r="Q78" s="13">
        <f>Q30*B78*'Wage Adjustors'!D$19+((1-B78)*Q30)</f>
        <v>93950.770063312491</v>
      </c>
      <c r="R78" s="13">
        <f>R30*B78*'Wage Adjustors'!D$20+((1-B78)*R30)</f>
        <v>85878.414285714302</v>
      </c>
      <c r="S78" s="13">
        <f>S30*B78*'Wage Adjustors'!D$22+((1-B78)*S30)</f>
        <v>97476.770440565073</v>
      </c>
      <c r="T78" s="13">
        <f>T30*B78*'Wage Adjustors'!D$8+((1-B78)*T30)</f>
        <v>96473.099027436081</v>
      </c>
      <c r="U78" s="13">
        <f>U30*B78*'Wage Adjustors'!D$14+((1-B78)*U30)</f>
        <v>84280.455123985084</v>
      </c>
      <c r="V78" s="13">
        <f t="shared" si="25"/>
        <v>89863.746192893406</v>
      </c>
      <c r="W78" s="43">
        <v>88943</v>
      </c>
      <c r="X78" s="44"/>
    </row>
    <row r="79" spans="1:24" x14ac:dyDescent="0.25">
      <c r="A79" s="41" t="s">
        <v>13</v>
      </c>
      <c r="B79" s="41">
        <v>0.4</v>
      </c>
      <c r="C79" s="42" t="s">
        <v>6</v>
      </c>
      <c r="D79" s="43">
        <v>85242</v>
      </c>
      <c r="E79" s="13">
        <f>E31*B79*'Wage Adjustors'!D$12+((1-B79)*E31)</f>
        <v>83547.246086132945</v>
      </c>
      <c r="F79" s="13">
        <f>F31*B79*'Wage Adjustors'!D$5+((1-B79)*F31)</f>
        <v>89512.931077590678</v>
      </c>
      <c r="G79" s="13">
        <f>G31*B79*'Wage Adjustors'!D$6+((1-B79)*G31)</f>
        <v>83987.210928910616</v>
      </c>
      <c r="H79" s="13">
        <f>H31*B79*'Wage Adjustors'!D$7+((1-B79)*H31)</f>
        <v>80006.257498987397</v>
      </c>
      <c r="I79" s="13">
        <f>I31*B79*'Wage Adjustors'!D$9+((1-B79)*I31)</f>
        <v>88938.132104454678</v>
      </c>
      <c r="J79" s="233">
        <f>J31*B79*'Wage Adjustors'!D$10+((1-B79)*J31)</f>
        <v>88882.231181700961</v>
      </c>
      <c r="K79" s="13">
        <f>K31*B79*'Wage Adjustors'!D$11+((1-B79)*K31)</f>
        <v>80599.06397854611</v>
      </c>
      <c r="L79" s="13">
        <f>L31*B79*'Wage Adjustors'!D$13+((1-B79)*L31)</f>
        <v>88868.520645258221</v>
      </c>
      <c r="M79" s="13">
        <f>M31*B79*'Wage Adjustors'!D$15+((1-B79)*M31)</f>
        <v>94331.16825685295</v>
      </c>
      <c r="N79" s="13">
        <f>N31*B79*'Wage Adjustors'!D$16+((1-B79)*N31)</f>
        <v>91281.550653837854</v>
      </c>
      <c r="O79" s="13">
        <f>O31*B79*'Wage Adjustors'!D$17+((1-B79)*O31)</f>
        <v>91686.090070049482</v>
      </c>
      <c r="P79" s="13">
        <f>P31*B79*'Wage Adjustors'!D$18+((1-B79)*P31)</f>
        <v>83387.692287909114</v>
      </c>
      <c r="Q79" s="13">
        <f>Q31*B79*'Wage Adjustors'!D$19+((1-B79)*Q31)</f>
        <v>88144.668603169761</v>
      </c>
      <c r="R79" s="13">
        <f>R31*B79*'Wage Adjustors'!D$20+((1-B79)*R31)</f>
        <v>79995.14940476192</v>
      </c>
      <c r="S79" s="13">
        <f>S31*B79*'Wage Adjustors'!D$22+((1-B79)*S31)</f>
        <v>87697.322293307385</v>
      </c>
      <c r="T79" s="13">
        <f>T31*B79*'Wage Adjustors'!D$8+((1-B79)*T31)</f>
        <v>93408.794779279589</v>
      </c>
      <c r="U79" s="13">
        <f>U31*B79*'Wage Adjustors'!D$14+((1-B79)*U31)</f>
        <v>81132.669377428392</v>
      </c>
      <c r="V79" s="13">
        <f t="shared" si="25"/>
        <v>87920.995448238566</v>
      </c>
      <c r="W79" s="43">
        <v>85242</v>
      </c>
      <c r="X79" s="44"/>
    </row>
    <row r="80" spans="1:24" x14ac:dyDescent="0.25">
      <c r="A80" s="41"/>
      <c r="B80" s="41"/>
      <c r="C80" s="42"/>
      <c r="D80" s="4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43"/>
      <c r="X80" s="45"/>
    </row>
    <row r="81" spans="1:26" x14ac:dyDescent="0.25">
      <c r="A81" s="41" t="s">
        <v>15</v>
      </c>
      <c r="B81" s="41">
        <v>0.7</v>
      </c>
      <c r="C81" s="42" t="s">
        <v>55</v>
      </c>
      <c r="D81" s="43">
        <v>2111</v>
      </c>
      <c r="E81" s="13">
        <f>E33*B81*'Wage Adjustors'!D$12+((1-B81)*E33)</f>
        <v>4950.2936892624348</v>
      </c>
      <c r="F81" s="13">
        <f>F33*B81*'Wage Adjustors'!D$5+((1-B81)*F33)</f>
        <v>2987.7878059242767</v>
      </c>
      <c r="G81" s="13">
        <f>G33*B81*'Wage Adjustors'!D$6+((1-B81)*G33)</f>
        <v>3330.0314549268214</v>
      </c>
      <c r="H81" s="13">
        <f>H33*B81*'Wage Adjustors'!D$7+((1-B81)*H33)</f>
        <v>4603.6233960764539</v>
      </c>
      <c r="I81" s="13">
        <f>I33*B81*'Wage Adjustors'!D$9+((1-B81)*I33)</f>
        <v>4300.2795698924738</v>
      </c>
      <c r="J81" s="13">
        <f>J33*B81*'Wage Adjustors'!D$10+((1-B81)*J33)</f>
        <v>4418.7778343922755</v>
      </c>
      <c r="K81" s="13">
        <f>K33*B81*'Wage Adjustors'!D$11+((1-B81)*K33)</f>
        <v>2834.0665070395553</v>
      </c>
      <c r="L81" s="13">
        <f>L33*B81*'Wage Adjustors'!D$13+((1-B81)*L33)</f>
        <v>5370.4784873550525</v>
      </c>
      <c r="M81" s="13">
        <f>M33*B81*'Wage Adjustors'!D$15+((1-B81)*M33)</f>
        <v>3706.3751974210863</v>
      </c>
      <c r="N81" s="13">
        <f>N33*B81*'Wage Adjustors'!D$16+((1-B81)*N33)</f>
        <v>4795.0808731826019</v>
      </c>
      <c r="O81" s="13">
        <f>O33*B81*'Wage Adjustors'!D$17+((1-B81)*O33)</f>
        <v>4464.7523101726238</v>
      </c>
      <c r="P81" s="13">
        <f>P33*B81*'Wage Adjustors'!D$18+((1-B81)*P33)</f>
        <v>3436.3839664098587</v>
      </c>
      <c r="Q81" s="13">
        <f>Q33*B81*'Wage Adjustors'!D$19+((1-B81)*Q33)</f>
        <v>3593.1937012689195</v>
      </c>
      <c r="R81" s="13">
        <f>R33*B81*'Wage Adjustors'!D$20+((1-B81)*R33)</f>
        <v>3452.6130580357149</v>
      </c>
      <c r="S81" s="13">
        <f>S33*B81*'Wage Adjustors'!D$22+((1-B81)*S33)</f>
        <v>5035.3165538118901</v>
      </c>
      <c r="T81" s="13">
        <f>T33*B81*'Wage Adjustors'!D$8+((1-B81)*T33)</f>
        <v>3441.1878951425506</v>
      </c>
      <c r="U81" s="13">
        <f>U33*B81*'Wage Adjustors'!D$14+((1-B81)*U33)</f>
        <v>3991.2146584440229</v>
      </c>
      <c r="V81" s="13">
        <f t="shared" si="25"/>
        <v>3848.7949279325549</v>
      </c>
      <c r="W81" s="43"/>
      <c r="X81" s="44"/>
    </row>
    <row r="82" spans="1:26" x14ac:dyDescent="0.25">
      <c r="A82" s="41" t="s">
        <v>17</v>
      </c>
      <c r="B82" s="41">
        <v>0.7</v>
      </c>
      <c r="C82" s="42" t="s">
        <v>6</v>
      </c>
      <c r="D82" s="43">
        <v>18</v>
      </c>
      <c r="E82" s="13">
        <f>E34*B82*'Wage Adjustors'!D$12+((1-B82)*E34)</f>
        <v>18.527414977356479</v>
      </c>
      <c r="F82" s="13">
        <f>F34*B82*'Wage Adjustors'!D$5+((1-B82)*F34)</f>
        <v>20.131745026045461</v>
      </c>
      <c r="G82" s="13">
        <f>G34*B82*'Wage Adjustors'!D$6+((1-B82)*G34)</f>
        <v>21.165454162670471</v>
      </c>
      <c r="H82" s="13"/>
      <c r="I82" s="13">
        <f>I34*B82*'Wage Adjustors'!D$9+((1-B82)*I34)</f>
        <v>19.852534562211979</v>
      </c>
      <c r="J82" s="13"/>
      <c r="K82" s="13">
        <f>K34*B82*'Wage Adjustors'!D$11+((1-B82)*K34)</f>
        <v>15.6714969830476</v>
      </c>
      <c r="L82" s="13"/>
      <c r="M82" s="13"/>
      <c r="N82" s="13">
        <f>N34*B82*'Wage Adjustors'!D$16+((1-B82)*N34)</f>
        <v>17.136764344632926</v>
      </c>
      <c r="O82" s="13"/>
      <c r="P82" s="13"/>
      <c r="Q82" s="13"/>
      <c r="R82" s="13">
        <f>R34*B82*'Wage Adjustors'!D$20+((1-B82)*R34)</f>
        <v>12.725595238095238</v>
      </c>
      <c r="S82" s="13"/>
      <c r="T82" s="13">
        <f>T34*B82*'Wage Adjustors'!D$8+((1-B82)*T34)</f>
        <v>19.988557018559607</v>
      </c>
      <c r="U82" s="13"/>
      <c r="V82" s="13">
        <f t="shared" si="25"/>
        <v>18.527414977356479</v>
      </c>
      <c r="W82" s="43"/>
      <c r="X82" s="44"/>
    </row>
    <row r="83" spans="1:26" x14ac:dyDescent="0.25">
      <c r="A83" s="41" t="s">
        <v>18</v>
      </c>
      <c r="B83" s="41">
        <v>0.7</v>
      </c>
      <c r="C83" s="42" t="s">
        <v>55</v>
      </c>
      <c r="D83" s="43">
        <v>44</v>
      </c>
      <c r="E83" s="13">
        <f>E35*B83*'Wage Adjustors'!D$12+((1-B83)*E35)</f>
        <v>48.634464315560756</v>
      </c>
      <c r="F83" s="13">
        <f>F35*B83*'Wage Adjustors'!D$5+((1-B83)*F35)</f>
        <v>54.474133599887722</v>
      </c>
      <c r="G83" s="13">
        <f>G35*B83*'Wage Adjustors'!D$6+((1-B83)*G35)</f>
        <v>55.265352535861794</v>
      </c>
      <c r="H83" s="13"/>
      <c r="I83" s="13">
        <f>I35*B83*'Wage Adjustors'!D$9+((1-B83)*I35)</f>
        <v>52.940092165898633</v>
      </c>
      <c r="J83" s="13"/>
      <c r="K83" s="13">
        <f>K35*B83*'Wage Adjustors'!D$11+((1-B83)*K35)</f>
        <v>37.941519011588923</v>
      </c>
      <c r="L83" s="13"/>
      <c r="M83" s="13"/>
      <c r="N83" s="13">
        <f>N35*B83*'Wage Adjustors'!D$16+((1-B83)*N35)</f>
        <v>46.055054176200983</v>
      </c>
      <c r="O83" s="13"/>
      <c r="P83" s="13"/>
      <c r="Q83" s="13"/>
      <c r="R83" s="13">
        <f>R35*B83*'Wage Adjustors'!D$20+((1-B83)*R35)</f>
        <v>36.586086309523822</v>
      </c>
      <c r="S83" s="13"/>
      <c r="T83" s="13">
        <f>T35*B83*'Wage Adjustors'!D$8+((1-B83)*T35)</f>
        <v>46.289289937716987</v>
      </c>
      <c r="U83" s="13"/>
      <c r="V83" s="13">
        <f t="shared" si="25"/>
        <v>46.289289937716987</v>
      </c>
      <c r="W83" s="43"/>
      <c r="X83" s="44"/>
    </row>
    <row r="84" spans="1:26" x14ac:dyDescent="0.25">
      <c r="A84" s="41" t="s">
        <v>20</v>
      </c>
      <c r="B84" s="41">
        <v>0.7</v>
      </c>
      <c r="C84" s="42" t="s">
        <v>6</v>
      </c>
      <c r="D84" s="43">
        <v>253</v>
      </c>
      <c r="E84" s="13">
        <f>E36*B84*'Wage Adjustors'!D$12+((1-B84)*E36)</f>
        <v>260.54177311907551</v>
      </c>
      <c r="F84" s="13">
        <f>F36*B84*'Wage Adjustors'!D$5+((1-B84)*F36)</f>
        <v>274.73910859073806</v>
      </c>
      <c r="G84" s="13">
        <f>G36*B84*'Wage Adjustors'!D$6+((1-B84)*G36)</f>
        <v>265.74403559797372</v>
      </c>
      <c r="H84" s="13"/>
      <c r="I84" s="13">
        <f>I36*B84*'Wage Adjustors'!D$9+((1-B84)*I36)</f>
        <v>264.70046082949307</v>
      </c>
      <c r="J84" s="13"/>
      <c r="K84" s="13">
        <f>K36*B84*'Wage Adjustors'!D$11+((1-B84)*K36)</f>
        <v>226.82429843884688</v>
      </c>
      <c r="L84" s="13"/>
      <c r="M84" s="13"/>
      <c r="N84" s="13">
        <f>N36*B84*'Wage Adjustors'!D$16+((1-B84)*N36)</f>
        <v>289.18289831568063</v>
      </c>
      <c r="O84" s="13"/>
      <c r="P84" s="13"/>
      <c r="Q84" s="13"/>
      <c r="R84" s="13">
        <f>R36*B84*'Wage Adjustors'!D$20+((1-B84)*R36)</f>
        <v>236.21886160714291</v>
      </c>
      <c r="S84" s="13"/>
      <c r="T84" s="13">
        <f>T36*B84*'Wage Adjustors'!D$8+((1-B84)*T36)</f>
        <v>282.99588621013334</v>
      </c>
      <c r="U84" s="13"/>
      <c r="V84" s="13">
        <f t="shared" si="25"/>
        <v>264.70046082949307</v>
      </c>
      <c r="W84" s="43"/>
      <c r="X84" s="44"/>
    </row>
    <row r="85" spans="1:26" x14ac:dyDescent="0.25">
      <c r="A85" s="158"/>
      <c r="B85" s="158"/>
      <c r="C85" s="159"/>
    </row>
    <row r="86" spans="1:26" x14ac:dyDescent="0.25">
      <c r="A86" s="158"/>
      <c r="B86" s="158"/>
      <c r="C86" s="159"/>
    </row>
    <row r="87" spans="1:26" x14ac:dyDescent="0.25">
      <c r="A87" s="288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</row>
    <row r="88" spans="1:26" x14ac:dyDescent="0.25">
      <c r="A88" s="288" t="s">
        <v>116</v>
      </c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</row>
    <row r="89" spans="1:26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</row>
    <row r="90" spans="1:26" x14ac:dyDescent="0.25">
      <c r="A90" s="40" t="s">
        <v>80</v>
      </c>
      <c r="B90" s="40" t="s">
        <v>85</v>
      </c>
      <c r="C90" s="40" t="s">
        <v>53</v>
      </c>
      <c r="D90" s="40" t="s">
        <v>2</v>
      </c>
      <c r="E90" s="40" t="s">
        <v>41</v>
      </c>
      <c r="F90" s="40" t="s">
        <v>42</v>
      </c>
      <c r="G90" s="40" t="s">
        <v>43</v>
      </c>
      <c r="H90" s="40" t="s">
        <v>44</v>
      </c>
      <c r="I90" s="40" t="s">
        <v>45</v>
      </c>
      <c r="J90" s="40" t="s">
        <v>46</v>
      </c>
      <c r="K90" s="40" t="s">
        <v>82</v>
      </c>
      <c r="L90" s="40" t="s">
        <v>47</v>
      </c>
      <c r="M90" s="40" t="s">
        <v>48</v>
      </c>
      <c r="N90" s="40" t="s">
        <v>49</v>
      </c>
      <c r="O90" s="40" t="s">
        <v>105</v>
      </c>
      <c r="P90" s="40" t="s">
        <v>50</v>
      </c>
      <c r="Q90" s="40" t="s">
        <v>51</v>
      </c>
      <c r="R90" s="40" t="s">
        <v>52</v>
      </c>
      <c r="S90" s="40" t="s">
        <v>103</v>
      </c>
      <c r="T90" s="40" t="s">
        <v>21</v>
      </c>
      <c r="U90" s="40" t="s">
        <v>114</v>
      </c>
      <c r="V90" s="40" t="s">
        <v>3</v>
      </c>
    </row>
    <row r="91" spans="1:26" x14ac:dyDescent="0.25">
      <c r="A91" s="41" t="s">
        <v>5</v>
      </c>
      <c r="B91" s="41"/>
      <c r="C91" s="42" t="s">
        <v>6</v>
      </c>
      <c r="D91" s="330">
        <v>7434</v>
      </c>
      <c r="E91" s="329">
        <f t="shared" ref="E91:U91" si="26">E73+((E$47-$D$47)*E73)</f>
        <v>7481.4304338482862</v>
      </c>
      <c r="F91" s="13">
        <f t="shared" si="26"/>
        <v>6375.3695070711683</v>
      </c>
      <c r="G91" s="329">
        <f t="shared" si="26"/>
        <v>6797.5370067136082</v>
      </c>
      <c r="H91" s="13">
        <f t="shared" si="26"/>
        <v>6196.8347204071806</v>
      </c>
      <c r="I91" s="13">
        <f t="shared" si="26"/>
        <v>5560.4320737327189</v>
      </c>
      <c r="J91" s="13">
        <f t="shared" si="26"/>
        <v>9039.9168108459635</v>
      </c>
      <c r="K91" s="13">
        <f t="shared" si="26"/>
        <v>6081.7665759984675</v>
      </c>
      <c r="L91" s="13">
        <f t="shared" si="26"/>
        <v>5881.8786317579852</v>
      </c>
      <c r="M91" s="329">
        <f t="shared" si="26"/>
        <v>7801.5695246749319</v>
      </c>
      <c r="N91" s="329">
        <f t="shared" si="26"/>
        <v>8165.9714125769733</v>
      </c>
      <c r="O91" s="329">
        <f t="shared" si="26"/>
        <v>7960.225147036519</v>
      </c>
      <c r="P91" s="329">
        <f t="shared" si="26"/>
        <v>7441.8712868692064</v>
      </c>
      <c r="Q91" s="329">
        <f t="shared" si="26"/>
        <v>7834.9016096271871</v>
      </c>
      <c r="R91" s="13">
        <f t="shared" si="26"/>
        <v>6083.0768973214299</v>
      </c>
      <c r="S91" s="329">
        <f t="shared" si="26"/>
        <v>8026.7984064341326</v>
      </c>
      <c r="T91" s="329">
        <f t="shared" si="26"/>
        <v>8124.3690462205614</v>
      </c>
      <c r="U91" s="329">
        <f t="shared" si="26"/>
        <v>6772.7809672255999</v>
      </c>
      <c r="V91" s="13">
        <f>MEDIAN(D91:U91)</f>
        <v>7437.9356434346028</v>
      </c>
      <c r="W91" s="43">
        <v>7434</v>
      </c>
      <c r="Y91" s="242">
        <f>V91*1.1</f>
        <v>8181.7292077780639</v>
      </c>
      <c r="Z91" s="242">
        <f>V91*0.9</f>
        <v>6694.1420790911425</v>
      </c>
    </row>
    <row r="92" spans="1:26" x14ac:dyDescent="0.25">
      <c r="A92" s="41" t="s">
        <v>54</v>
      </c>
      <c r="B92" s="41"/>
      <c r="C92" s="42" t="s">
        <v>19</v>
      </c>
      <c r="D92" s="330">
        <v>96</v>
      </c>
      <c r="E92" s="13">
        <f t="shared" ref="E92:U92" si="27">E74+((E$47-$D$47)*E74)</f>
        <v>85.211967240514809</v>
      </c>
      <c r="F92" s="329">
        <f t="shared" si="27"/>
        <v>88.152761107197634</v>
      </c>
      <c r="G92" s="329">
        <f t="shared" si="27"/>
        <v>92.963853605412481</v>
      </c>
      <c r="H92" s="329">
        <f t="shared" si="27"/>
        <v>89.047733681821313</v>
      </c>
      <c r="I92" s="13">
        <f t="shared" si="27"/>
        <v>112.43502304147466</v>
      </c>
      <c r="J92" s="13">
        <f t="shared" si="27"/>
        <v>107.67790336186893</v>
      </c>
      <c r="K92" s="13">
        <f t="shared" si="27"/>
        <v>79.787989656163205</v>
      </c>
      <c r="L92" s="329">
        <f t="shared" si="27"/>
        <v>105.29776240064221</v>
      </c>
      <c r="M92" s="329">
        <f t="shared" si="27"/>
        <v>104.05296293892387</v>
      </c>
      <c r="N92" s="329">
        <f t="shared" si="27"/>
        <v>103.67281088792444</v>
      </c>
      <c r="O92" s="329">
        <f t="shared" si="27"/>
        <v>96.430565620137401</v>
      </c>
      <c r="P92" s="329">
        <f t="shared" si="27"/>
        <v>93.75620808220863</v>
      </c>
      <c r="Q92" s="329">
        <f t="shared" si="27"/>
        <v>96.060575175389445</v>
      </c>
      <c r="R92" s="13">
        <f t="shared" si="27"/>
        <v>82.215113467261915</v>
      </c>
      <c r="S92" s="329">
        <f t="shared" si="27"/>
        <v>99.096027785480146</v>
      </c>
      <c r="T92" s="329">
        <f t="shared" si="27"/>
        <v>96.050716081371846</v>
      </c>
      <c r="U92" s="329">
        <f t="shared" si="27"/>
        <v>91.445005421523447</v>
      </c>
      <c r="V92" s="331">
        <f t="shared" ref="V92:V102" si="28">MEDIAN(D92:U92)</f>
        <v>96.025358040685916</v>
      </c>
      <c r="W92" s="43">
        <v>96</v>
      </c>
      <c r="Y92" s="242">
        <f t="shared" ref="Y92:Y97" si="29">V92*1.1</f>
        <v>105.62789384475451</v>
      </c>
      <c r="Z92" s="242">
        <f t="shared" ref="Z92:Z97" si="30">V92*0.9</f>
        <v>86.422822236617321</v>
      </c>
    </row>
    <row r="93" spans="1:26" x14ac:dyDescent="0.25">
      <c r="A93" s="41" t="s">
        <v>9</v>
      </c>
      <c r="B93" s="41"/>
      <c r="C93" s="42" t="s">
        <v>6</v>
      </c>
      <c r="D93" s="330">
        <v>21062</v>
      </c>
      <c r="E93" s="13">
        <f t="shared" ref="E93:U93" si="31">E75+((E$47-$D$47)*E75)</f>
        <v>31459.755526372344</v>
      </c>
      <c r="F93" s="329">
        <f t="shared" si="31"/>
        <v>22817.872518269865</v>
      </c>
      <c r="G93" s="329">
        <f t="shared" si="31"/>
        <v>20572.870372536327</v>
      </c>
      <c r="H93" s="329">
        <f t="shared" si="31"/>
        <v>20538.951774664823</v>
      </c>
      <c r="I93" s="329">
        <f t="shared" si="31"/>
        <v>23993.389493087565</v>
      </c>
      <c r="J93" s="13">
        <f t="shared" si="31"/>
        <v>24758.776760906348</v>
      </c>
      <c r="K93" s="13">
        <f t="shared" si="31"/>
        <v>19900.360193468056</v>
      </c>
      <c r="L93" s="329">
        <f t="shared" si="31"/>
        <v>23214.342682373313</v>
      </c>
      <c r="M93" s="13">
        <f t="shared" si="31"/>
        <v>17058.314523701349</v>
      </c>
      <c r="N93" s="13">
        <f t="shared" si="31"/>
        <v>19407.085086202373</v>
      </c>
      <c r="O93" s="329">
        <f t="shared" si="31"/>
        <v>22036.250313172342</v>
      </c>
      <c r="P93" s="329">
        <f t="shared" si="31"/>
        <v>22834.298859120438</v>
      </c>
      <c r="Q93" s="13">
        <f t="shared" si="31"/>
        <v>26281.099924044429</v>
      </c>
      <c r="R93" s="13">
        <f t="shared" si="31"/>
        <v>19188.975781249999</v>
      </c>
      <c r="S93" s="329">
        <f t="shared" si="31"/>
        <v>22569.838701858705</v>
      </c>
      <c r="T93" s="329">
        <f t="shared" si="31"/>
        <v>20461.497981143919</v>
      </c>
      <c r="U93" s="329">
        <f t="shared" si="31"/>
        <v>22501.167447624211</v>
      </c>
      <c r="V93" s="13">
        <f t="shared" si="28"/>
        <v>22268.708880398277</v>
      </c>
      <c r="W93" s="43">
        <v>21062</v>
      </c>
      <c r="Y93" s="242">
        <f t="shared" si="29"/>
        <v>24495.579768438107</v>
      </c>
      <c r="Z93" s="242">
        <f t="shared" si="30"/>
        <v>20041.837992358451</v>
      </c>
    </row>
    <row r="94" spans="1:26" x14ac:dyDescent="0.25">
      <c r="A94" s="41" t="s">
        <v>10</v>
      </c>
      <c r="B94" s="41"/>
      <c r="C94" s="42" t="s">
        <v>6</v>
      </c>
      <c r="D94" s="332">
        <v>11761</v>
      </c>
      <c r="E94" s="13">
        <f t="shared" ref="E94:U94" si="32">E76+((E$47-$D$47)*E76)</f>
        <v>8247.6214608056162</v>
      </c>
      <c r="F94" s="329">
        <f t="shared" si="32"/>
        <v>9022.3819952487211</v>
      </c>
      <c r="G94" s="13">
        <f t="shared" si="32"/>
        <v>8222.0190069423334</v>
      </c>
      <c r="H94" s="329">
        <f t="shared" si="32"/>
        <v>9342.3165534335494</v>
      </c>
      <c r="I94" s="329">
        <f t="shared" si="32"/>
        <v>9259.6728110599088</v>
      </c>
      <c r="J94" s="331">
        <f t="shared" si="32"/>
        <v>10839.945632254125</v>
      </c>
      <c r="K94" s="331">
        <f t="shared" si="32"/>
        <v>10452.226644957378</v>
      </c>
      <c r="L94" s="13">
        <f t="shared" si="32"/>
        <v>8282.7219904345184</v>
      </c>
      <c r="M94" s="331">
        <f t="shared" si="32"/>
        <v>10477.937041604466</v>
      </c>
      <c r="N94" s="13">
        <f t="shared" si="32"/>
        <v>13376.966262018414</v>
      </c>
      <c r="O94" s="13">
        <f t="shared" si="32"/>
        <v>7846.7808130684152</v>
      </c>
      <c r="P94" s="331">
        <f t="shared" si="32"/>
        <v>11776.347954568328</v>
      </c>
      <c r="Q94" s="13">
        <f t="shared" si="32"/>
        <v>13664.379044998219</v>
      </c>
      <c r="R94" s="13">
        <f t="shared" si="32"/>
        <v>7146.3292317708338</v>
      </c>
      <c r="S94" s="329">
        <f t="shared" si="32"/>
        <v>8493.1124990261505</v>
      </c>
      <c r="T94" s="329">
        <f t="shared" si="32"/>
        <v>11354.865088054348</v>
      </c>
      <c r="U94" s="13">
        <f t="shared" si="32"/>
        <v>8026.2587615691427</v>
      </c>
      <c r="V94" s="13">
        <f t="shared" si="28"/>
        <v>9300.9946822467282</v>
      </c>
      <c r="W94" s="43">
        <v>11761</v>
      </c>
      <c r="Y94" s="242">
        <f t="shared" si="29"/>
        <v>10231.094150471401</v>
      </c>
      <c r="Z94" s="242">
        <f t="shared" si="30"/>
        <v>8370.8952140220554</v>
      </c>
    </row>
    <row r="95" spans="1:26" x14ac:dyDescent="0.25">
      <c r="A95" s="41" t="s">
        <v>11</v>
      </c>
      <c r="B95" s="41"/>
      <c r="C95" s="42" t="s">
        <v>6</v>
      </c>
      <c r="D95" s="330">
        <v>21454</v>
      </c>
      <c r="E95" s="329">
        <f t="shared" ref="E95:U95" si="33">E77+((E$47-$D$47)*E77)</f>
        <v>23173.170249038947</v>
      </c>
      <c r="F95" s="329">
        <f t="shared" si="33"/>
        <v>20339.922023661951</v>
      </c>
      <c r="G95" s="329">
        <f t="shared" si="33"/>
        <v>21006.66169254122</v>
      </c>
      <c r="H95" s="329">
        <f t="shared" si="33"/>
        <v>21484.689621528814</v>
      </c>
      <c r="I95" s="329">
        <f t="shared" si="33"/>
        <v>22107.536405529954</v>
      </c>
      <c r="J95" s="329">
        <f t="shared" si="33"/>
        <v>22505.791884108563</v>
      </c>
      <c r="K95" s="13">
        <f t="shared" si="33"/>
        <v>18596.419464131784</v>
      </c>
      <c r="L95" s="329">
        <f t="shared" si="33"/>
        <v>20662.579915878025</v>
      </c>
      <c r="M95" s="329">
        <f t="shared" si="33"/>
        <v>22357.644187706883</v>
      </c>
      <c r="N95" s="13">
        <f t="shared" si="33"/>
        <v>24276.363920980515</v>
      </c>
      <c r="O95" s="329">
        <f t="shared" si="33"/>
        <v>23415.187875315281</v>
      </c>
      <c r="P95" s="329">
        <f t="shared" si="33"/>
        <v>21805.421122150037</v>
      </c>
      <c r="Q95" s="13">
        <f t="shared" si="33"/>
        <v>24576.289728040225</v>
      </c>
      <c r="R95" s="13">
        <f t="shared" si="33"/>
        <v>18161.558026413692</v>
      </c>
      <c r="S95" s="13">
        <f t="shared" si="33"/>
        <v>17803.281462440431</v>
      </c>
      <c r="T95" s="329">
        <f t="shared" si="33"/>
        <v>23600.287358906629</v>
      </c>
      <c r="U95" s="329">
        <f t="shared" si="33"/>
        <v>20035.165235449018</v>
      </c>
      <c r="V95" s="13">
        <f t="shared" si="28"/>
        <v>21645.055371839426</v>
      </c>
      <c r="W95" s="43">
        <v>21454</v>
      </c>
      <c r="Y95" s="242">
        <f t="shared" si="29"/>
        <v>23809.56090902337</v>
      </c>
      <c r="Z95" s="242">
        <f t="shared" si="30"/>
        <v>19480.549834655485</v>
      </c>
    </row>
    <row r="96" spans="1:26" x14ac:dyDescent="0.25">
      <c r="A96" s="41" t="s">
        <v>12</v>
      </c>
      <c r="B96" s="41"/>
      <c r="C96" s="42" t="s">
        <v>6</v>
      </c>
      <c r="D96" s="330">
        <v>88943</v>
      </c>
      <c r="E96" s="329">
        <f t="shared" ref="E96:U96" si="34">E78+((E$47-$D$47)*E78)</f>
        <v>93740.883111673553</v>
      </c>
      <c r="F96" s="329">
        <f t="shared" si="34"/>
        <v>86679.058278074459</v>
      </c>
      <c r="G96" s="329">
        <f t="shared" si="34"/>
        <v>85938.163849446762</v>
      </c>
      <c r="H96" s="329">
        <f t="shared" si="34"/>
        <v>81032.349119736697</v>
      </c>
      <c r="I96" s="329">
        <f t="shared" si="34"/>
        <v>91051.592626728132</v>
      </c>
      <c r="J96" s="329">
        <f t="shared" si="34"/>
        <v>82989.255000764766</v>
      </c>
      <c r="K96" s="13">
        <f t="shared" si="34"/>
        <v>79048.320529642748</v>
      </c>
      <c r="L96" s="13">
        <f t="shared" si="34"/>
        <v>78336.254456058057</v>
      </c>
      <c r="M96" s="329">
        <f t="shared" si="34"/>
        <v>92754.947569286684</v>
      </c>
      <c r="N96" s="329">
        <f t="shared" si="34"/>
        <v>94003.133423441162</v>
      </c>
      <c r="O96" s="329">
        <f t="shared" si="34"/>
        <v>95092.694360650959</v>
      </c>
      <c r="P96" s="329">
        <f t="shared" si="34"/>
        <v>87038.071297424845</v>
      </c>
      <c r="Q96" s="329">
        <f t="shared" si="34"/>
        <v>93950.770063312491</v>
      </c>
      <c r="R96" s="329">
        <f t="shared" si="34"/>
        <v>81584.493571428582</v>
      </c>
      <c r="S96" s="329">
        <f t="shared" si="34"/>
        <v>92602.931918536808</v>
      </c>
      <c r="T96" s="13">
        <f t="shared" si="34"/>
        <v>98402.561007984797</v>
      </c>
      <c r="U96" s="329">
        <f t="shared" si="34"/>
        <v>84280.455123985084</v>
      </c>
      <c r="V96" s="13">
        <f t="shared" si="28"/>
        <v>87990.535648712423</v>
      </c>
      <c r="W96" s="43">
        <v>88943</v>
      </c>
      <c r="Y96" s="242">
        <f t="shared" si="29"/>
        <v>96789.589213583677</v>
      </c>
      <c r="Z96" s="242">
        <f t="shared" si="30"/>
        <v>79191.482083841183</v>
      </c>
    </row>
    <row r="97" spans="1:26" x14ac:dyDescent="0.25">
      <c r="A97" s="41" t="s">
        <v>13</v>
      </c>
      <c r="B97" s="41"/>
      <c r="C97" s="42" t="s">
        <v>6</v>
      </c>
      <c r="D97" s="330">
        <v>85242</v>
      </c>
      <c r="E97" s="329">
        <f t="shared" ref="E97:U97" si="35">E79+((E$47-$D$47)*E79)</f>
        <v>85218.19100785561</v>
      </c>
      <c r="F97" s="329">
        <f t="shared" si="35"/>
        <v>85037.284523711132</v>
      </c>
      <c r="G97" s="329">
        <f t="shared" si="35"/>
        <v>79787.850382465083</v>
      </c>
      <c r="H97" s="329">
        <f t="shared" si="35"/>
        <v>80006.257498987397</v>
      </c>
      <c r="I97" s="329">
        <f t="shared" si="35"/>
        <v>90716.894746543767</v>
      </c>
      <c r="J97" s="329">
        <f t="shared" si="35"/>
        <v>90659.875805334988</v>
      </c>
      <c r="K97" s="13">
        <f t="shared" si="35"/>
        <v>76569.110779618801</v>
      </c>
      <c r="L97" s="329">
        <f t="shared" si="35"/>
        <v>84425.094612995308</v>
      </c>
      <c r="M97" s="329">
        <f t="shared" si="35"/>
        <v>89614.609844010294</v>
      </c>
      <c r="N97" s="329">
        <f t="shared" si="35"/>
        <v>93107.181666914606</v>
      </c>
      <c r="O97" s="329">
        <f t="shared" si="35"/>
        <v>91686.090070049482</v>
      </c>
      <c r="P97" s="329">
        <f t="shared" si="35"/>
        <v>84221.569210788206</v>
      </c>
      <c r="Q97" s="329">
        <f t="shared" si="35"/>
        <v>88144.668603169761</v>
      </c>
      <c r="R97" s="13">
        <f t="shared" si="35"/>
        <v>75995.391934523825</v>
      </c>
      <c r="S97" s="329">
        <f t="shared" si="35"/>
        <v>83312.456178642009</v>
      </c>
      <c r="T97" s="13">
        <f t="shared" si="35"/>
        <v>95276.970674865181</v>
      </c>
      <c r="U97" s="329">
        <f t="shared" si="35"/>
        <v>81132.669377428392</v>
      </c>
      <c r="V97" s="13">
        <f t="shared" si="28"/>
        <v>85127.737765783371</v>
      </c>
      <c r="W97" s="43">
        <v>85242</v>
      </c>
      <c r="Y97" s="242">
        <f t="shared" si="29"/>
        <v>93640.51154236171</v>
      </c>
      <c r="Z97" s="242">
        <f t="shared" si="30"/>
        <v>76614.963989205033</v>
      </c>
    </row>
    <row r="98" spans="1:26" x14ac:dyDescent="0.25">
      <c r="A98" s="41"/>
      <c r="B98" s="41"/>
      <c r="C98" s="42"/>
      <c r="D98" s="4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43"/>
    </row>
    <row r="99" spans="1:26" x14ac:dyDescent="0.25">
      <c r="A99" s="41" t="s">
        <v>15</v>
      </c>
      <c r="B99" s="41"/>
      <c r="C99" s="42" t="s">
        <v>55</v>
      </c>
      <c r="D99" s="43">
        <v>2111</v>
      </c>
      <c r="E99" s="13">
        <f t="shared" ref="E99:U99" si="36">E81+((E$47-$D$47)*E81)</f>
        <v>5049.2995630476835</v>
      </c>
      <c r="F99" s="13">
        <f t="shared" si="36"/>
        <v>2838.3984156280626</v>
      </c>
      <c r="G99" s="13">
        <f t="shared" si="36"/>
        <v>3163.5298821804804</v>
      </c>
      <c r="H99" s="13">
        <f t="shared" si="36"/>
        <v>4603.6233960764539</v>
      </c>
      <c r="I99" s="13">
        <f t="shared" si="36"/>
        <v>4386.2851612903232</v>
      </c>
      <c r="J99" s="13">
        <f t="shared" si="36"/>
        <v>4507.1533910801209</v>
      </c>
      <c r="K99" s="13">
        <f t="shared" si="36"/>
        <v>2692.3631816875773</v>
      </c>
      <c r="L99" s="13">
        <f t="shared" si="36"/>
        <v>5101.9545629873001</v>
      </c>
      <c r="M99" s="329">
        <f t="shared" si="36"/>
        <v>3521.0564375500317</v>
      </c>
      <c r="N99" s="13">
        <f t="shared" si="36"/>
        <v>4890.9824906462536</v>
      </c>
      <c r="O99" s="13">
        <f t="shared" si="36"/>
        <v>4464.7523101726238</v>
      </c>
      <c r="P99" s="329">
        <f t="shared" si="36"/>
        <v>3470.7478060739572</v>
      </c>
      <c r="Q99" s="329">
        <f t="shared" si="36"/>
        <v>3593.1937012689195</v>
      </c>
      <c r="R99" s="13">
        <f t="shared" si="36"/>
        <v>3279.9824051339288</v>
      </c>
      <c r="S99" s="13">
        <f t="shared" si="36"/>
        <v>4783.5507261212952</v>
      </c>
      <c r="T99" s="329">
        <f t="shared" si="36"/>
        <v>3510.0116530454015</v>
      </c>
      <c r="U99" s="329">
        <f t="shared" si="36"/>
        <v>3991.2146584440229</v>
      </c>
      <c r="V99" s="13">
        <f t="shared" si="28"/>
        <v>3792.2041798564715</v>
      </c>
      <c r="W99" s="43">
        <v>2111</v>
      </c>
      <c r="Y99" s="242">
        <f>V99*1.1</f>
        <v>4171.4245978421186</v>
      </c>
      <c r="Z99" s="242">
        <f>V99*0.9</f>
        <v>3412.9837618708243</v>
      </c>
    </row>
    <row r="100" spans="1:26" x14ac:dyDescent="0.25">
      <c r="A100" s="41" t="s">
        <v>17</v>
      </c>
      <c r="B100" s="41"/>
      <c r="C100" s="42" t="s">
        <v>6</v>
      </c>
      <c r="D100" s="330">
        <v>18</v>
      </c>
      <c r="E100" s="329">
        <f t="shared" ref="E100:G102" si="37">E82+((E$47-$D$47)*E82)</f>
        <v>18.89796327690361</v>
      </c>
      <c r="F100" s="329">
        <f t="shared" si="37"/>
        <v>19.125157774743187</v>
      </c>
      <c r="G100" s="329">
        <f t="shared" si="37"/>
        <v>20.107181454536946</v>
      </c>
      <c r="H100" s="13"/>
      <c r="I100" s="329">
        <f>I82+((I$47-$D$47)*I82)</f>
        <v>20.249585253456218</v>
      </c>
      <c r="J100" s="13"/>
      <c r="K100" s="13">
        <f>K82+((K$47-$D$47)*K82)</f>
        <v>14.88792213389522</v>
      </c>
      <c r="L100" s="13"/>
      <c r="M100" s="13"/>
      <c r="N100" s="329">
        <f>N82+((N$47-$D$47)*N82)</f>
        <v>17.479499631525584</v>
      </c>
      <c r="O100" s="13"/>
      <c r="P100" s="13"/>
      <c r="Q100" s="13"/>
      <c r="R100" s="13">
        <f>R82+((R$47-$D$47)*R82)</f>
        <v>12.089315476190475</v>
      </c>
      <c r="S100" s="13"/>
      <c r="T100" s="329">
        <f>T82+((T$47-$D$47)*T82)</f>
        <v>20.388328158930801</v>
      </c>
      <c r="U100" s="13"/>
      <c r="V100" s="13">
        <f t="shared" si="28"/>
        <v>18.89796327690361</v>
      </c>
      <c r="W100" s="43">
        <v>18</v>
      </c>
      <c r="Y100" s="242">
        <f t="shared" ref="Y100:Y102" si="38">V100*1.1</f>
        <v>20.787759604593973</v>
      </c>
      <c r="Z100" s="242">
        <f t="shared" ref="Z100:Z102" si="39">V100*0.9</f>
        <v>17.008166949213251</v>
      </c>
    </row>
    <row r="101" spans="1:26" x14ac:dyDescent="0.25">
      <c r="A101" s="41" t="s">
        <v>18</v>
      </c>
      <c r="B101" s="41"/>
      <c r="C101" s="42" t="s">
        <v>55</v>
      </c>
      <c r="D101" s="330">
        <v>44</v>
      </c>
      <c r="E101" s="329">
        <f t="shared" si="37"/>
        <v>49.607153601871971</v>
      </c>
      <c r="F101" s="329">
        <f t="shared" si="37"/>
        <v>51.750426919893336</v>
      </c>
      <c r="G101" s="13">
        <f t="shared" si="37"/>
        <v>52.502084909068699</v>
      </c>
      <c r="H101" s="13"/>
      <c r="I101" s="13">
        <f>I83+((I$47-$D$47)*I83)</f>
        <v>53.998894009216606</v>
      </c>
      <c r="J101" s="13"/>
      <c r="K101" s="13">
        <f>K83+((K$47-$D$47)*K83)</f>
        <v>36.044443061009474</v>
      </c>
      <c r="L101" s="13"/>
      <c r="M101" s="13"/>
      <c r="N101" s="329">
        <f>N83+((N$47-$D$47)*N83)</f>
        <v>46.976155259725004</v>
      </c>
      <c r="O101" s="13"/>
      <c r="P101" s="13"/>
      <c r="Q101" s="13"/>
      <c r="R101" s="13">
        <f>R83+((R$47-$D$47)*R83)</f>
        <v>34.756781994047628</v>
      </c>
      <c r="S101" s="13"/>
      <c r="T101" s="329">
        <f>T83+((T$47-$D$47)*T83)</f>
        <v>47.215075736471327</v>
      </c>
      <c r="U101" s="13"/>
      <c r="V101" s="13">
        <f t="shared" si="28"/>
        <v>47.215075736471327</v>
      </c>
      <c r="W101" s="43">
        <v>44</v>
      </c>
      <c r="Y101" s="242">
        <f t="shared" si="38"/>
        <v>51.936583310118465</v>
      </c>
      <c r="Z101" s="242">
        <f t="shared" si="39"/>
        <v>42.493568162824197</v>
      </c>
    </row>
    <row r="102" spans="1:26" x14ac:dyDescent="0.25">
      <c r="A102" s="41" t="s">
        <v>20</v>
      </c>
      <c r="B102" s="41"/>
      <c r="C102" s="42" t="s">
        <v>6</v>
      </c>
      <c r="D102" s="330">
        <v>253</v>
      </c>
      <c r="E102" s="329">
        <f t="shared" si="37"/>
        <v>265.75260858145703</v>
      </c>
      <c r="F102" s="329">
        <f t="shared" si="37"/>
        <v>261.00215316120114</v>
      </c>
      <c r="G102" s="329">
        <f t="shared" si="37"/>
        <v>252.45683381807501</v>
      </c>
      <c r="H102" s="13"/>
      <c r="I102" s="329">
        <f>I84+((I$47-$D$47)*I84)</f>
        <v>269.99447004608294</v>
      </c>
      <c r="J102" s="13"/>
      <c r="K102" s="13">
        <f>K84+((K$47-$D$47)*K84)</f>
        <v>215.48308351690451</v>
      </c>
      <c r="L102" s="13"/>
      <c r="M102" s="13"/>
      <c r="N102" s="13">
        <f>N84+((N$47-$D$47)*N84)</f>
        <v>294.96655628199426</v>
      </c>
      <c r="O102" s="13"/>
      <c r="P102" s="13"/>
      <c r="Q102" s="13"/>
      <c r="R102" s="13">
        <f>R84+((R$47-$D$47)*R84)</f>
        <v>224.40791852678575</v>
      </c>
      <c r="S102" s="13"/>
      <c r="T102" s="13">
        <f>T84+((T$47-$D$47)*T84)</f>
        <v>288.65580393433601</v>
      </c>
      <c r="U102" s="13"/>
      <c r="V102" s="13">
        <f t="shared" si="28"/>
        <v>261.00215316120114</v>
      </c>
      <c r="W102" s="43">
        <v>253</v>
      </c>
      <c r="Y102" s="242">
        <f t="shared" si="38"/>
        <v>287.10236847732125</v>
      </c>
      <c r="Z102" s="242">
        <f t="shared" si="39"/>
        <v>234.90193784508102</v>
      </c>
    </row>
    <row r="105" spans="1:26" x14ac:dyDescent="0.25">
      <c r="A105" s="288" t="s">
        <v>117</v>
      </c>
      <c r="B105" s="288"/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</row>
    <row r="106" spans="1:26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</row>
    <row r="107" spans="1:26" x14ac:dyDescent="0.25">
      <c r="A107" s="40" t="s">
        <v>80</v>
      </c>
      <c r="B107" s="40" t="s">
        <v>85</v>
      </c>
      <c r="C107" s="40" t="s">
        <v>53</v>
      </c>
      <c r="D107" s="40" t="s">
        <v>2</v>
      </c>
      <c r="E107" s="40" t="s">
        <v>41</v>
      </c>
      <c r="F107" s="40" t="s">
        <v>42</v>
      </c>
      <c r="G107" s="40" t="s">
        <v>43</v>
      </c>
      <c r="H107" s="40" t="s">
        <v>44</v>
      </c>
      <c r="I107" s="40" t="s">
        <v>45</v>
      </c>
      <c r="J107" s="40" t="s">
        <v>46</v>
      </c>
      <c r="K107" s="40" t="s">
        <v>82</v>
      </c>
      <c r="L107" s="40" t="s">
        <v>47</v>
      </c>
      <c r="M107" s="40" t="s">
        <v>48</v>
      </c>
      <c r="N107" s="40" t="s">
        <v>49</v>
      </c>
      <c r="O107" s="40" t="s">
        <v>105</v>
      </c>
      <c r="P107" s="40" t="s">
        <v>50</v>
      </c>
      <c r="Q107" s="40" t="s">
        <v>51</v>
      </c>
      <c r="R107" s="40" t="s">
        <v>52</v>
      </c>
      <c r="S107" s="40" t="s">
        <v>103</v>
      </c>
      <c r="T107" s="40" t="s">
        <v>21</v>
      </c>
      <c r="U107" s="40" t="s">
        <v>114</v>
      </c>
      <c r="V107" s="40" t="s">
        <v>4</v>
      </c>
    </row>
    <row r="108" spans="1:26" x14ac:dyDescent="0.25">
      <c r="A108" s="41" t="s">
        <v>5</v>
      </c>
      <c r="B108" s="41"/>
      <c r="C108" s="42" t="s">
        <v>6</v>
      </c>
      <c r="D108" s="43">
        <v>7434</v>
      </c>
      <c r="E108" s="233">
        <f>E91*'Difficulty Factors'!H$11</f>
        <v>7481.4304338482862</v>
      </c>
      <c r="F108" s="233">
        <f>F91*'Difficulty Factors'!$H$4</f>
        <v>6954.9485531685468</v>
      </c>
      <c r="G108" s="233">
        <f>G91*'Difficulty Factors'!H$5</f>
        <v>7724.4738712654635</v>
      </c>
      <c r="H108" s="233">
        <f>H91*'Difficulty Factors'!H$6</f>
        <v>7605.2062477724494</v>
      </c>
      <c r="I108" s="6">
        <f>I91*'Difficulty Factors'!H$8</f>
        <v>6065.9258986175109</v>
      </c>
      <c r="J108" s="6">
        <f>J91*'Difficulty Factors'!H$9</f>
        <v>9861.7274300137778</v>
      </c>
      <c r="K108" s="6">
        <f>K91*'Difficulty Factors'!H$10</f>
        <v>6358.2105112711251</v>
      </c>
      <c r="L108" s="6">
        <f>L91*'Difficulty Factors'!H$12</f>
        <v>6683.9529906340731</v>
      </c>
      <c r="M108" s="233">
        <f>M91*'Difficulty Factors'!H$14</f>
        <v>8156.1863212510652</v>
      </c>
      <c r="N108" s="233">
        <f>N91*'Difficulty Factors'!H$15</f>
        <v>8165.9714125769733</v>
      </c>
      <c r="O108" s="233">
        <f>O91*'Difficulty Factors'!H$16</f>
        <v>8322.0535628109064</v>
      </c>
      <c r="P108" s="6">
        <f>P91*'Difficulty Factors'!H$17</f>
        <v>8456.6719168968248</v>
      </c>
      <c r="Q108" s="233">
        <f>Q91*'Difficulty Factors'!H$18</f>
        <v>7834.9016096271871</v>
      </c>
      <c r="R108" s="6">
        <f>R91*'Difficulty Factors'!H$19</f>
        <v>6636.0838879870144</v>
      </c>
      <c r="S108" s="233">
        <f>S91*'Difficulty Factors'!H$21</f>
        <v>8026.7984064341326</v>
      </c>
      <c r="T108" s="233">
        <f>T91*'Difficulty Factors'!H$7</f>
        <v>8124.3690462205614</v>
      </c>
      <c r="U108" s="233">
        <f>U91*'Difficulty Factors'!H$13</f>
        <v>7080.6346475540358</v>
      </c>
      <c r="V108" s="6">
        <f>MEDIAN(D108:U108)</f>
        <v>7664.840059518956</v>
      </c>
      <c r="W108" s="43">
        <v>7434</v>
      </c>
      <c r="Y108" s="242">
        <f>0.9*V108</f>
        <v>6898.3560535670604</v>
      </c>
      <c r="Z108" s="242">
        <f>1.1*V108</f>
        <v>8431.3240654708516</v>
      </c>
    </row>
    <row r="109" spans="1:26" x14ac:dyDescent="0.25">
      <c r="A109" s="41" t="s">
        <v>54</v>
      </c>
      <c r="B109" s="41"/>
      <c r="C109" s="42" t="s">
        <v>19</v>
      </c>
      <c r="D109" s="330">
        <v>96</v>
      </c>
      <c r="E109" s="6">
        <f>E92*'Difficulty Factors'!J$11</f>
        <v>85.211967240514809</v>
      </c>
      <c r="F109" s="233">
        <f>F92*'Difficulty Factors'!$J$4</f>
        <v>91.985489850988827</v>
      </c>
      <c r="G109" s="233">
        <f>G92*'Difficulty Factors'!J$5</f>
        <v>105.08957364090105</v>
      </c>
      <c r="H109" s="233">
        <f>H92*'Difficulty Factors'!J$6</f>
        <v>108.40593665613031</v>
      </c>
      <c r="I109" s="6">
        <f>I92*'Difficulty Factors'!J$8</f>
        <v>122.21198156682028</v>
      </c>
      <c r="J109" s="6">
        <f>J92*'Difficulty Factors'!J$9</f>
        <v>126.4044952508896</v>
      </c>
      <c r="K109" s="6">
        <f>K92*'Difficulty Factors'!J$10</f>
        <v>83.257032684692035</v>
      </c>
      <c r="L109" s="6">
        <f>L92*'Difficulty Factors'!J$12</f>
        <v>119.03225314855206</v>
      </c>
      <c r="M109" s="6">
        <f>M92*'Difficulty Factors'!J$14</f>
        <v>108.5770048058336</v>
      </c>
      <c r="N109" s="233">
        <f>N92*'Difficulty Factors'!J$15</f>
        <v>108.18032440479072</v>
      </c>
      <c r="O109" s="233">
        <f>O92*'Difficulty Factors'!J$16</f>
        <v>100.62319890796945</v>
      </c>
      <c r="P109" s="233">
        <f>P92*'Difficulty Factors'!J$17</f>
        <v>105.98527870162714</v>
      </c>
      <c r="Q109" s="233">
        <f>Q92*'Difficulty Factors'!J$18</f>
        <v>96.060575175389445</v>
      </c>
      <c r="R109" s="6">
        <f>R92*'Difficulty Factors'!J$19</f>
        <v>85.789683618012432</v>
      </c>
      <c r="S109" s="233">
        <f>S92*'Difficulty Factors'!J$21</f>
        <v>94.787504838285358</v>
      </c>
      <c r="T109" s="233">
        <f>T92*'Difficulty Factors'!J$7</f>
        <v>96.050716081371846</v>
      </c>
      <c r="U109" s="233">
        <f>U92*'Difficulty Factors'!J$13</f>
        <v>95.420875222459244</v>
      </c>
      <c r="V109" s="6">
        <f t="shared" ref="V109:V119" si="40">MEDIAN(D109:U109)</f>
        <v>98.341887041679456</v>
      </c>
      <c r="W109" s="43">
        <v>96</v>
      </c>
      <c r="Y109" s="242">
        <f t="shared" ref="Y109:Y119" si="41">0.9*V109</f>
        <v>88.507698337511513</v>
      </c>
      <c r="Z109" s="242">
        <f t="shared" ref="Z109:Z119" si="42">1.1*V109</f>
        <v>108.17607574584741</v>
      </c>
    </row>
    <row r="110" spans="1:26" x14ac:dyDescent="0.25">
      <c r="A110" s="41" t="s">
        <v>9</v>
      </c>
      <c r="B110" s="41"/>
      <c r="C110" s="42" t="s">
        <v>6</v>
      </c>
      <c r="D110" s="43">
        <v>21062</v>
      </c>
      <c r="E110" s="6">
        <f>E93*'Difficulty Factors'!H$11</f>
        <v>31459.755526372344</v>
      </c>
      <c r="F110" s="233">
        <f>F93*'Difficulty Factors'!$H$4</f>
        <v>24892.224565385306</v>
      </c>
      <c r="G110" s="233">
        <f>G93*'Difficulty Factors'!H$5</f>
        <v>23378.261786973097</v>
      </c>
      <c r="H110" s="233">
        <f>H93*'Difficulty Factors'!H$6</f>
        <v>25206.895359815921</v>
      </c>
      <c r="I110" s="6">
        <f>I93*'Difficulty Factors'!H$8</f>
        <v>26174.606719731888</v>
      </c>
      <c r="J110" s="333">
        <f>J93*'Difficulty Factors'!H$9</f>
        <v>27009.57464826147</v>
      </c>
      <c r="K110" s="6">
        <f>K93*'Difficulty Factors'!H$10</f>
        <v>20804.922020443875</v>
      </c>
      <c r="L110" s="6">
        <f>L93*'Difficulty Factors'!H$12</f>
        <v>26379.934866333308</v>
      </c>
      <c r="M110" s="6">
        <f>M93*'Difficulty Factors'!H$14</f>
        <v>17833.692456596862</v>
      </c>
      <c r="N110" s="6">
        <f>N93*'Difficulty Factors'!H$15</f>
        <v>19407.085086202373</v>
      </c>
      <c r="O110" s="233">
        <f>O93*'Difficulty Factors'!H$16</f>
        <v>23037.898054680176</v>
      </c>
      <c r="P110" s="6">
        <f>P93*'Difficulty Factors'!H$17</f>
        <v>25948.066885364129</v>
      </c>
      <c r="Q110" s="6">
        <f>Q93*'Difficulty Factors'!H$18</f>
        <v>26281.099924044429</v>
      </c>
      <c r="R110" s="6">
        <f>R93*'Difficulty Factors'!H$19</f>
        <v>20933.428124999999</v>
      </c>
      <c r="S110" s="233">
        <f>S93*'Difficulty Factors'!H$21</f>
        <v>22569.838701858705</v>
      </c>
      <c r="T110" s="233">
        <f>T93*'Difficulty Factors'!H$7</f>
        <v>20461.497981143919</v>
      </c>
      <c r="U110" s="233">
        <f>U93*'Difficulty Factors'!H$13</f>
        <v>23523.947786152585</v>
      </c>
      <c r="V110" s="6">
        <f t="shared" si="40"/>
        <v>23451.104786562842</v>
      </c>
      <c r="W110" s="43">
        <v>21062</v>
      </c>
      <c r="Y110" s="242">
        <f t="shared" si="41"/>
        <v>21105.99430790656</v>
      </c>
      <c r="Z110" s="242">
        <f t="shared" si="42"/>
        <v>25796.215265219129</v>
      </c>
    </row>
    <row r="111" spans="1:26" x14ac:dyDescent="0.25">
      <c r="A111" s="41" t="s">
        <v>10</v>
      </c>
      <c r="B111" s="41"/>
      <c r="C111" s="334" t="s">
        <v>6</v>
      </c>
      <c r="D111" s="43">
        <v>11761</v>
      </c>
      <c r="E111" s="6">
        <f>E94*'Difficulty Factors'!H$11</f>
        <v>8247.6214608056162</v>
      </c>
      <c r="F111" s="233">
        <f>F94*'Difficulty Factors'!$H$4</f>
        <v>9842.5985402713322</v>
      </c>
      <c r="G111" s="6">
        <f>G94*'Difficulty Factors'!H$5</f>
        <v>9343.2034169799226</v>
      </c>
      <c r="H111" s="233">
        <f>H94*'Difficulty Factors'!H$6</f>
        <v>11465.570315577537</v>
      </c>
      <c r="I111" s="233">
        <f>I94*'Difficulty Factors'!H$8</f>
        <v>10101.46124842899</v>
      </c>
      <c r="J111" s="6">
        <f>J94*'Difficulty Factors'!H$9</f>
        <v>11825.395235186317</v>
      </c>
      <c r="K111" s="233">
        <f>K94*'Difficulty Factors'!H$10</f>
        <v>10927.327856091804</v>
      </c>
      <c r="L111" s="6">
        <f>L94*'Difficulty Factors'!H$12</f>
        <v>9412.1840800392238</v>
      </c>
      <c r="M111" s="233">
        <f>M94*'Difficulty Factors'!H$14</f>
        <v>10954.20690713194</v>
      </c>
      <c r="N111" s="6">
        <f>N94*'Difficulty Factors'!H$15</f>
        <v>13376.966262018414</v>
      </c>
      <c r="O111" s="6">
        <f>O94*'Difficulty Factors'!H$16</f>
        <v>8203.4526682078886</v>
      </c>
      <c r="P111" s="6">
        <f>P94*'Difficulty Factors'!H$17</f>
        <v>13382.213584736735</v>
      </c>
      <c r="Q111" s="6">
        <f>Q94*'Difficulty Factors'!H$18</f>
        <v>13664.379044998219</v>
      </c>
      <c r="R111" s="6">
        <f>R94*'Difficulty Factors'!H$19</f>
        <v>7795.9955255681816</v>
      </c>
      <c r="S111" s="6">
        <f>S94*'Difficulty Factors'!H$21</f>
        <v>8493.1124990261505</v>
      </c>
      <c r="T111" s="233">
        <f>T94*'Difficulty Factors'!H$7</f>
        <v>11354.865088054348</v>
      </c>
      <c r="U111" s="6">
        <f>U94*'Difficulty Factors'!H$13</f>
        <v>8391.0887052768303</v>
      </c>
      <c r="V111" s="6">
        <f t="shared" si="40"/>
        <v>10514.394552260397</v>
      </c>
      <c r="W111" s="43">
        <v>11761</v>
      </c>
      <c r="Y111" s="242">
        <f t="shared" si="41"/>
        <v>9462.9550970343571</v>
      </c>
      <c r="Z111" s="242">
        <f t="shared" si="42"/>
        <v>11565.834007486437</v>
      </c>
    </row>
    <row r="112" spans="1:26" x14ac:dyDescent="0.25">
      <c r="A112" s="41" t="s">
        <v>11</v>
      </c>
      <c r="B112" s="41"/>
      <c r="C112" s="42" t="s">
        <v>6</v>
      </c>
      <c r="D112" s="330">
        <v>21454</v>
      </c>
      <c r="E112" s="233">
        <f>E95*'Difficulty Factors'!J$11</f>
        <v>23173.170249038947</v>
      </c>
      <c r="F112" s="233">
        <f>F95*'Difficulty Factors'!$J$4</f>
        <v>21224.26645947334</v>
      </c>
      <c r="G112" s="233">
        <f>G95*'Difficulty Factors'!J$5</f>
        <v>23746.661043742246</v>
      </c>
      <c r="H112" s="6">
        <f>H95*'Difficulty Factors'!J$6</f>
        <v>26155.274321861169</v>
      </c>
      <c r="I112" s="233">
        <f>I95*'Difficulty Factors'!J$8</f>
        <v>24029.930875576036</v>
      </c>
      <c r="J112" s="6">
        <f>J95*'Difficulty Factors'!J$9</f>
        <v>26419.842646562225</v>
      </c>
      <c r="K112" s="6">
        <f>K95*'Difficulty Factors'!J$10</f>
        <v>19404.959440833165</v>
      </c>
      <c r="L112" s="233">
        <f>L95*'Difficulty Factors'!J$12</f>
        <v>23357.699035340374</v>
      </c>
      <c r="M112" s="233">
        <f>M95*'Difficulty Factors'!J$14</f>
        <v>23329.715674128922</v>
      </c>
      <c r="N112" s="233">
        <f>N95*'Difficulty Factors'!J$15</f>
        <v>25331.858004501406</v>
      </c>
      <c r="O112" s="233">
        <f>O95*'Difficulty Factors'!J$16</f>
        <v>24433.239522068117</v>
      </c>
      <c r="P112" s="233">
        <f>P95*'Difficulty Factors'!J$17</f>
        <v>24649.606485908735</v>
      </c>
      <c r="Q112" s="233">
        <f>Q95*'Difficulty Factors'!J$18</f>
        <v>24576.289728040225</v>
      </c>
      <c r="R112" s="6">
        <f>R95*'Difficulty Factors'!J$19</f>
        <v>18951.190984083853</v>
      </c>
      <c r="S112" s="6">
        <f>S95*'Difficulty Factors'!J$21</f>
        <v>17029.22574668215</v>
      </c>
      <c r="T112" s="233">
        <f>T95*'Difficulty Factors'!J$7</f>
        <v>23600.287358906629</v>
      </c>
      <c r="U112" s="233">
        <f>U95*'Difficulty Factors'!J$13</f>
        <v>20906.259376120714</v>
      </c>
      <c r="V112" s="6">
        <f t="shared" si="40"/>
        <v>23478.993197123502</v>
      </c>
      <c r="W112" s="43">
        <v>21454</v>
      </c>
      <c r="Y112" s="242">
        <f t="shared" si="41"/>
        <v>21131.093877411153</v>
      </c>
      <c r="Z112" s="242">
        <f t="shared" si="42"/>
        <v>25826.892516835855</v>
      </c>
    </row>
    <row r="113" spans="1:32" x14ac:dyDescent="0.25">
      <c r="A113" s="41" t="s">
        <v>12</v>
      </c>
      <c r="B113" s="41"/>
      <c r="C113" s="42" t="s">
        <v>6</v>
      </c>
      <c r="D113" s="330">
        <v>88943</v>
      </c>
      <c r="E113" s="233">
        <f>E96*'Difficulty Factors'!J$11</f>
        <v>93740.883111673553</v>
      </c>
      <c r="F113" s="233">
        <f>F96*'Difficulty Factors'!$J$4</f>
        <v>90447.712985816819</v>
      </c>
      <c r="G113" s="233">
        <f>G96*'Difficulty Factors'!J$5</f>
        <v>97147.489568939811</v>
      </c>
      <c r="H113" s="233">
        <f>H96*'Difficulty Factors'!J$6</f>
        <v>98648.077189244679</v>
      </c>
      <c r="I113" s="233">
        <f>I96*'Difficulty Factors'!J$8</f>
        <v>98969.122420356667</v>
      </c>
      <c r="J113" s="233">
        <f>J96*'Difficulty Factors'!J$9</f>
        <v>97422.168913941234</v>
      </c>
      <c r="K113" s="233">
        <f>K96*'Difficulty Factors'!J$10</f>
        <v>82485.204030931563</v>
      </c>
      <c r="L113" s="233">
        <f>L96*'Difficulty Factors'!J$12</f>
        <v>88554.026776413448</v>
      </c>
      <c r="M113" s="233">
        <f>M96*'Difficulty Factors'!J$14</f>
        <v>96787.771376646968</v>
      </c>
      <c r="N113" s="233">
        <f>N96*'Difficulty Factors'!J$15</f>
        <v>98090.226180982077</v>
      </c>
      <c r="O113" s="233">
        <f>O96*'Difficulty Factors'!J$16</f>
        <v>99227.159332853174</v>
      </c>
      <c r="P113" s="233">
        <f>P96*'Difficulty Factors'!J$17</f>
        <v>98390.863205784597</v>
      </c>
      <c r="Q113" s="233">
        <f>Q96*'Difficulty Factors'!J$18</f>
        <v>93950.770063312491</v>
      </c>
      <c r="R113" s="6">
        <f>R96*'Difficulty Factors'!J$19</f>
        <v>85131.645465838519</v>
      </c>
      <c r="S113" s="233">
        <f>S96*'Difficulty Factors'!J$21</f>
        <v>88576.717487296075</v>
      </c>
      <c r="T113" s="233">
        <f>T96*'Difficulty Factors'!J$7</f>
        <v>98402.561007984797</v>
      </c>
      <c r="U113" s="233">
        <f>U96*'Difficulty Factors'!J$13</f>
        <v>87944.822738071394</v>
      </c>
      <c r="V113" s="6">
        <f t="shared" si="40"/>
        <v>95369.27071997973</v>
      </c>
      <c r="W113" s="43">
        <v>88943</v>
      </c>
      <c r="Y113" s="242">
        <f t="shared" si="41"/>
        <v>85832.343647981761</v>
      </c>
      <c r="Z113" s="242">
        <f t="shared" si="42"/>
        <v>104906.19779197771</v>
      </c>
    </row>
    <row r="114" spans="1:32" x14ac:dyDescent="0.25">
      <c r="A114" s="41" t="s">
        <v>13</v>
      </c>
      <c r="B114" s="41"/>
      <c r="C114" s="42" t="s">
        <v>6</v>
      </c>
      <c r="D114" s="330">
        <v>85242</v>
      </c>
      <c r="E114" s="233">
        <f>E97*'Difficulty Factors'!H$11</f>
        <v>85218.19100785561</v>
      </c>
      <c r="F114" s="233">
        <f>F97*'Difficulty Factors'!$H$4</f>
        <v>92767.946753139404</v>
      </c>
      <c r="G114" s="233">
        <f>G97*'Difficulty Factors'!H$5</f>
        <v>90668.011798255771</v>
      </c>
      <c r="H114" s="233">
        <f>H97*'Difficulty Factors'!H$6</f>
        <v>98189.49783966635</v>
      </c>
      <c r="I114" s="233">
        <f>I97*'Difficulty Factors'!H$8</f>
        <v>98963.885178047742</v>
      </c>
      <c r="J114" s="233">
        <f>J97*'Difficulty Factors'!H$9</f>
        <v>98901.682696729069</v>
      </c>
      <c r="K114" s="6">
        <f>K97*'Difficulty Factors'!H$10</f>
        <v>80049.524905965111</v>
      </c>
      <c r="L114" s="233">
        <f>L97*'Difficulty Factors'!H$12</f>
        <v>95937.607514767384</v>
      </c>
      <c r="M114" s="233">
        <f>M97*'Difficulty Factors'!H$14</f>
        <v>93688.001200556217</v>
      </c>
      <c r="N114" s="233">
        <f>N97*'Difficulty Factors'!H$15</f>
        <v>93107.181666914606</v>
      </c>
      <c r="O114" s="233">
        <f>O97*'Difficulty Factors'!H$16</f>
        <v>95853.639618688088</v>
      </c>
      <c r="P114" s="233">
        <f>P97*'Difficulty Factors'!H$17</f>
        <v>95706.328648622948</v>
      </c>
      <c r="Q114" s="233">
        <f>Q97*'Difficulty Factors'!H$18</f>
        <v>88144.668603169761</v>
      </c>
      <c r="R114" s="6">
        <f>R97*'Difficulty Factors'!H$19</f>
        <v>82904.063928571442</v>
      </c>
      <c r="S114" s="6">
        <f>S97*'Difficulty Factors'!H$21</f>
        <v>83312.456178642009</v>
      </c>
      <c r="T114" s="233">
        <f>T97*'Difficulty Factors'!H$7</f>
        <v>95276.970674865181</v>
      </c>
      <c r="U114" s="233">
        <f>U97*'Difficulty Factors'!H$13</f>
        <v>84820.517985493323</v>
      </c>
      <c r="V114" s="6">
        <f t="shared" si="40"/>
        <v>92937.564210027005</v>
      </c>
      <c r="W114" s="43">
        <v>85242</v>
      </c>
      <c r="Y114" s="242">
        <f t="shared" si="41"/>
        <v>83643.8077890243</v>
      </c>
      <c r="Z114" s="242">
        <f t="shared" si="42"/>
        <v>102231.32063102971</v>
      </c>
    </row>
    <row r="115" spans="1:32" x14ac:dyDescent="0.25">
      <c r="A115" s="41"/>
      <c r="B115" s="41"/>
      <c r="C115" s="42"/>
      <c r="D115" s="43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43"/>
      <c r="Y115" s="242"/>
      <c r="Z115" s="242"/>
    </row>
    <row r="116" spans="1:32" x14ac:dyDescent="0.25">
      <c r="A116" s="41" t="s">
        <v>15</v>
      </c>
      <c r="B116" s="41"/>
      <c r="C116" s="42" t="s">
        <v>55</v>
      </c>
      <c r="D116" s="43">
        <v>2111</v>
      </c>
      <c r="E116" s="6">
        <f>E99*'Difficulty Factors'!L$11</f>
        <v>5049.2995630476835</v>
      </c>
      <c r="F116" s="6">
        <f>F99*'Difficulty Factors'!$L$4</f>
        <v>3193.1982175815706</v>
      </c>
      <c r="G116" s="6">
        <f>G99*'Difficulty Factors'!L$5</f>
        <v>3558.9711174530403</v>
      </c>
      <c r="H116" s="6">
        <f>H99*'Difficulty Factors'!L$6</f>
        <v>5466.8027828407894</v>
      </c>
      <c r="I116" s="6">
        <f>I99*'Difficulty Factors'!L$8</f>
        <v>4934.5708064516139</v>
      </c>
      <c r="J116" s="6">
        <f>J99*'Difficulty Factors'!L$9</f>
        <v>4788.8504780226285</v>
      </c>
      <c r="K116" s="6">
        <f>K99*'Difficulty Factors'!L$10</f>
        <v>2860.6358805430509</v>
      </c>
      <c r="L116" s="6">
        <f>L99*'Difficulty Factors'!L$12</f>
        <v>6058.5710435474184</v>
      </c>
      <c r="M116" s="233">
        <f>M99*'Difficulty Factors'!L$14</f>
        <v>3521.0564375500317</v>
      </c>
      <c r="N116" s="6">
        <f>N99*'Difficulty Factors'!L$15</f>
        <v>4890.9824906462536</v>
      </c>
      <c r="O116" s="6">
        <f>O99*'Difficulty Factors'!L$16</f>
        <v>4743.7993295584129</v>
      </c>
      <c r="P116" s="233">
        <f>P99*'Difficulty Factors'!L$17</f>
        <v>3687.6695439535797</v>
      </c>
      <c r="Q116" s="233">
        <f>Q99*'Difficulty Factors'!L$18</f>
        <v>3593.1937012689195</v>
      </c>
      <c r="R116" s="233">
        <f>R99*'Difficulty Factors'!L$19</f>
        <v>3689.9802057756697</v>
      </c>
      <c r="S116" s="6">
        <f>S99*'Difficulty Factors'!L$21</f>
        <v>4783.5507261212952</v>
      </c>
      <c r="T116" s="6">
        <f>T99*'Difficulty Factors'!L$7</f>
        <v>3510.0116530454015</v>
      </c>
      <c r="U116" s="233">
        <f>U99*'Difficulty Factors'!L$13</f>
        <v>4240.6655745967746</v>
      </c>
      <c r="V116" s="6">
        <f t="shared" si="40"/>
        <v>3965.3228901862221</v>
      </c>
      <c r="W116" s="43">
        <v>2111</v>
      </c>
      <c r="Y116" s="242">
        <f t="shared" si="41"/>
        <v>3568.7906011676</v>
      </c>
      <c r="Z116" s="242">
        <f t="shared" si="42"/>
        <v>4361.8551792048447</v>
      </c>
    </row>
    <row r="117" spans="1:32" x14ac:dyDescent="0.25">
      <c r="A117" s="41" t="s">
        <v>17</v>
      </c>
      <c r="B117" s="41"/>
      <c r="C117" s="42" t="s">
        <v>6</v>
      </c>
      <c r="D117" s="330">
        <v>18</v>
      </c>
      <c r="E117" s="233">
        <f>E100*'Difficulty Factors'!H$11</f>
        <v>18.89796327690361</v>
      </c>
      <c r="F117" s="233">
        <f>F100*'Difficulty Factors'!$H$4</f>
        <v>20.863808481538019</v>
      </c>
      <c r="G117" s="6">
        <f>G100*'Difficulty Factors'!$H$5</f>
        <v>22.849069834701073</v>
      </c>
      <c r="H117" s="6"/>
      <c r="I117" s="6">
        <f>I100*'Difficulty Factors'!$H$8</f>
        <v>22.090456640134054</v>
      </c>
      <c r="J117" s="6"/>
      <c r="K117" s="6">
        <f>K100*'Difficulty Factors'!$H$10</f>
        <v>15.564645867254093</v>
      </c>
      <c r="L117" s="6"/>
      <c r="M117" s="6"/>
      <c r="N117" s="233">
        <f>N100*'Difficulty Factors'!$H$15</f>
        <v>17.479499631525584</v>
      </c>
      <c r="O117" s="6"/>
      <c r="P117" s="6"/>
      <c r="Q117" s="6"/>
      <c r="R117" s="6">
        <f>R100*'Difficulty Factors'!$H$19</f>
        <v>13.188344155844153</v>
      </c>
      <c r="S117" s="6"/>
      <c r="T117" s="233">
        <f>T100*'Difficulty Factors'!$H$7</f>
        <v>20.388328158930801</v>
      </c>
      <c r="U117" s="6"/>
      <c r="V117" s="6">
        <f t="shared" si="40"/>
        <v>18.89796327690361</v>
      </c>
      <c r="W117" s="43">
        <v>18</v>
      </c>
      <c r="Y117" s="242">
        <f t="shared" si="41"/>
        <v>17.008166949213251</v>
      </c>
      <c r="Z117" s="242">
        <f t="shared" si="42"/>
        <v>20.787759604593973</v>
      </c>
    </row>
    <row r="118" spans="1:32" x14ac:dyDescent="0.25">
      <c r="A118" s="41" t="s">
        <v>18</v>
      </c>
      <c r="B118" s="41"/>
      <c r="C118" s="42" t="s">
        <v>55</v>
      </c>
      <c r="D118" s="330">
        <v>44</v>
      </c>
      <c r="E118" s="233">
        <f>E101*'Difficulty Factors'!H$11</f>
        <v>49.607153601871971</v>
      </c>
      <c r="F118" s="6">
        <f>F101*'Difficulty Factors'!$H$4</f>
        <v>56.455011185338179</v>
      </c>
      <c r="G118" s="6">
        <f>G101*'Difficulty Factors'!H$5</f>
        <v>59.661460123941694</v>
      </c>
      <c r="H118" s="6"/>
      <c r="I118" s="6">
        <f>I101*'Difficulty Factors'!H$8</f>
        <v>58.907884373690841</v>
      </c>
      <c r="J118" s="6"/>
      <c r="K118" s="6">
        <f>K101*'Difficulty Factors'!H$10</f>
        <v>37.682826836509904</v>
      </c>
      <c r="L118" s="6"/>
      <c r="M118" s="6"/>
      <c r="N118" s="233">
        <f>N101*'Difficulty Factors'!H$15</f>
        <v>46.976155259725004</v>
      </c>
      <c r="O118" s="6"/>
      <c r="P118" s="6"/>
      <c r="Q118" s="6"/>
      <c r="R118" s="6">
        <f>R101*'Difficulty Factors'!H$19</f>
        <v>37.916489448051955</v>
      </c>
      <c r="S118" s="6"/>
      <c r="T118" s="233">
        <f>T101*'Difficulty Factors'!H$7</f>
        <v>47.215075736471327</v>
      </c>
      <c r="U118" s="6"/>
      <c r="V118" s="6">
        <f t="shared" si="40"/>
        <v>47.215075736471327</v>
      </c>
      <c r="W118" s="43">
        <v>44</v>
      </c>
      <c r="Y118" s="242">
        <f t="shared" si="41"/>
        <v>42.493568162824197</v>
      </c>
      <c r="Z118" s="242">
        <f t="shared" si="42"/>
        <v>51.936583310118465</v>
      </c>
    </row>
    <row r="119" spans="1:32" x14ac:dyDescent="0.25">
      <c r="A119" s="41" t="s">
        <v>20</v>
      </c>
      <c r="B119" s="41"/>
      <c r="C119" s="42" t="s">
        <v>6</v>
      </c>
      <c r="D119" s="330">
        <v>253</v>
      </c>
      <c r="E119" s="233">
        <f>E102*'Difficulty Factors'!J$11</f>
        <v>265.75260858145703</v>
      </c>
      <c r="F119" s="233">
        <f>F102*'Difficulty Factors'!$J$4</f>
        <v>272.35007286386207</v>
      </c>
      <c r="G119" s="233">
        <f>G102*'Difficulty Factors'!J$5</f>
        <v>285.3859860552152</v>
      </c>
      <c r="H119" s="6"/>
      <c r="I119" s="233">
        <f>I102*'Difficulty Factors'!J$8</f>
        <v>293.47225005009011</v>
      </c>
      <c r="J119" s="6"/>
      <c r="K119" s="6">
        <f>K102*'Difficulty Factors'!J$10</f>
        <v>224.85191323503079</v>
      </c>
      <c r="L119" s="6"/>
      <c r="M119" s="6"/>
      <c r="N119" s="6">
        <f>N102*'Difficulty Factors'!J$15</f>
        <v>307.79118916382009</v>
      </c>
      <c r="O119" s="6"/>
      <c r="P119" s="6"/>
      <c r="Q119" s="6"/>
      <c r="R119" s="6">
        <f>R102*'Difficulty Factors'!J$19</f>
        <v>234.16478454968947</v>
      </c>
      <c r="S119" s="6"/>
      <c r="T119" s="233">
        <f>T102*'Difficulty Factors'!J$7</f>
        <v>288.65580393433601</v>
      </c>
      <c r="U119" s="6"/>
      <c r="V119" s="6">
        <f t="shared" si="40"/>
        <v>272.35007286386207</v>
      </c>
      <c r="W119" s="43">
        <v>253</v>
      </c>
      <c r="Y119" s="242">
        <f t="shared" si="41"/>
        <v>245.11506557747586</v>
      </c>
      <c r="Z119" s="242">
        <f t="shared" si="42"/>
        <v>299.5850801502483</v>
      </c>
    </row>
    <row r="124" spans="1:32" x14ac:dyDescent="0.25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168"/>
      <c r="X124" s="168"/>
      <c r="Y124" s="168"/>
      <c r="Z124" s="168"/>
      <c r="AA124" s="168"/>
      <c r="AB124" s="168"/>
      <c r="AC124" s="168"/>
      <c r="AD124" s="168"/>
      <c r="AE124" s="168"/>
      <c r="AF124" s="168"/>
    </row>
    <row r="125" spans="1:32" x14ac:dyDescent="0.25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</row>
    <row r="126" spans="1:32" x14ac:dyDescent="0.25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168"/>
      <c r="X126" s="168"/>
      <c r="Y126" s="168"/>
      <c r="Z126" s="168"/>
      <c r="AA126" s="168"/>
      <c r="AB126" s="168"/>
      <c r="AC126" s="168"/>
      <c r="AD126" s="168"/>
      <c r="AE126" s="168"/>
      <c r="AF126" s="168"/>
    </row>
    <row r="127" spans="1:32" x14ac:dyDescent="0.25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168"/>
      <c r="X127" s="168"/>
      <c r="Y127" s="168"/>
      <c r="Z127" s="168"/>
      <c r="AA127" s="168"/>
      <c r="AB127" s="168"/>
      <c r="AC127" s="168"/>
      <c r="AD127" s="168"/>
      <c r="AE127" s="168"/>
      <c r="AF127" s="168"/>
    </row>
    <row r="128" spans="1:32" x14ac:dyDescent="0.25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168"/>
      <c r="X128" s="168"/>
      <c r="Y128" s="168"/>
      <c r="Z128" s="168"/>
      <c r="AA128" s="168"/>
      <c r="AB128" s="168"/>
      <c r="AC128" s="168"/>
      <c r="AD128" s="168"/>
      <c r="AE128" s="168"/>
      <c r="AF128" s="168"/>
    </row>
    <row r="129" spans="4:32" x14ac:dyDescent="0.25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168"/>
      <c r="X129" s="168"/>
      <c r="Y129" s="168"/>
      <c r="Z129" s="168"/>
      <c r="AA129" s="168"/>
      <c r="AB129" s="168"/>
      <c r="AC129" s="168"/>
      <c r="AD129" s="168"/>
      <c r="AE129" s="168"/>
      <c r="AF129" s="168"/>
    </row>
    <row r="130" spans="4:32" x14ac:dyDescent="0.25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</row>
    <row r="131" spans="4:32" x14ac:dyDescent="0.25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</row>
    <row r="132" spans="4:32" x14ac:dyDescent="0.25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</row>
    <row r="133" spans="4:32" x14ac:dyDescent="0.25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</row>
    <row r="134" spans="4:32" x14ac:dyDescent="0.25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</row>
    <row r="135" spans="4:32" x14ac:dyDescent="0.25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</row>
    <row r="136" spans="4:32" x14ac:dyDescent="0.25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</row>
    <row r="137" spans="4:32" x14ac:dyDescent="0.25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</row>
    <row r="138" spans="4:32" x14ac:dyDescent="0.25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168"/>
      <c r="X138" s="168"/>
      <c r="Y138" s="168"/>
      <c r="Z138" s="168"/>
      <c r="AA138" s="168"/>
      <c r="AB138" s="168"/>
      <c r="AC138" s="168"/>
      <c r="AD138" s="168"/>
      <c r="AE138" s="168"/>
      <c r="AF138" s="168"/>
    </row>
    <row r="139" spans="4:32" x14ac:dyDescent="0.25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</row>
    <row r="140" spans="4:32" x14ac:dyDescent="0.25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</row>
    <row r="141" spans="4:32" x14ac:dyDescent="0.25"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</row>
    <row r="142" spans="4:32" x14ac:dyDescent="0.25"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</row>
    <row r="143" spans="4:32" x14ac:dyDescent="0.25"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</row>
    <row r="144" spans="4:32" x14ac:dyDescent="0.25"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168"/>
      <c r="X144" s="168"/>
      <c r="Y144" s="168"/>
      <c r="Z144" s="168"/>
      <c r="AA144" s="168"/>
      <c r="AB144" s="168"/>
      <c r="AC144" s="168"/>
      <c r="AD144" s="168"/>
      <c r="AE144" s="168"/>
      <c r="AF144" s="168"/>
    </row>
    <row r="145" spans="4:32" x14ac:dyDescent="0.25"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168"/>
      <c r="X145" s="168"/>
      <c r="Y145" s="168"/>
      <c r="Z145" s="168"/>
      <c r="AA145" s="168"/>
      <c r="AB145" s="168"/>
      <c r="AC145" s="168"/>
      <c r="AD145" s="168"/>
      <c r="AE145" s="168"/>
      <c r="AF145" s="168"/>
    </row>
    <row r="146" spans="4:32" x14ac:dyDescent="0.25"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168"/>
      <c r="X146" s="168"/>
      <c r="Y146" s="168"/>
      <c r="Z146" s="168"/>
      <c r="AA146" s="168"/>
      <c r="AB146" s="168"/>
      <c r="AC146" s="168"/>
      <c r="AD146" s="168"/>
      <c r="AE146" s="168"/>
      <c r="AF146" s="168"/>
    </row>
    <row r="147" spans="4:32" x14ac:dyDescent="0.25"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</row>
    <row r="148" spans="4:32" x14ac:dyDescent="0.25"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168"/>
      <c r="X148" s="168"/>
      <c r="Y148" s="168"/>
      <c r="Z148" s="168"/>
      <c r="AA148" s="168"/>
      <c r="AB148" s="168"/>
      <c r="AC148" s="168"/>
      <c r="AD148" s="168"/>
      <c r="AE148" s="168"/>
      <c r="AF148" s="168"/>
    </row>
  </sheetData>
  <mergeCells count="44">
    <mergeCell ref="AD19:AF19"/>
    <mergeCell ref="AD20:AF20"/>
    <mergeCell ref="A62:C62"/>
    <mergeCell ref="A53:C53"/>
    <mergeCell ref="A54:C54"/>
    <mergeCell ref="AD21:AF21"/>
    <mergeCell ref="AD22:AF22"/>
    <mergeCell ref="A2:S2"/>
    <mergeCell ref="A22:S22"/>
    <mergeCell ref="A50:C50"/>
    <mergeCell ref="A51:C51"/>
    <mergeCell ref="A52:C52"/>
    <mergeCell ref="A49:C49"/>
    <mergeCell ref="AD4:AF4"/>
    <mergeCell ref="AD5:AF5"/>
    <mergeCell ref="AD6:AF6"/>
    <mergeCell ref="AD7:AF7"/>
    <mergeCell ref="AD8:AF8"/>
    <mergeCell ref="AD9:AF9"/>
    <mergeCell ref="AD10:AF10"/>
    <mergeCell ref="AD11:AF11"/>
    <mergeCell ref="AD12:AF12"/>
    <mergeCell ref="AD13:AF13"/>
    <mergeCell ref="AD14:AF14"/>
    <mergeCell ref="AD15:AF15"/>
    <mergeCell ref="AD16:AF16"/>
    <mergeCell ref="AD17:AF17"/>
    <mergeCell ref="AD18:AF18"/>
    <mergeCell ref="A70:V70"/>
    <mergeCell ref="A87:V87"/>
    <mergeCell ref="A105:V105"/>
    <mergeCell ref="A88:V88"/>
    <mergeCell ref="A55:C55"/>
    <mergeCell ref="A56:C56"/>
    <mergeCell ref="A57:C57"/>
    <mergeCell ref="A67:C67"/>
    <mergeCell ref="A63:C63"/>
    <mergeCell ref="A66:C66"/>
    <mergeCell ref="A58:C58"/>
    <mergeCell ref="A59:C59"/>
    <mergeCell ref="A60:C60"/>
    <mergeCell ref="A61:C61"/>
    <mergeCell ref="A64:C64"/>
    <mergeCell ref="A65:C65"/>
  </mergeCells>
  <pageMargins left="0.7" right="0.7" top="0.75" bottom="0.75" header="0.3" footer="0.3"/>
  <pageSetup orientation="portrait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01"/>
  <sheetViews>
    <sheetView tabSelected="1" topLeftCell="B1" workbookViewId="0">
      <selection activeCell="E36" sqref="E36"/>
    </sheetView>
  </sheetViews>
  <sheetFormatPr defaultRowHeight="15" x14ac:dyDescent="0.25"/>
  <cols>
    <col min="1" max="1" width="27.5703125" style="170" customWidth="1"/>
    <col min="2" max="2" width="5.42578125" style="170" customWidth="1"/>
    <col min="3" max="21" width="8.7109375" style="170" customWidth="1"/>
    <col min="23" max="23" width="10.85546875" bestFit="1" customWidth="1"/>
  </cols>
  <sheetData>
    <row r="2" spans="1:26" ht="15.75" thickBot="1" x14ac:dyDescent="0.3">
      <c r="A2" s="72" t="s">
        <v>133</v>
      </c>
    </row>
    <row r="3" spans="1:26" ht="15.75" thickBot="1" x14ac:dyDescent="0.3">
      <c r="A3" s="149" t="s">
        <v>123</v>
      </c>
      <c r="B3" s="149" t="s">
        <v>53</v>
      </c>
      <c r="C3" s="171" t="s">
        <v>2</v>
      </c>
      <c r="D3" s="172" t="s">
        <v>41</v>
      </c>
      <c r="E3" s="173" t="s">
        <v>42</v>
      </c>
      <c r="F3" s="173" t="s">
        <v>43</v>
      </c>
      <c r="G3" s="173" t="s">
        <v>44</v>
      </c>
      <c r="H3" s="173" t="s">
        <v>45</v>
      </c>
      <c r="I3" s="173" t="s">
        <v>46</v>
      </c>
      <c r="J3" s="173" t="s">
        <v>82</v>
      </c>
      <c r="K3" s="173" t="s">
        <v>47</v>
      </c>
      <c r="L3" s="173" t="s">
        <v>48</v>
      </c>
      <c r="M3" s="173" t="s">
        <v>49</v>
      </c>
      <c r="N3" s="173" t="s">
        <v>105</v>
      </c>
      <c r="O3" s="173" t="s">
        <v>50</v>
      </c>
      <c r="P3" s="173" t="s">
        <v>51</v>
      </c>
      <c r="Q3" s="173" t="s">
        <v>52</v>
      </c>
      <c r="R3" s="173" t="s">
        <v>103</v>
      </c>
      <c r="S3" s="173" t="s">
        <v>21</v>
      </c>
      <c r="T3" s="174" t="s">
        <v>114</v>
      </c>
      <c r="U3" s="175" t="s">
        <v>1</v>
      </c>
    </row>
    <row r="4" spans="1:26" x14ac:dyDescent="0.25">
      <c r="A4" s="151" t="s">
        <v>5</v>
      </c>
      <c r="B4" s="123" t="s">
        <v>6</v>
      </c>
      <c r="C4" s="176">
        <f>'Working Data'!D25</f>
        <v>7434</v>
      </c>
      <c r="D4" s="177">
        <f>'Working Data'!E25</f>
        <v>6189.523809523811</v>
      </c>
      <c r="E4" s="178">
        <f>'Working Data'!F25</f>
        <v>5552.3809523809523</v>
      </c>
      <c r="F4" s="178">
        <f>'Working Data'!G25</f>
        <v>5957.1428571428578</v>
      </c>
      <c r="G4" s="178">
        <f>'Working Data'!H25</f>
        <v>5228.5714285714284</v>
      </c>
      <c r="H4" s="178">
        <f>'Working Data'!I25</f>
        <v>4800.9523809523816</v>
      </c>
      <c r="I4" s="178">
        <f>'Working Data'!J25</f>
        <v>7566.666666666667</v>
      </c>
      <c r="J4" s="178">
        <f>'Working Data'!K25</f>
        <v>7533</v>
      </c>
      <c r="K4" s="178">
        <f>'Working Data'!L25</f>
        <v>5174.2857142857147</v>
      </c>
      <c r="L4" s="178">
        <f>'Working Data'!M25</f>
        <v>7452.3809523809523</v>
      </c>
      <c r="M4" s="178">
        <f>'Working Data'!N25</f>
        <v>7233.3333333333339</v>
      </c>
      <c r="N4" s="178">
        <f>'Working Data'!O25</f>
        <v>7285.7142857142862</v>
      </c>
      <c r="O4" s="178">
        <f>'Working Data'!P25</f>
        <v>7964</v>
      </c>
      <c r="P4" s="178">
        <f>'Working Data'!Q25</f>
        <v>7847.6190476190477</v>
      </c>
      <c r="Q4" s="178">
        <f>'Working Data'!R25</f>
        <v>7457.1428571428578</v>
      </c>
      <c r="R4" s="178">
        <f>'Working Data'!S25</f>
        <v>7761.9047619047624</v>
      </c>
      <c r="S4" s="178">
        <f>'Working Data'!T25</f>
        <v>7309.5238095238101</v>
      </c>
      <c r="T4" s="179">
        <f>'Working Data'!U25</f>
        <v>7547.6190476190477</v>
      </c>
      <c r="U4" s="180">
        <f>'Working Data'!V25</f>
        <v>7371.7619047619046</v>
      </c>
      <c r="X4" s="242"/>
      <c r="Y4" s="242"/>
      <c r="Z4" s="242"/>
    </row>
    <row r="5" spans="1:26" x14ac:dyDescent="0.25">
      <c r="A5" s="155" t="s">
        <v>54</v>
      </c>
      <c r="B5" s="124" t="s">
        <v>19</v>
      </c>
      <c r="C5" s="181">
        <f>'Working Data'!D26</f>
        <v>96</v>
      </c>
      <c r="D5" s="182">
        <f>'Working Data'!E26</f>
        <v>72.380952380952394</v>
      </c>
      <c r="E5" s="183">
        <f>'Working Data'!F26</f>
        <v>79.047619047619051</v>
      </c>
      <c r="F5" s="183">
        <f>'Working Data'!G26</f>
        <v>83.809523809523824</v>
      </c>
      <c r="G5" s="183">
        <f>'Working Data'!H26</f>
        <v>77.142857142857139</v>
      </c>
      <c r="H5" s="183">
        <f>'Working Data'!I26</f>
        <v>99.047619047619051</v>
      </c>
      <c r="I5" s="183">
        <f>'Working Data'!J26</f>
        <v>92.380952380952394</v>
      </c>
      <c r="J5" s="183">
        <f>'Working Data'!K26</f>
        <v>96</v>
      </c>
      <c r="K5" s="183">
        <f>'Working Data'!L26</f>
        <v>95.238095238095241</v>
      </c>
      <c r="L5" s="183">
        <f>'Working Data'!M26</f>
        <v>100.95238095238096</v>
      </c>
      <c r="M5" s="183">
        <f>'Working Data'!N26</f>
        <v>93.333333333333343</v>
      </c>
      <c r="N5" s="183">
        <f>'Working Data'!O26</f>
        <v>89.523809523809533</v>
      </c>
      <c r="O5" s="183">
        <f>'Working Data'!P26</f>
        <v>99</v>
      </c>
      <c r="P5" s="183">
        <f>'Working Data'!Q26</f>
        <v>96.190476190476204</v>
      </c>
      <c r="Q5" s="183">
        <f>'Working Data'!R26</f>
        <v>98.095238095238102</v>
      </c>
      <c r="R5" s="183">
        <f>'Working Data'!S26</f>
        <v>97.142857142857153</v>
      </c>
      <c r="S5" s="183">
        <f>'Working Data'!T26</f>
        <v>87.619047619047635</v>
      </c>
      <c r="T5" s="184">
        <f>'Working Data'!U26</f>
        <v>100</v>
      </c>
      <c r="U5" s="185">
        <f>'Working Data'!V26</f>
        <v>95.61904761904762</v>
      </c>
      <c r="X5" s="242"/>
      <c r="Y5" s="242"/>
      <c r="Z5" s="242"/>
    </row>
    <row r="6" spans="1:26" x14ac:dyDescent="0.25">
      <c r="A6" s="155" t="s">
        <v>9</v>
      </c>
      <c r="B6" s="124" t="s">
        <v>6</v>
      </c>
      <c r="C6" s="181">
        <f>'Working Data'!D27</f>
        <v>21062</v>
      </c>
      <c r="D6" s="182">
        <f>'Working Data'!E27</f>
        <v>27456.190476190477</v>
      </c>
      <c r="E6" s="183">
        <f>'Working Data'!F27</f>
        <v>21085.714285714286</v>
      </c>
      <c r="F6" s="183">
        <f>'Working Data'!G27</f>
        <v>19095.238095238095</v>
      </c>
      <c r="G6" s="183">
        <f>'Working Data'!H27</f>
        <v>18281.904761904763</v>
      </c>
      <c r="H6" s="183">
        <f>'Working Data'!I27</f>
        <v>21574.285714285717</v>
      </c>
      <c r="I6" s="183">
        <f>'Working Data'!J27</f>
        <v>21785.714285714286</v>
      </c>
      <c r="J6" s="183">
        <f>'Working Data'!K27</f>
        <v>23278</v>
      </c>
      <c r="K6" s="183">
        <f>'Working Data'!L27</f>
        <v>21604.761904761905</v>
      </c>
      <c r="L6" s="183">
        <f>'Working Data'!M27</f>
        <v>16813.333333333336</v>
      </c>
      <c r="M6" s="183">
        <f>'Working Data'!N27</f>
        <v>17761.904761904763</v>
      </c>
      <c r="N6" s="183">
        <f>'Working Data'!O27</f>
        <v>20755.238095238099</v>
      </c>
      <c r="O6" s="183">
        <f>'Working Data'!P27</f>
        <v>23795</v>
      </c>
      <c r="P6" s="183">
        <f>'Working Data'!Q27</f>
        <v>26309.523809523809</v>
      </c>
      <c r="Q6" s="183">
        <f>'Working Data'!R27</f>
        <v>22300</v>
      </c>
      <c r="R6" s="183">
        <f>'Working Data'!S27</f>
        <v>22433.333333333336</v>
      </c>
      <c r="S6" s="183">
        <f>'Working Data'!T27</f>
        <v>18928.571428571428</v>
      </c>
      <c r="T6" s="184">
        <f>'Working Data'!U27</f>
        <v>24154.285714285717</v>
      </c>
      <c r="U6" s="185">
        <f>'Working Data'!V27</f>
        <v>21589.523809523809</v>
      </c>
      <c r="X6" s="242"/>
      <c r="Y6" s="242"/>
      <c r="Z6" s="242"/>
    </row>
    <row r="7" spans="1:26" x14ac:dyDescent="0.25">
      <c r="A7" s="155" t="s">
        <v>10</v>
      </c>
      <c r="B7" s="124" t="s">
        <v>6</v>
      </c>
      <c r="C7" s="181">
        <f>'Working Data'!D28</f>
        <v>11761</v>
      </c>
      <c r="D7" s="182">
        <f>'Working Data'!E28</f>
        <v>7005.7142857142862</v>
      </c>
      <c r="E7" s="183">
        <f>'Working Data'!F28</f>
        <v>8090.4761904761908</v>
      </c>
      <c r="F7" s="183">
        <f>'Working Data'!G28</f>
        <v>7412.3809523809532</v>
      </c>
      <c r="G7" s="183">
        <f>'Working Data'!H28</f>
        <v>8093.3333333333339</v>
      </c>
      <c r="H7" s="183">
        <f>'Working Data'!I28</f>
        <v>8157.1428571428578</v>
      </c>
      <c r="I7" s="183">
        <f>'Working Data'!J28</f>
        <v>9300</v>
      </c>
      <c r="J7" s="183">
        <f>'Working Data'!K28</f>
        <v>12576</v>
      </c>
      <c r="K7" s="183">
        <f>'Working Data'!L28</f>
        <v>7491.4285714285716</v>
      </c>
      <c r="L7" s="183">
        <f>'Working Data'!M28</f>
        <v>10165.714285714286</v>
      </c>
      <c r="M7" s="183">
        <f>'Working Data'!N28</f>
        <v>12042.857142857143</v>
      </c>
      <c r="N7" s="183">
        <f>'Working Data'!O28</f>
        <v>7284.7619047619055</v>
      </c>
      <c r="O7" s="183">
        <f>'Working Data'!P28</f>
        <v>12435</v>
      </c>
      <c r="P7" s="183">
        <f>'Working Data'!Q28</f>
        <v>13682.857142857143</v>
      </c>
      <c r="Q7" s="183">
        <f>'Working Data'!R28</f>
        <v>8526.6666666666679</v>
      </c>
      <c r="R7" s="183">
        <f>'Working Data'!S28</f>
        <v>8325.7142857142862</v>
      </c>
      <c r="S7" s="183">
        <f>'Working Data'!T28</f>
        <v>10358.09523809524</v>
      </c>
      <c r="T7" s="184">
        <f>'Working Data'!U28</f>
        <v>8777.1428571428569</v>
      </c>
      <c r="U7" s="185">
        <f>'Working Data'!V28</f>
        <v>8651.9047619047633</v>
      </c>
      <c r="X7" s="242"/>
      <c r="Y7" s="242"/>
      <c r="Z7" s="242"/>
    </row>
    <row r="8" spans="1:26" x14ac:dyDescent="0.25">
      <c r="A8" s="155" t="s">
        <v>11</v>
      </c>
      <c r="B8" s="124" t="s">
        <v>6</v>
      </c>
      <c r="C8" s="181">
        <f>'Working Data'!D29</f>
        <v>21454</v>
      </c>
      <c r="D8" s="182">
        <f>'Working Data'!E29</f>
        <v>19683.809523809527</v>
      </c>
      <c r="E8" s="183">
        <f>'Working Data'!F29</f>
        <v>18239.047619047622</v>
      </c>
      <c r="F8" s="183">
        <f>'Working Data'!G29</f>
        <v>18938.09523809524</v>
      </c>
      <c r="G8" s="183">
        <f>'Working Data'!H29</f>
        <v>18612.380952380954</v>
      </c>
      <c r="H8" s="183">
        <f>'Working Data'!I29</f>
        <v>19475.238095238095</v>
      </c>
      <c r="I8" s="183">
        <f>'Working Data'!J29</f>
        <v>19308.571428571431</v>
      </c>
      <c r="J8" s="183">
        <f>'Working Data'!K29</f>
        <v>22375</v>
      </c>
      <c r="K8" s="183">
        <f>'Working Data'!L29</f>
        <v>18688.571428571431</v>
      </c>
      <c r="L8" s="183">
        <f>'Working Data'!M29</f>
        <v>21691.428571428572</v>
      </c>
      <c r="M8" s="183">
        <f>'Working Data'!N29</f>
        <v>21855.238095238099</v>
      </c>
      <c r="N8" s="183">
        <f>'Working Data'!O29</f>
        <v>21738.09523809524</v>
      </c>
      <c r="O8" s="183">
        <f>'Working Data'!P29</f>
        <v>23025</v>
      </c>
      <c r="P8" s="183">
        <f>'Working Data'!Q29</f>
        <v>24609.523809523809</v>
      </c>
      <c r="Q8" s="183">
        <f>'Working Data'!R29</f>
        <v>21669.523809523813</v>
      </c>
      <c r="R8" s="183">
        <f>'Working Data'!S29</f>
        <v>17452.380952380954</v>
      </c>
      <c r="S8" s="183">
        <f>'Working Data'!T29</f>
        <v>21528.571428571431</v>
      </c>
      <c r="T8" s="184">
        <f>'Working Data'!U29</f>
        <v>21909.523809523809</v>
      </c>
      <c r="U8" s="185">
        <f>'Working Data'!V29</f>
        <v>21491.285714285717</v>
      </c>
      <c r="X8" s="242"/>
      <c r="Y8" s="242"/>
      <c r="Z8" s="242"/>
    </row>
    <row r="9" spans="1:26" x14ac:dyDescent="0.25">
      <c r="A9" s="155" t="s">
        <v>12</v>
      </c>
      <c r="B9" s="124" t="s">
        <v>6</v>
      </c>
      <c r="C9" s="181">
        <f>'Working Data'!D30</f>
        <v>88943</v>
      </c>
      <c r="D9" s="182">
        <f>'Working Data'!E30</f>
        <v>81811.42857142858</v>
      </c>
      <c r="E9" s="183">
        <f>'Working Data'!F30</f>
        <v>80099.047619047618</v>
      </c>
      <c r="F9" s="183">
        <f>'Working Data'!G30</f>
        <v>79765.71428571429</v>
      </c>
      <c r="G9" s="183">
        <f>'Working Data'!H30</f>
        <v>72127.619047619053</v>
      </c>
      <c r="H9" s="183">
        <f>'Working Data'!I30</f>
        <v>81871.42857142858</v>
      </c>
      <c r="I9" s="183">
        <f>'Working Data'!J30</f>
        <v>73023.809523809527</v>
      </c>
      <c r="J9" s="183">
        <f>'Working Data'!K30</f>
        <v>92465</v>
      </c>
      <c r="K9" s="183">
        <f>'Working Data'!L30</f>
        <v>72904.761904761908</v>
      </c>
      <c r="L9" s="183">
        <f>'Working Data'!M30</f>
        <v>91422.857142857145</v>
      </c>
      <c r="M9" s="183">
        <f>'Working Data'!N30</f>
        <v>86034.285714285725</v>
      </c>
      <c r="N9" s="183">
        <f>'Working Data'!O30</f>
        <v>89564.761904761923</v>
      </c>
      <c r="O9" s="183">
        <f>'Working Data'!P30</f>
        <v>90700</v>
      </c>
      <c r="P9" s="183">
        <f>'Working Data'!Q30</f>
        <v>94052.380952380961</v>
      </c>
      <c r="Q9" s="183">
        <f>'Working Data'!R30</f>
        <v>94811.42857142858</v>
      </c>
      <c r="R9" s="183">
        <f>'Working Data'!S30</f>
        <v>92042.857142857145</v>
      </c>
      <c r="S9" s="183">
        <f>'Working Data'!T30</f>
        <v>91030.476190476198</v>
      </c>
      <c r="T9" s="184">
        <f>'Working Data'!U30</f>
        <v>90472.380952380961</v>
      </c>
      <c r="U9" s="185">
        <f>'Working Data'!V30</f>
        <v>89253.880952380961</v>
      </c>
      <c r="X9" s="242"/>
      <c r="Y9" s="242"/>
      <c r="Z9" s="242"/>
    </row>
    <row r="10" spans="1:26" ht="15.75" thickBot="1" x14ac:dyDescent="0.3">
      <c r="A10" s="186" t="s">
        <v>13</v>
      </c>
      <c r="B10" s="187" t="s">
        <v>6</v>
      </c>
      <c r="C10" s="188">
        <f>'Working Data'!D31</f>
        <v>85242</v>
      </c>
      <c r="D10" s="189">
        <f>'Working Data'!E31</f>
        <v>74373.333333333343</v>
      </c>
      <c r="E10" s="190">
        <f>'Working Data'!F31</f>
        <v>78581.904761904763</v>
      </c>
      <c r="F10" s="190">
        <f>'Working Data'!G31</f>
        <v>74057.142857142855</v>
      </c>
      <c r="G10" s="190">
        <f>'Working Data'!H31</f>
        <v>71214.28571428571</v>
      </c>
      <c r="H10" s="190">
        <f>'Working Data'!I31</f>
        <v>81570.476190476184</v>
      </c>
      <c r="I10" s="190">
        <f>'Working Data'!J31</f>
        <v>79773.333333333343</v>
      </c>
      <c r="J10" s="190">
        <f>'Working Data'!K31</f>
        <v>89565</v>
      </c>
      <c r="K10" s="190">
        <f>'Working Data'!L31</f>
        <v>78571.42857142858</v>
      </c>
      <c r="L10" s="190">
        <f>'Working Data'!M31</f>
        <v>88327.619047619053</v>
      </c>
      <c r="M10" s="190">
        <f>'Working Data'!N31</f>
        <v>85214.285714285725</v>
      </c>
      <c r="N10" s="190">
        <f>'Working Data'!O31</f>
        <v>86356.190476190473</v>
      </c>
      <c r="O10" s="190">
        <f>'Working Data'!P31</f>
        <v>87765</v>
      </c>
      <c r="P10" s="190">
        <f>'Working Data'!Q31</f>
        <v>88240.000000000015</v>
      </c>
      <c r="Q10" s="190">
        <f>'Working Data'!R31</f>
        <v>88316.190476190488</v>
      </c>
      <c r="R10" s="190">
        <f>'Working Data'!S31</f>
        <v>82808.571428571435</v>
      </c>
      <c r="S10" s="190">
        <f>'Working Data'!T31</f>
        <v>88139.047619047633</v>
      </c>
      <c r="T10" s="191">
        <f>'Working Data'!U31</f>
        <v>87093.333333333343</v>
      </c>
      <c r="U10" s="192">
        <f>'Working Data'!V31</f>
        <v>85228.14285714287</v>
      </c>
      <c r="X10" s="242"/>
      <c r="Y10" s="242"/>
      <c r="Z10" s="242"/>
    </row>
    <row r="11" spans="1:26" ht="15.75" thickBot="1" x14ac:dyDescent="0.3">
      <c r="A11" s="149" t="s">
        <v>124</v>
      </c>
      <c r="B11" s="193"/>
      <c r="C11" s="194"/>
      <c r="D11" s="195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7"/>
      <c r="U11" s="198"/>
      <c r="X11" s="242"/>
      <c r="Y11" s="242"/>
      <c r="Z11" s="242"/>
    </row>
    <row r="12" spans="1:26" x14ac:dyDescent="0.25">
      <c r="A12" s="151" t="s">
        <v>15</v>
      </c>
      <c r="B12" s="123" t="s">
        <v>55</v>
      </c>
      <c r="C12" s="176">
        <f>'Working Data'!D33</f>
        <v>2111</v>
      </c>
      <c r="D12" s="177">
        <f>'Working Data'!E33</f>
        <v>4071.4285714285716</v>
      </c>
      <c r="E12" s="178">
        <f>'Working Data'!F33</f>
        <v>2402.8571428571431</v>
      </c>
      <c r="F12" s="178">
        <f>'Working Data'!G33</f>
        <v>2697.1428571428573</v>
      </c>
      <c r="G12" s="178">
        <f>'Working Data'!H33</f>
        <v>3785.7142857142858</v>
      </c>
      <c r="H12" s="178">
        <f>'Working Data'!I33</f>
        <v>3713.3333333333339</v>
      </c>
      <c r="I12" s="178">
        <f>'Working Data'!J33</f>
        <v>3682.8571428571436</v>
      </c>
      <c r="J12" s="178">
        <f>'Working Data'!K33</f>
        <v>3436</v>
      </c>
      <c r="K12" s="178">
        <f>'Working Data'!L33</f>
        <v>4368.5714285714294</v>
      </c>
      <c r="L12" s="178">
        <f>'Working Data'!M33</f>
        <v>3312.3809523809527</v>
      </c>
      <c r="M12" s="178">
        <f>'Working Data'!N33</f>
        <v>4263.8095238095248</v>
      </c>
      <c r="N12" s="178">
        <f>'Working Data'!O33</f>
        <v>4029.5238095238101</v>
      </c>
      <c r="O12" s="178">
        <f>'Working Data'!P33</f>
        <v>3765</v>
      </c>
      <c r="P12" s="178">
        <f>'Working Data'!Q33</f>
        <v>3600</v>
      </c>
      <c r="Q12" s="178">
        <f>'Working Data'!R33</f>
        <v>4134.2857142857147</v>
      </c>
      <c r="R12" s="178">
        <f>'Working Data'!S33</f>
        <v>4563.8095238095248</v>
      </c>
      <c r="S12" s="178">
        <f>'Working Data'!T33</f>
        <v>3115.2380952380954</v>
      </c>
      <c r="T12" s="179">
        <f>'Working Data'!U33</f>
        <v>4534.2857142857147</v>
      </c>
      <c r="U12" s="180">
        <f>'Working Data'!V33</f>
        <v>3739.166666666667</v>
      </c>
      <c r="X12" s="242"/>
      <c r="Y12" s="242"/>
      <c r="Z12" s="242"/>
    </row>
    <row r="13" spans="1:26" x14ac:dyDescent="0.25">
      <c r="A13" s="155" t="s">
        <v>17</v>
      </c>
      <c r="B13" s="124" t="s">
        <v>6</v>
      </c>
      <c r="C13" s="181">
        <f>'Working Data'!D34</f>
        <v>18</v>
      </c>
      <c r="D13" s="182">
        <f>'Working Data'!E34</f>
        <v>15.238095238095239</v>
      </c>
      <c r="E13" s="183">
        <f>'Working Data'!F34</f>
        <v>16.190476190476193</v>
      </c>
      <c r="F13" s="183">
        <f>'Working Data'!G34</f>
        <v>17.142857142857142</v>
      </c>
      <c r="G13" s="183"/>
      <c r="H13" s="183">
        <f>'Working Data'!I34</f>
        <v>17.142857142857142</v>
      </c>
      <c r="I13" s="183"/>
      <c r="J13" s="183">
        <f>'Working Data'!K34</f>
        <v>19</v>
      </c>
      <c r="K13" s="183"/>
      <c r="L13" s="183"/>
      <c r="M13" s="183">
        <f>'Working Data'!N34</f>
        <v>15.238095238095239</v>
      </c>
      <c r="N13" s="183"/>
      <c r="O13" s="183"/>
      <c r="P13" s="183"/>
      <c r="Q13" s="183">
        <f>'Working Data'!R34</f>
        <v>15.238095238095239</v>
      </c>
      <c r="R13" s="183"/>
      <c r="S13" s="183">
        <f>'Working Data'!T34</f>
        <v>18.095238095238098</v>
      </c>
      <c r="T13" s="184"/>
      <c r="U13" s="185">
        <f>'Working Data'!V34</f>
        <v>17.142857142857142</v>
      </c>
      <c r="X13" s="242"/>
      <c r="Y13" s="242"/>
      <c r="Z13" s="242"/>
    </row>
    <row r="14" spans="1:26" x14ac:dyDescent="0.25">
      <c r="A14" s="155" t="s">
        <v>18</v>
      </c>
      <c r="B14" s="124" t="s">
        <v>55</v>
      </c>
      <c r="C14" s="181">
        <f>'Working Data'!D35</f>
        <v>44</v>
      </c>
      <c r="D14" s="182">
        <f>'Working Data'!E35</f>
        <v>40</v>
      </c>
      <c r="E14" s="183">
        <f>'Working Data'!F35</f>
        <v>43.809523809523817</v>
      </c>
      <c r="F14" s="183">
        <f>'Working Data'!G35</f>
        <v>44.761904761904766</v>
      </c>
      <c r="G14" s="183"/>
      <c r="H14" s="183">
        <f>'Working Data'!I35</f>
        <v>45.714285714285722</v>
      </c>
      <c r="I14" s="183"/>
      <c r="J14" s="183">
        <f>'Working Data'!K35</f>
        <v>46</v>
      </c>
      <c r="K14" s="183"/>
      <c r="L14" s="183"/>
      <c r="M14" s="183">
        <f>'Working Data'!N35</f>
        <v>40.952380952380949</v>
      </c>
      <c r="N14" s="183"/>
      <c r="O14" s="183"/>
      <c r="P14" s="183"/>
      <c r="Q14" s="183">
        <f>'Working Data'!R35</f>
        <v>43.809523809523817</v>
      </c>
      <c r="R14" s="183"/>
      <c r="S14" s="183">
        <f>'Working Data'!T35</f>
        <v>41.904761904761912</v>
      </c>
      <c r="T14" s="184"/>
      <c r="U14" s="185">
        <f>'Working Data'!V35</f>
        <v>43.809523809523817</v>
      </c>
      <c r="W14" s="243"/>
      <c r="X14" s="242"/>
      <c r="Y14" s="242"/>
      <c r="Z14" s="242"/>
    </row>
    <row r="15" spans="1:26" ht="15.75" thickBot="1" x14ac:dyDescent="0.3">
      <c r="A15" s="157" t="s">
        <v>20</v>
      </c>
      <c r="B15" s="125" t="s">
        <v>6</v>
      </c>
      <c r="C15" s="199">
        <f>'Working Data'!D36</f>
        <v>253</v>
      </c>
      <c r="D15" s="200">
        <f>'Working Data'!E36</f>
        <v>214.28571428571431</v>
      </c>
      <c r="E15" s="201">
        <f>'Working Data'!F36</f>
        <v>220.95238095238099</v>
      </c>
      <c r="F15" s="201">
        <f>'Working Data'!G36</f>
        <v>215.23809523809527</v>
      </c>
      <c r="G15" s="201"/>
      <c r="H15" s="201">
        <f>'Working Data'!I36</f>
        <v>228.57142857142858</v>
      </c>
      <c r="I15" s="201"/>
      <c r="J15" s="201">
        <f>'Working Data'!K36</f>
        <v>275</v>
      </c>
      <c r="K15" s="201"/>
      <c r="L15" s="201"/>
      <c r="M15" s="201">
        <f>'Working Data'!N36</f>
        <v>257.14285714285717</v>
      </c>
      <c r="N15" s="201"/>
      <c r="O15" s="201"/>
      <c r="P15" s="201"/>
      <c r="Q15" s="201">
        <f>'Working Data'!R36</f>
        <v>282.85714285714289</v>
      </c>
      <c r="R15" s="201"/>
      <c r="S15" s="201">
        <f>'Working Data'!T36</f>
        <v>256.1904761904762</v>
      </c>
      <c r="T15" s="202"/>
      <c r="U15" s="203">
        <f>'Working Data'!V36</f>
        <v>253</v>
      </c>
      <c r="X15" s="242"/>
      <c r="Y15" s="242"/>
      <c r="Z15" s="242"/>
    </row>
    <row r="16" spans="1:26" x14ac:dyDescent="0.25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</row>
    <row r="17" spans="1:21" ht="15.75" thickBot="1" x14ac:dyDescent="0.3">
      <c r="A17" s="72" t="s">
        <v>134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</row>
    <row r="18" spans="1:21" ht="15.75" thickBot="1" x14ac:dyDescent="0.3">
      <c r="A18" s="149" t="s">
        <v>123</v>
      </c>
      <c r="B18" s="149" t="s">
        <v>53</v>
      </c>
      <c r="C18" s="171" t="s">
        <v>2</v>
      </c>
      <c r="D18" s="172" t="s">
        <v>41</v>
      </c>
      <c r="E18" s="173" t="s">
        <v>42</v>
      </c>
      <c r="F18" s="173" t="s">
        <v>43</v>
      </c>
      <c r="G18" s="173" t="s">
        <v>44</v>
      </c>
      <c r="H18" s="173" t="s">
        <v>45</v>
      </c>
      <c r="I18" s="173" t="s">
        <v>46</v>
      </c>
      <c r="J18" s="173" t="s">
        <v>82</v>
      </c>
      <c r="K18" s="173" t="s">
        <v>47</v>
      </c>
      <c r="L18" s="173" t="s">
        <v>48</v>
      </c>
      <c r="M18" s="173" t="s">
        <v>49</v>
      </c>
      <c r="N18" s="173" t="s">
        <v>105</v>
      </c>
      <c r="O18" s="173" t="s">
        <v>50</v>
      </c>
      <c r="P18" s="173" t="s">
        <v>51</v>
      </c>
      <c r="Q18" s="173" t="s">
        <v>52</v>
      </c>
      <c r="R18" s="173" t="s">
        <v>103</v>
      </c>
      <c r="S18" s="173" t="s">
        <v>21</v>
      </c>
      <c r="T18" s="174" t="s">
        <v>114</v>
      </c>
      <c r="U18" s="175" t="s">
        <v>3</v>
      </c>
    </row>
    <row r="19" spans="1:21" x14ac:dyDescent="0.25">
      <c r="A19" s="151" t="s">
        <v>5</v>
      </c>
      <c r="B19" s="123" t="s">
        <v>6</v>
      </c>
      <c r="C19" s="176">
        <f>'Working Data'!D91</f>
        <v>7434</v>
      </c>
      <c r="D19" s="177">
        <f>'Working Data'!E91</f>
        <v>7481.4304338482862</v>
      </c>
      <c r="E19" s="177">
        <f>'Working Data'!F91</f>
        <v>6375.3695070711683</v>
      </c>
      <c r="F19" s="177">
        <f>'Working Data'!G91</f>
        <v>6797.5370067136082</v>
      </c>
      <c r="G19" s="177">
        <f>'Working Data'!H91</f>
        <v>6196.8347204071806</v>
      </c>
      <c r="H19" s="177">
        <f>'Working Data'!I91</f>
        <v>5560.4320737327189</v>
      </c>
      <c r="I19" s="177">
        <f>'Working Data'!J91</f>
        <v>9039.9168108459635</v>
      </c>
      <c r="J19" s="177">
        <f>'Working Data'!K91</f>
        <v>6081.7665759984675</v>
      </c>
      <c r="K19" s="177">
        <f>'Working Data'!L91</f>
        <v>5881.8786317579852</v>
      </c>
      <c r="L19" s="177">
        <f>'Working Data'!M91</f>
        <v>7801.5695246749319</v>
      </c>
      <c r="M19" s="177">
        <f>'Working Data'!N91</f>
        <v>8165.9714125769733</v>
      </c>
      <c r="N19" s="177">
        <f>'Working Data'!O91</f>
        <v>7960.225147036519</v>
      </c>
      <c r="O19" s="177">
        <f>'Working Data'!P91</f>
        <v>7441.8712868692064</v>
      </c>
      <c r="P19" s="177">
        <f>'Working Data'!Q91</f>
        <v>7834.9016096271871</v>
      </c>
      <c r="Q19" s="177">
        <f>'Working Data'!R91</f>
        <v>6083.0768973214299</v>
      </c>
      <c r="R19" s="177">
        <f>'Working Data'!S91</f>
        <v>8026.7984064341326</v>
      </c>
      <c r="S19" s="177">
        <f>'Working Data'!T91</f>
        <v>8124.3690462205614</v>
      </c>
      <c r="T19" s="177">
        <f>'Working Data'!U91</f>
        <v>6772.7809672255999</v>
      </c>
      <c r="U19" s="180">
        <f>'Working Data'!V91</f>
        <v>7437.9356434346028</v>
      </c>
    </row>
    <row r="20" spans="1:21" x14ac:dyDescent="0.25">
      <c r="A20" s="155" t="s">
        <v>54</v>
      </c>
      <c r="B20" s="124" t="s">
        <v>19</v>
      </c>
      <c r="C20" s="181">
        <f>'Working Data'!D92</f>
        <v>96</v>
      </c>
      <c r="D20" s="182">
        <f>'Working Data'!E92</f>
        <v>85.211967240514809</v>
      </c>
      <c r="E20" s="183">
        <f>'Working Data'!F92</f>
        <v>88.152761107197634</v>
      </c>
      <c r="F20" s="183">
        <f>'Working Data'!G92</f>
        <v>92.963853605412481</v>
      </c>
      <c r="G20" s="183">
        <f>'Working Data'!H92</f>
        <v>89.047733681821313</v>
      </c>
      <c r="H20" s="183">
        <f>'Working Data'!I92</f>
        <v>112.43502304147466</v>
      </c>
      <c r="I20" s="183">
        <f>'Working Data'!J92</f>
        <v>107.67790336186893</v>
      </c>
      <c r="J20" s="183">
        <f>'Working Data'!K92</f>
        <v>79.787989656163205</v>
      </c>
      <c r="K20" s="183">
        <f>'Working Data'!L92</f>
        <v>105.29776240064221</v>
      </c>
      <c r="L20" s="183">
        <f>'Working Data'!M92</f>
        <v>104.05296293892387</v>
      </c>
      <c r="M20" s="183">
        <f>'Working Data'!N92</f>
        <v>103.67281088792444</v>
      </c>
      <c r="N20" s="183">
        <f>'Working Data'!O92</f>
        <v>96.430565620137401</v>
      </c>
      <c r="O20" s="183">
        <f>'Working Data'!P92</f>
        <v>93.75620808220863</v>
      </c>
      <c r="P20" s="183">
        <f>'Working Data'!Q92</f>
        <v>96.060575175389445</v>
      </c>
      <c r="Q20" s="183">
        <f>'Working Data'!R92</f>
        <v>82.215113467261915</v>
      </c>
      <c r="R20" s="183">
        <f>'Working Data'!S92</f>
        <v>99.096027785480146</v>
      </c>
      <c r="S20" s="183">
        <f>'Working Data'!T92</f>
        <v>96.050716081371846</v>
      </c>
      <c r="T20" s="184">
        <f>'Working Data'!U92</f>
        <v>91.445005421523447</v>
      </c>
      <c r="U20" s="185">
        <f>'Working Data'!V92</f>
        <v>96.025358040685916</v>
      </c>
    </row>
    <row r="21" spans="1:21" x14ac:dyDescent="0.25">
      <c r="A21" s="155" t="s">
        <v>9</v>
      </c>
      <c r="B21" s="124" t="s">
        <v>6</v>
      </c>
      <c r="C21" s="181">
        <f>'Working Data'!D93</f>
        <v>21062</v>
      </c>
      <c r="D21" s="182">
        <f>'Working Data'!E93</f>
        <v>31459.755526372344</v>
      </c>
      <c r="E21" s="183">
        <f>'Working Data'!F93</f>
        <v>22817.872518269865</v>
      </c>
      <c r="F21" s="183">
        <f>'Working Data'!G93</f>
        <v>20572.870372536327</v>
      </c>
      <c r="G21" s="183">
        <f>'Working Data'!H93</f>
        <v>20538.951774664823</v>
      </c>
      <c r="H21" s="183">
        <f>'Working Data'!I93</f>
        <v>23993.389493087565</v>
      </c>
      <c r="I21" s="183">
        <f>'Working Data'!J93</f>
        <v>24758.776760906348</v>
      </c>
      <c r="J21" s="183">
        <f>'Working Data'!K93</f>
        <v>19900.360193468056</v>
      </c>
      <c r="K21" s="183">
        <f>'Working Data'!L93</f>
        <v>23214.342682373313</v>
      </c>
      <c r="L21" s="183">
        <f>'Working Data'!M93</f>
        <v>17058.314523701349</v>
      </c>
      <c r="M21" s="183">
        <f>'Working Data'!N93</f>
        <v>19407.085086202373</v>
      </c>
      <c r="N21" s="183">
        <f>'Working Data'!O93</f>
        <v>22036.250313172342</v>
      </c>
      <c r="O21" s="183">
        <f>'Working Data'!P93</f>
        <v>22834.298859120438</v>
      </c>
      <c r="P21" s="183">
        <f>'Working Data'!Q93</f>
        <v>26281.099924044429</v>
      </c>
      <c r="Q21" s="183">
        <f>'Working Data'!R93</f>
        <v>19188.975781249999</v>
      </c>
      <c r="R21" s="183">
        <f>'Working Data'!S93</f>
        <v>22569.838701858705</v>
      </c>
      <c r="S21" s="183">
        <f>'Working Data'!T93</f>
        <v>20461.497981143919</v>
      </c>
      <c r="T21" s="184">
        <f>'Working Data'!U93</f>
        <v>22501.167447624211</v>
      </c>
      <c r="U21" s="185">
        <f>'Working Data'!V93</f>
        <v>22268.708880398277</v>
      </c>
    </row>
    <row r="22" spans="1:21" x14ac:dyDescent="0.25">
      <c r="A22" s="155" t="s">
        <v>10</v>
      </c>
      <c r="B22" s="124" t="s">
        <v>6</v>
      </c>
      <c r="C22" s="181">
        <f>'Working Data'!D94</f>
        <v>11761</v>
      </c>
      <c r="D22" s="182">
        <f>'Working Data'!E94</f>
        <v>8247.6214608056162</v>
      </c>
      <c r="E22" s="183">
        <f>'Working Data'!F94</f>
        <v>9022.3819952487211</v>
      </c>
      <c r="F22" s="183">
        <f>'Working Data'!G94</f>
        <v>8222.0190069423334</v>
      </c>
      <c r="G22" s="183">
        <f>'Working Data'!H94</f>
        <v>9342.3165534335494</v>
      </c>
      <c r="H22" s="183">
        <f>'Working Data'!I94</f>
        <v>9259.6728110599088</v>
      </c>
      <c r="I22" s="183">
        <f>'Working Data'!J94</f>
        <v>10839.945632254125</v>
      </c>
      <c r="J22" s="183">
        <f>'Working Data'!K94</f>
        <v>10452.226644957378</v>
      </c>
      <c r="K22" s="183">
        <f>'Working Data'!L94</f>
        <v>8282.7219904345184</v>
      </c>
      <c r="L22" s="183">
        <f>'Working Data'!M94</f>
        <v>10477.937041604466</v>
      </c>
      <c r="M22" s="183">
        <f>'Working Data'!N94</f>
        <v>13376.966262018414</v>
      </c>
      <c r="N22" s="183">
        <f>'Working Data'!O94</f>
        <v>7846.7808130684152</v>
      </c>
      <c r="O22" s="183">
        <f>'Working Data'!P94</f>
        <v>11776.347954568328</v>
      </c>
      <c r="P22" s="183">
        <f>'Working Data'!Q94</f>
        <v>13664.379044998219</v>
      </c>
      <c r="Q22" s="183">
        <f>'Working Data'!R94</f>
        <v>7146.3292317708338</v>
      </c>
      <c r="R22" s="183">
        <f>'Working Data'!S94</f>
        <v>8493.1124990261505</v>
      </c>
      <c r="S22" s="183">
        <f>'Working Data'!T94</f>
        <v>11354.865088054348</v>
      </c>
      <c r="T22" s="184">
        <f>'Working Data'!U94</f>
        <v>8026.2587615691427</v>
      </c>
      <c r="U22" s="185">
        <f>'Working Data'!V94</f>
        <v>9300.9946822467282</v>
      </c>
    </row>
    <row r="23" spans="1:21" x14ac:dyDescent="0.25">
      <c r="A23" s="155" t="s">
        <v>11</v>
      </c>
      <c r="B23" s="124" t="s">
        <v>6</v>
      </c>
      <c r="C23" s="181">
        <f>'Working Data'!D95</f>
        <v>21454</v>
      </c>
      <c r="D23" s="182">
        <f>'Working Data'!E95</f>
        <v>23173.170249038947</v>
      </c>
      <c r="E23" s="183">
        <f>'Working Data'!F95</f>
        <v>20339.922023661951</v>
      </c>
      <c r="F23" s="183">
        <f>'Working Data'!G95</f>
        <v>21006.66169254122</v>
      </c>
      <c r="G23" s="183">
        <f>'Working Data'!H95</f>
        <v>21484.689621528814</v>
      </c>
      <c r="H23" s="183">
        <f>'Working Data'!I95</f>
        <v>22107.536405529954</v>
      </c>
      <c r="I23" s="183">
        <f>'Working Data'!J95</f>
        <v>22505.791884108563</v>
      </c>
      <c r="J23" s="183">
        <f>'Working Data'!K95</f>
        <v>18596.419464131784</v>
      </c>
      <c r="K23" s="183">
        <f>'Working Data'!L95</f>
        <v>20662.579915878025</v>
      </c>
      <c r="L23" s="183">
        <f>'Working Data'!M95</f>
        <v>22357.644187706883</v>
      </c>
      <c r="M23" s="183">
        <f>'Working Data'!N95</f>
        <v>24276.363920980515</v>
      </c>
      <c r="N23" s="183">
        <f>'Working Data'!O95</f>
        <v>23415.187875315281</v>
      </c>
      <c r="O23" s="183">
        <f>'Working Data'!P95</f>
        <v>21805.421122150037</v>
      </c>
      <c r="P23" s="183">
        <f>'Working Data'!Q95</f>
        <v>24576.289728040225</v>
      </c>
      <c r="Q23" s="183">
        <f>'Working Data'!R95</f>
        <v>18161.558026413692</v>
      </c>
      <c r="R23" s="183">
        <f>'Working Data'!S95</f>
        <v>17803.281462440431</v>
      </c>
      <c r="S23" s="183">
        <f>'Working Data'!T95</f>
        <v>23600.287358906629</v>
      </c>
      <c r="T23" s="184">
        <f>'Working Data'!U95</f>
        <v>20035.165235449018</v>
      </c>
      <c r="U23" s="185">
        <f>'Working Data'!V95</f>
        <v>21645.055371839426</v>
      </c>
    </row>
    <row r="24" spans="1:21" x14ac:dyDescent="0.25">
      <c r="A24" s="155" t="s">
        <v>12</v>
      </c>
      <c r="B24" s="124" t="s">
        <v>6</v>
      </c>
      <c r="C24" s="181">
        <f>'Working Data'!D96</f>
        <v>88943</v>
      </c>
      <c r="D24" s="182">
        <f>'Working Data'!E96</f>
        <v>93740.883111673553</v>
      </c>
      <c r="E24" s="183">
        <f>'Working Data'!F96</f>
        <v>86679.058278074459</v>
      </c>
      <c r="F24" s="183">
        <f>'Working Data'!G96</f>
        <v>85938.163849446762</v>
      </c>
      <c r="G24" s="183">
        <f>'Working Data'!H96</f>
        <v>81032.349119736697</v>
      </c>
      <c r="H24" s="183">
        <f>'Working Data'!I96</f>
        <v>91051.592626728132</v>
      </c>
      <c r="I24" s="183">
        <f>'Working Data'!J96</f>
        <v>82989.255000764766</v>
      </c>
      <c r="J24" s="183">
        <f>'Working Data'!K96</f>
        <v>79048.320529642748</v>
      </c>
      <c r="K24" s="183">
        <f>'Working Data'!L96</f>
        <v>78336.254456058057</v>
      </c>
      <c r="L24" s="183">
        <f>'Working Data'!M96</f>
        <v>92754.947569286684</v>
      </c>
      <c r="M24" s="183">
        <f>'Working Data'!N96</f>
        <v>94003.133423441162</v>
      </c>
      <c r="N24" s="183">
        <f>'Working Data'!O96</f>
        <v>95092.694360650959</v>
      </c>
      <c r="O24" s="183">
        <f>'Working Data'!P96</f>
        <v>87038.071297424845</v>
      </c>
      <c r="P24" s="183">
        <f>'Working Data'!Q96</f>
        <v>93950.770063312491</v>
      </c>
      <c r="Q24" s="183">
        <f>'Working Data'!R96</f>
        <v>81584.493571428582</v>
      </c>
      <c r="R24" s="183">
        <f>'Working Data'!S96</f>
        <v>92602.931918536808</v>
      </c>
      <c r="S24" s="183">
        <f>'Working Data'!T96</f>
        <v>98402.561007984797</v>
      </c>
      <c r="T24" s="184">
        <f>'Working Data'!U96</f>
        <v>84280.455123985084</v>
      </c>
      <c r="U24" s="185">
        <f>'Working Data'!V96</f>
        <v>87990.535648712423</v>
      </c>
    </row>
    <row r="25" spans="1:21" ht="15.75" thickBot="1" x14ac:dyDescent="0.3">
      <c r="A25" s="186" t="s">
        <v>13</v>
      </c>
      <c r="B25" s="187" t="s">
        <v>6</v>
      </c>
      <c r="C25" s="188">
        <f>'Working Data'!D97</f>
        <v>85242</v>
      </c>
      <c r="D25" s="189">
        <f>'Working Data'!E97</f>
        <v>85218.19100785561</v>
      </c>
      <c r="E25" s="190">
        <f>'Working Data'!F97</f>
        <v>85037.284523711132</v>
      </c>
      <c r="F25" s="190">
        <f>'Working Data'!G97</f>
        <v>79787.850382465083</v>
      </c>
      <c r="G25" s="190">
        <f>'Working Data'!H97</f>
        <v>80006.257498987397</v>
      </c>
      <c r="H25" s="190">
        <f>'Working Data'!I97</f>
        <v>90716.894746543767</v>
      </c>
      <c r="I25" s="190">
        <f>'Working Data'!J97</f>
        <v>90659.875805334988</v>
      </c>
      <c r="J25" s="190">
        <f>'Working Data'!K97</f>
        <v>76569.110779618801</v>
      </c>
      <c r="K25" s="190">
        <f>'Working Data'!L97</f>
        <v>84425.094612995308</v>
      </c>
      <c r="L25" s="190">
        <f>'Working Data'!M97</f>
        <v>89614.609844010294</v>
      </c>
      <c r="M25" s="190">
        <f>'Working Data'!N97</f>
        <v>93107.181666914606</v>
      </c>
      <c r="N25" s="190">
        <f>'Working Data'!O97</f>
        <v>91686.090070049482</v>
      </c>
      <c r="O25" s="190">
        <f>'Working Data'!P97</f>
        <v>84221.569210788206</v>
      </c>
      <c r="P25" s="190">
        <f>'Working Data'!Q97</f>
        <v>88144.668603169761</v>
      </c>
      <c r="Q25" s="190">
        <f>'Working Data'!R97</f>
        <v>75995.391934523825</v>
      </c>
      <c r="R25" s="190">
        <f>'Working Data'!S97</f>
        <v>83312.456178642009</v>
      </c>
      <c r="S25" s="190">
        <f>'Working Data'!T97</f>
        <v>95276.970674865181</v>
      </c>
      <c r="T25" s="191">
        <f>'Working Data'!U97</f>
        <v>81132.669377428392</v>
      </c>
      <c r="U25" s="192">
        <f>'Working Data'!V97</f>
        <v>85127.737765783371</v>
      </c>
    </row>
    <row r="26" spans="1:21" ht="15.75" thickBot="1" x14ac:dyDescent="0.3">
      <c r="A26" s="149" t="s">
        <v>124</v>
      </c>
      <c r="B26" s="193"/>
      <c r="C26" s="194"/>
      <c r="D26" s="195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7"/>
      <c r="U26" s="198"/>
    </row>
    <row r="27" spans="1:21" x14ac:dyDescent="0.25">
      <c r="A27" s="151" t="s">
        <v>15</v>
      </c>
      <c r="B27" s="123" t="s">
        <v>55</v>
      </c>
      <c r="C27" s="176">
        <f>'Working Data'!D99</f>
        <v>2111</v>
      </c>
      <c r="D27" s="177">
        <f>'Working Data'!E99</f>
        <v>5049.2995630476835</v>
      </c>
      <c r="E27" s="178">
        <f>'Working Data'!F99</f>
        <v>2838.3984156280626</v>
      </c>
      <c r="F27" s="178">
        <f>'Working Data'!G99</f>
        <v>3163.5298821804804</v>
      </c>
      <c r="G27" s="178">
        <f>'Working Data'!H99</f>
        <v>4603.6233960764539</v>
      </c>
      <c r="H27" s="178">
        <f>'Working Data'!I99</f>
        <v>4386.2851612903232</v>
      </c>
      <c r="I27" s="178">
        <f>'Working Data'!J99</f>
        <v>4507.1533910801209</v>
      </c>
      <c r="J27" s="178">
        <f>'Working Data'!K99</f>
        <v>2692.3631816875773</v>
      </c>
      <c r="K27" s="178">
        <f>'Working Data'!L99</f>
        <v>5101.9545629873001</v>
      </c>
      <c r="L27" s="178">
        <f>'Working Data'!M99</f>
        <v>3521.0564375500317</v>
      </c>
      <c r="M27" s="178">
        <f>'Working Data'!N99</f>
        <v>4890.9824906462536</v>
      </c>
      <c r="N27" s="178">
        <f>'Working Data'!O99</f>
        <v>4464.7523101726238</v>
      </c>
      <c r="O27" s="178">
        <f>'Working Data'!P99</f>
        <v>3470.7478060739572</v>
      </c>
      <c r="P27" s="178">
        <f>'Working Data'!Q99</f>
        <v>3593.1937012689195</v>
      </c>
      <c r="Q27" s="178">
        <f>'Working Data'!R99</f>
        <v>3279.9824051339288</v>
      </c>
      <c r="R27" s="178">
        <f>'Working Data'!S99</f>
        <v>4783.5507261212952</v>
      </c>
      <c r="S27" s="178">
        <f>'Working Data'!T99</f>
        <v>3510.0116530454015</v>
      </c>
      <c r="T27" s="179">
        <f>'Working Data'!U99</f>
        <v>3991.2146584440229</v>
      </c>
      <c r="U27" s="180">
        <f>'Working Data'!V99</f>
        <v>3792.2041798564715</v>
      </c>
    </row>
    <row r="28" spans="1:21" x14ac:dyDescent="0.25">
      <c r="A28" s="155" t="s">
        <v>17</v>
      </c>
      <c r="B28" s="124" t="s">
        <v>6</v>
      </c>
      <c r="C28" s="181">
        <f>'Working Data'!D100</f>
        <v>18</v>
      </c>
      <c r="D28" s="182">
        <f>'Working Data'!E100</f>
        <v>18.89796327690361</v>
      </c>
      <c r="E28" s="183">
        <f>'Working Data'!F100</f>
        <v>19.125157774743187</v>
      </c>
      <c r="F28" s="183">
        <f>'Working Data'!G100</f>
        <v>20.107181454536946</v>
      </c>
      <c r="G28" s="183"/>
      <c r="H28" s="183">
        <f>'Working Data'!I100</f>
        <v>20.249585253456218</v>
      </c>
      <c r="I28" s="183"/>
      <c r="J28" s="183">
        <f>'Working Data'!K100</f>
        <v>14.88792213389522</v>
      </c>
      <c r="K28" s="183"/>
      <c r="L28" s="183"/>
      <c r="M28" s="183">
        <f>'Working Data'!N100</f>
        <v>17.479499631525584</v>
      </c>
      <c r="N28" s="183"/>
      <c r="O28" s="183"/>
      <c r="P28" s="183"/>
      <c r="Q28" s="183">
        <f>'Working Data'!R100</f>
        <v>12.089315476190475</v>
      </c>
      <c r="R28" s="183"/>
      <c r="S28" s="183">
        <f>'Working Data'!T100</f>
        <v>20.388328158930801</v>
      </c>
      <c r="T28" s="184"/>
      <c r="U28" s="185">
        <f>'Working Data'!V100</f>
        <v>18.89796327690361</v>
      </c>
    </row>
    <row r="29" spans="1:21" x14ac:dyDescent="0.25">
      <c r="A29" s="155" t="s">
        <v>18</v>
      </c>
      <c r="B29" s="124" t="s">
        <v>55</v>
      </c>
      <c r="C29" s="181">
        <f>'Working Data'!D101</f>
        <v>44</v>
      </c>
      <c r="D29" s="182">
        <f>'Working Data'!E101</f>
        <v>49.607153601871971</v>
      </c>
      <c r="E29" s="183">
        <f>'Working Data'!F101</f>
        <v>51.750426919893336</v>
      </c>
      <c r="F29" s="183">
        <f>'Working Data'!G101</f>
        <v>52.502084909068699</v>
      </c>
      <c r="G29" s="183"/>
      <c r="H29" s="183">
        <f>'Working Data'!I101</f>
        <v>53.998894009216606</v>
      </c>
      <c r="I29" s="183"/>
      <c r="J29" s="183">
        <f>'Working Data'!K101</f>
        <v>36.044443061009474</v>
      </c>
      <c r="K29" s="183"/>
      <c r="L29" s="183"/>
      <c r="M29" s="183">
        <f>'Working Data'!N101</f>
        <v>46.976155259725004</v>
      </c>
      <c r="N29" s="183"/>
      <c r="O29" s="183"/>
      <c r="P29" s="183"/>
      <c r="Q29" s="183">
        <f>'Working Data'!R101</f>
        <v>34.756781994047628</v>
      </c>
      <c r="R29" s="183"/>
      <c r="S29" s="183">
        <f>'Working Data'!T101</f>
        <v>47.215075736471327</v>
      </c>
      <c r="T29" s="184"/>
      <c r="U29" s="185">
        <f>'Working Data'!V101</f>
        <v>47.215075736471327</v>
      </c>
    </row>
    <row r="30" spans="1:21" ht="15.75" thickBot="1" x14ac:dyDescent="0.3">
      <c r="A30" s="157" t="s">
        <v>20</v>
      </c>
      <c r="B30" s="125" t="s">
        <v>6</v>
      </c>
      <c r="C30" s="199">
        <f>'Working Data'!D102</f>
        <v>253</v>
      </c>
      <c r="D30" s="200">
        <f>'Working Data'!E102</f>
        <v>265.75260858145703</v>
      </c>
      <c r="E30" s="201">
        <f>'Working Data'!F102</f>
        <v>261.00215316120114</v>
      </c>
      <c r="F30" s="201">
        <f>'Working Data'!G102</f>
        <v>252.45683381807501</v>
      </c>
      <c r="G30" s="201"/>
      <c r="H30" s="201">
        <f>'Working Data'!I102</f>
        <v>269.99447004608294</v>
      </c>
      <c r="I30" s="201"/>
      <c r="J30" s="201">
        <f>'Working Data'!K102</f>
        <v>215.48308351690451</v>
      </c>
      <c r="K30" s="201"/>
      <c r="L30" s="201"/>
      <c r="M30" s="201">
        <f>'Working Data'!N102</f>
        <v>294.96655628199426</v>
      </c>
      <c r="N30" s="201"/>
      <c r="O30" s="201"/>
      <c r="P30" s="201"/>
      <c r="Q30" s="201">
        <f>'Working Data'!R102</f>
        <v>224.40791852678575</v>
      </c>
      <c r="R30" s="201"/>
      <c r="S30" s="201">
        <f>'Working Data'!T102</f>
        <v>288.65580393433601</v>
      </c>
      <c r="T30" s="202"/>
      <c r="U30" s="203">
        <f>'Working Data'!V102</f>
        <v>261.00215316120114</v>
      </c>
    </row>
    <row r="31" spans="1:21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</row>
    <row r="32" spans="1:21" ht="15.75" thickBot="1" x14ac:dyDescent="0.3">
      <c r="A32" s="72" t="s">
        <v>135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</row>
    <row r="33" spans="1:23" x14ac:dyDescent="0.25">
      <c r="A33" s="204" t="s">
        <v>123</v>
      </c>
      <c r="B33" s="204" t="s">
        <v>53</v>
      </c>
      <c r="C33" s="205" t="s">
        <v>2</v>
      </c>
      <c r="D33" s="206" t="s">
        <v>41</v>
      </c>
      <c r="E33" s="207" t="s">
        <v>42</v>
      </c>
      <c r="F33" s="207" t="s">
        <v>43</v>
      </c>
      <c r="G33" s="207" t="s">
        <v>44</v>
      </c>
      <c r="H33" s="207" t="s">
        <v>45</v>
      </c>
      <c r="I33" s="207" t="s">
        <v>46</v>
      </c>
      <c r="J33" s="207" t="s">
        <v>82</v>
      </c>
      <c r="K33" s="207" t="s">
        <v>47</v>
      </c>
      <c r="L33" s="207" t="s">
        <v>48</v>
      </c>
      <c r="M33" s="207" t="s">
        <v>49</v>
      </c>
      <c r="N33" s="207" t="s">
        <v>105</v>
      </c>
      <c r="O33" s="207" t="s">
        <v>50</v>
      </c>
      <c r="P33" s="207" t="s">
        <v>51</v>
      </c>
      <c r="Q33" s="207" t="s">
        <v>52</v>
      </c>
      <c r="R33" s="207" t="s">
        <v>103</v>
      </c>
      <c r="S33" s="207" t="s">
        <v>21</v>
      </c>
      <c r="T33" s="208" t="s">
        <v>114</v>
      </c>
      <c r="U33" s="209" t="s">
        <v>4</v>
      </c>
      <c r="W33" s="240"/>
    </row>
    <row r="34" spans="1:23" x14ac:dyDescent="0.25">
      <c r="A34" s="155" t="s">
        <v>5</v>
      </c>
      <c r="B34" s="124" t="s">
        <v>6</v>
      </c>
      <c r="C34" s="210">
        <f>'Working Data'!D108</f>
        <v>7434</v>
      </c>
      <c r="D34" s="211">
        <f>'Working Data'!E108</f>
        <v>7481.4304338482862</v>
      </c>
      <c r="E34" s="212">
        <f>'Working Data'!F108</f>
        <v>6954.9485531685468</v>
      </c>
      <c r="F34" s="212">
        <f>'Working Data'!G108</f>
        <v>7724.4738712654635</v>
      </c>
      <c r="G34" s="212">
        <f>'Working Data'!H108</f>
        <v>7605.2062477724494</v>
      </c>
      <c r="H34" s="212">
        <f>'Working Data'!I108</f>
        <v>6065.9258986175109</v>
      </c>
      <c r="I34" s="212">
        <f>'Working Data'!J108</f>
        <v>9861.7274300137778</v>
      </c>
      <c r="J34" s="212">
        <f>'Working Data'!K108</f>
        <v>6358.2105112711251</v>
      </c>
      <c r="K34" s="212">
        <f>'Working Data'!L108</f>
        <v>6683.9529906340731</v>
      </c>
      <c r="L34" s="212">
        <f>'Working Data'!M108</f>
        <v>8156.1863212510652</v>
      </c>
      <c r="M34" s="212">
        <f>'Working Data'!N108</f>
        <v>8165.9714125769733</v>
      </c>
      <c r="N34" s="212">
        <f>'Working Data'!O108</f>
        <v>8322.0535628109064</v>
      </c>
      <c r="O34" s="212">
        <f>'Working Data'!P108</f>
        <v>8456.6719168968248</v>
      </c>
      <c r="P34" s="212">
        <f>'Working Data'!Q108</f>
        <v>7834.9016096271871</v>
      </c>
      <c r="Q34" s="212">
        <f>'Working Data'!R108</f>
        <v>6636.0838879870144</v>
      </c>
      <c r="R34" s="212">
        <f>'Working Data'!S108</f>
        <v>8026.7984064341326</v>
      </c>
      <c r="S34" s="212">
        <f>'Working Data'!T108</f>
        <v>8124.3690462205614</v>
      </c>
      <c r="T34" s="213">
        <f>'Working Data'!U108</f>
        <v>7080.6346475540358</v>
      </c>
      <c r="U34" s="214">
        <f>'Working Data'!V108</f>
        <v>7664.840059518956</v>
      </c>
      <c r="W34" s="240"/>
    </row>
    <row r="35" spans="1:23" x14ac:dyDescent="0.25">
      <c r="A35" s="155" t="s">
        <v>54</v>
      </c>
      <c r="B35" s="124" t="s">
        <v>19</v>
      </c>
      <c r="C35" s="210">
        <f>'Working Data'!D109</f>
        <v>96</v>
      </c>
      <c r="D35" s="211">
        <f>'Working Data'!E109</f>
        <v>85.211967240514809</v>
      </c>
      <c r="E35" s="212">
        <f>'Working Data'!F109</f>
        <v>91.985489850988827</v>
      </c>
      <c r="F35" s="212">
        <f>'Working Data'!G109</f>
        <v>105.08957364090105</v>
      </c>
      <c r="G35" s="212">
        <f>'Working Data'!H109</f>
        <v>108.40593665613031</v>
      </c>
      <c r="H35" s="212">
        <f>'Working Data'!I109</f>
        <v>122.21198156682028</v>
      </c>
      <c r="I35" s="212">
        <f>'Working Data'!J109</f>
        <v>126.4044952508896</v>
      </c>
      <c r="J35" s="212">
        <f>'Working Data'!K109</f>
        <v>83.257032684692035</v>
      </c>
      <c r="K35" s="212">
        <f>'Working Data'!L109</f>
        <v>119.03225314855206</v>
      </c>
      <c r="L35" s="212">
        <f>'Working Data'!M109</f>
        <v>108.5770048058336</v>
      </c>
      <c r="M35" s="212">
        <f>'Working Data'!N109</f>
        <v>108.18032440479072</v>
      </c>
      <c r="N35" s="212">
        <f>'Working Data'!O109</f>
        <v>100.62319890796945</v>
      </c>
      <c r="O35" s="212">
        <f>'Working Data'!P109</f>
        <v>105.98527870162714</v>
      </c>
      <c r="P35" s="212">
        <f>'Working Data'!Q109</f>
        <v>96.060575175389445</v>
      </c>
      <c r="Q35" s="212">
        <f>'Working Data'!R109</f>
        <v>85.789683618012432</v>
      </c>
      <c r="R35" s="212">
        <f>'Working Data'!S109</f>
        <v>94.787504838285358</v>
      </c>
      <c r="S35" s="212">
        <f>'Working Data'!T109</f>
        <v>96.050716081371846</v>
      </c>
      <c r="T35" s="213">
        <f>'Working Data'!U109</f>
        <v>95.420875222459244</v>
      </c>
      <c r="U35" s="214">
        <f>'Working Data'!V109</f>
        <v>98.341887041679456</v>
      </c>
      <c r="W35" s="240"/>
    </row>
    <row r="36" spans="1:23" x14ac:dyDescent="0.25">
      <c r="A36" s="155" t="s">
        <v>9</v>
      </c>
      <c r="B36" s="124" t="s">
        <v>6</v>
      </c>
      <c r="C36" s="210">
        <f>'Working Data'!D110</f>
        <v>21062</v>
      </c>
      <c r="D36" s="211">
        <f>'Working Data'!E110</f>
        <v>31459.755526372344</v>
      </c>
      <c r="E36" s="212">
        <f>'Working Data'!F110</f>
        <v>24892.224565385306</v>
      </c>
      <c r="F36" s="212">
        <f>'Working Data'!G110</f>
        <v>23378.261786973097</v>
      </c>
      <c r="G36" s="212">
        <f>'Working Data'!H110</f>
        <v>25206.895359815921</v>
      </c>
      <c r="H36" s="212">
        <f>'Working Data'!I110</f>
        <v>26174.606719731888</v>
      </c>
      <c r="I36" s="212">
        <f>'Working Data'!J110</f>
        <v>27009.57464826147</v>
      </c>
      <c r="J36" s="212">
        <f>'Working Data'!K110</f>
        <v>20804.922020443875</v>
      </c>
      <c r="K36" s="212">
        <f>'Working Data'!L110</f>
        <v>26379.934866333308</v>
      </c>
      <c r="L36" s="212">
        <f>'Working Data'!M110</f>
        <v>17833.692456596862</v>
      </c>
      <c r="M36" s="212">
        <f>'Working Data'!N110</f>
        <v>19407.085086202373</v>
      </c>
      <c r="N36" s="212">
        <f>'Working Data'!O110</f>
        <v>23037.898054680176</v>
      </c>
      <c r="O36" s="212">
        <f>'Working Data'!P110</f>
        <v>25948.066885364129</v>
      </c>
      <c r="P36" s="212">
        <f>'Working Data'!Q110</f>
        <v>26281.099924044429</v>
      </c>
      <c r="Q36" s="212">
        <f>'Working Data'!R110</f>
        <v>20933.428124999999</v>
      </c>
      <c r="R36" s="212">
        <f>'Working Data'!S110</f>
        <v>22569.838701858705</v>
      </c>
      <c r="S36" s="212">
        <f>'Working Data'!T110</f>
        <v>20461.497981143919</v>
      </c>
      <c r="T36" s="213">
        <f>'Working Data'!U110</f>
        <v>23523.947786152585</v>
      </c>
      <c r="U36" s="214">
        <f>'Working Data'!V110</f>
        <v>23451.104786562842</v>
      </c>
      <c r="W36" s="240"/>
    </row>
    <row r="37" spans="1:23" x14ac:dyDescent="0.25">
      <c r="A37" s="155" t="s">
        <v>10</v>
      </c>
      <c r="B37" s="124" t="s">
        <v>6</v>
      </c>
      <c r="C37" s="210">
        <f>'Working Data'!D111</f>
        <v>11761</v>
      </c>
      <c r="D37" s="211">
        <f>'Working Data'!E111</f>
        <v>8247.6214608056162</v>
      </c>
      <c r="E37" s="212">
        <f>'Working Data'!F111</f>
        <v>9842.5985402713322</v>
      </c>
      <c r="F37" s="212">
        <f>'Working Data'!G111</f>
        <v>9343.2034169799226</v>
      </c>
      <c r="G37" s="212">
        <f>'Working Data'!H111</f>
        <v>11465.570315577537</v>
      </c>
      <c r="H37" s="212">
        <f>'Working Data'!I111</f>
        <v>10101.46124842899</v>
      </c>
      <c r="I37" s="212">
        <f>'Working Data'!J111</f>
        <v>11825.395235186317</v>
      </c>
      <c r="J37" s="212">
        <f>'Working Data'!K111</f>
        <v>10927.327856091804</v>
      </c>
      <c r="K37" s="212">
        <f>'Working Data'!L111</f>
        <v>9412.1840800392238</v>
      </c>
      <c r="L37" s="212">
        <f>'Working Data'!M111</f>
        <v>10954.20690713194</v>
      </c>
      <c r="M37" s="212">
        <f>'Working Data'!N111</f>
        <v>13376.966262018414</v>
      </c>
      <c r="N37" s="212">
        <f>'Working Data'!O111</f>
        <v>8203.4526682078886</v>
      </c>
      <c r="O37" s="212">
        <f>'Working Data'!P111</f>
        <v>13382.213584736735</v>
      </c>
      <c r="P37" s="212">
        <f>'Working Data'!Q111</f>
        <v>13664.379044998219</v>
      </c>
      <c r="Q37" s="212">
        <f>'Working Data'!R111</f>
        <v>7795.9955255681816</v>
      </c>
      <c r="R37" s="212">
        <f>'Working Data'!S111</f>
        <v>8493.1124990261505</v>
      </c>
      <c r="S37" s="212">
        <f>'Working Data'!T111</f>
        <v>11354.865088054348</v>
      </c>
      <c r="T37" s="213">
        <f>'Working Data'!U111</f>
        <v>8391.0887052768303</v>
      </c>
      <c r="U37" s="214">
        <f>'Working Data'!V111</f>
        <v>10514.394552260397</v>
      </c>
      <c r="W37" s="240"/>
    </row>
    <row r="38" spans="1:23" x14ac:dyDescent="0.25">
      <c r="A38" s="155" t="s">
        <v>11</v>
      </c>
      <c r="B38" s="124" t="s">
        <v>6</v>
      </c>
      <c r="C38" s="210">
        <f>'Working Data'!D112</f>
        <v>21454</v>
      </c>
      <c r="D38" s="211">
        <f>'Working Data'!E112</f>
        <v>23173.170249038947</v>
      </c>
      <c r="E38" s="212">
        <f>'Working Data'!F112</f>
        <v>21224.26645947334</v>
      </c>
      <c r="F38" s="212">
        <f>'Working Data'!G112</f>
        <v>23746.661043742246</v>
      </c>
      <c r="G38" s="212">
        <f>'Working Data'!H112</f>
        <v>26155.274321861169</v>
      </c>
      <c r="H38" s="212">
        <f>'Working Data'!I112</f>
        <v>24029.930875576036</v>
      </c>
      <c r="I38" s="212">
        <f>'Working Data'!J112</f>
        <v>26419.842646562225</v>
      </c>
      <c r="J38" s="212">
        <f>'Working Data'!K112</f>
        <v>19404.959440833165</v>
      </c>
      <c r="K38" s="212">
        <f>'Working Data'!L112</f>
        <v>23357.699035340374</v>
      </c>
      <c r="L38" s="212">
        <f>'Working Data'!M112</f>
        <v>23329.715674128922</v>
      </c>
      <c r="M38" s="212">
        <f>'Working Data'!N112</f>
        <v>25331.858004501406</v>
      </c>
      <c r="N38" s="212">
        <f>'Working Data'!O112</f>
        <v>24433.239522068117</v>
      </c>
      <c r="O38" s="212">
        <f>'Working Data'!P112</f>
        <v>24649.606485908735</v>
      </c>
      <c r="P38" s="212">
        <f>'Working Data'!Q112</f>
        <v>24576.289728040225</v>
      </c>
      <c r="Q38" s="212">
        <f>'Working Data'!R112</f>
        <v>18951.190984083853</v>
      </c>
      <c r="R38" s="212">
        <f>'Working Data'!S112</f>
        <v>17029.22574668215</v>
      </c>
      <c r="S38" s="212">
        <f>'Working Data'!T112</f>
        <v>23600.287358906629</v>
      </c>
      <c r="T38" s="213">
        <f>'Working Data'!U112</f>
        <v>20906.259376120714</v>
      </c>
      <c r="U38" s="214">
        <f>'Working Data'!V112</f>
        <v>23478.993197123502</v>
      </c>
      <c r="W38" s="240"/>
    </row>
    <row r="39" spans="1:23" x14ac:dyDescent="0.25">
      <c r="A39" s="155" t="s">
        <v>12</v>
      </c>
      <c r="B39" s="124" t="s">
        <v>6</v>
      </c>
      <c r="C39" s="210">
        <f>'Working Data'!D113</f>
        <v>88943</v>
      </c>
      <c r="D39" s="211">
        <f>'Working Data'!E113</f>
        <v>93740.883111673553</v>
      </c>
      <c r="E39" s="212">
        <f>'Working Data'!F113</f>
        <v>90447.712985816819</v>
      </c>
      <c r="F39" s="212">
        <f>'Working Data'!G113</f>
        <v>97147.489568939811</v>
      </c>
      <c r="G39" s="212">
        <f>'Working Data'!H113</f>
        <v>98648.077189244679</v>
      </c>
      <c r="H39" s="212">
        <f>'Working Data'!I113</f>
        <v>98969.122420356667</v>
      </c>
      <c r="I39" s="212">
        <f>'Working Data'!J113</f>
        <v>97422.168913941234</v>
      </c>
      <c r="J39" s="212">
        <f>'Working Data'!K113</f>
        <v>82485.204030931563</v>
      </c>
      <c r="K39" s="212">
        <f>'Working Data'!L113</f>
        <v>88554.026776413448</v>
      </c>
      <c r="L39" s="212">
        <f>'Working Data'!M113</f>
        <v>96787.771376646968</v>
      </c>
      <c r="M39" s="212">
        <f>'Working Data'!N113</f>
        <v>98090.226180982077</v>
      </c>
      <c r="N39" s="212">
        <f>'Working Data'!O113</f>
        <v>99227.159332853174</v>
      </c>
      <c r="O39" s="212">
        <f>'Working Data'!P113</f>
        <v>98390.863205784597</v>
      </c>
      <c r="P39" s="212">
        <f>'Working Data'!Q113</f>
        <v>93950.770063312491</v>
      </c>
      <c r="Q39" s="212">
        <f>'Working Data'!R113</f>
        <v>85131.645465838519</v>
      </c>
      <c r="R39" s="212">
        <f>'Working Data'!S113</f>
        <v>88576.717487296075</v>
      </c>
      <c r="S39" s="212">
        <f>'Working Data'!T113</f>
        <v>98402.561007984797</v>
      </c>
      <c r="T39" s="213">
        <f>'Working Data'!U113</f>
        <v>87944.822738071394</v>
      </c>
      <c r="U39" s="214">
        <f>'Working Data'!V113</f>
        <v>95369.27071997973</v>
      </c>
      <c r="W39" s="240"/>
    </row>
    <row r="40" spans="1:23" ht="15.75" thickBot="1" x14ac:dyDescent="0.3">
      <c r="A40" s="186" t="s">
        <v>13</v>
      </c>
      <c r="B40" s="187" t="s">
        <v>6</v>
      </c>
      <c r="C40" s="215">
        <f>'Working Data'!D114</f>
        <v>85242</v>
      </c>
      <c r="D40" s="216">
        <f>'Working Data'!E114</f>
        <v>85218.19100785561</v>
      </c>
      <c r="E40" s="217">
        <f>'Working Data'!F114</f>
        <v>92767.946753139404</v>
      </c>
      <c r="F40" s="217">
        <f>'Working Data'!G114</f>
        <v>90668.011798255771</v>
      </c>
      <c r="G40" s="217">
        <f>'Working Data'!H114</f>
        <v>98189.49783966635</v>
      </c>
      <c r="H40" s="217">
        <f>'Working Data'!I114</f>
        <v>98963.885178047742</v>
      </c>
      <c r="I40" s="217">
        <f>'Working Data'!J114</f>
        <v>98901.682696729069</v>
      </c>
      <c r="J40" s="217">
        <f>'Working Data'!K114</f>
        <v>80049.524905965111</v>
      </c>
      <c r="K40" s="217">
        <f>'Working Data'!L114</f>
        <v>95937.607514767384</v>
      </c>
      <c r="L40" s="217">
        <f>'Working Data'!M114</f>
        <v>93688.001200556217</v>
      </c>
      <c r="M40" s="217">
        <f>'Working Data'!N114</f>
        <v>93107.181666914606</v>
      </c>
      <c r="N40" s="217">
        <f>'Working Data'!O114</f>
        <v>95853.639618688088</v>
      </c>
      <c r="O40" s="217">
        <f>'Working Data'!P114</f>
        <v>95706.328648622948</v>
      </c>
      <c r="P40" s="217">
        <f>'Working Data'!Q114</f>
        <v>88144.668603169761</v>
      </c>
      <c r="Q40" s="217">
        <f>'Working Data'!R114</f>
        <v>82904.063928571442</v>
      </c>
      <c r="R40" s="217">
        <f>'Working Data'!S114</f>
        <v>83312.456178642009</v>
      </c>
      <c r="S40" s="217">
        <f>'Working Data'!T114</f>
        <v>95276.970674865181</v>
      </c>
      <c r="T40" s="218">
        <f>'Working Data'!U114</f>
        <v>84820.517985493323</v>
      </c>
      <c r="U40" s="219">
        <f>'Working Data'!V114</f>
        <v>92937.564210027005</v>
      </c>
      <c r="W40" s="240"/>
    </row>
    <row r="41" spans="1:23" ht="15.75" thickBot="1" x14ac:dyDescent="0.3">
      <c r="A41" s="149" t="s">
        <v>124</v>
      </c>
      <c r="B41" s="193"/>
      <c r="C41" s="220"/>
      <c r="D41" s="195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7"/>
      <c r="U41" s="198"/>
      <c r="W41" s="240"/>
    </row>
    <row r="42" spans="1:23" x14ac:dyDescent="0.25">
      <c r="A42" s="151" t="s">
        <v>15</v>
      </c>
      <c r="B42" s="123" t="s">
        <v>55</v>
      </c>
      <c r="C42" s="221">
        <f>'Working Data'!D116</f>
        <v>2111</v>
      </c>
      <c r="D42" s="222">
        <f>'Working Data'!E116</f>
        <v>5049.2995630476835</v>
      </c>
      <c r="E42" s="223">
        <f>'Working Data'!F116</f>
        <v>3193.1982175815706</v>
      </c>
      <c r="F42" s="223">
        <f>'Working Data'!G116</f>
        <v>3558.9711174530403</v>
      </c>
      <c r="G42" s="223">
        <f>'Working Data'!H116</f>
        <v>5466.8027828407894</v>
      </c>
      <c r="H42" s="223">
        <f>'Working Data'!I116</f>
        <v>4934.5708064516139</v>
      </c>
      <c r="I42" s="223">
        <f>'Working Data'!J116</f>
        <v>4788.8504780226285</v>
      </c>
      <c r="J42" s="223">
        <f>'Working Data'!K116</f>
        <v>2860.6358805430509</v>
      </c>
      <c r="K42" s="223">
        <f>'Working Data'!L116</f>
        <v>6058.5710435474184</v>
      </c>
      <c r="L42" s="223">
        <f>'Working Data'!M116</f>
        <v>3521.0564375500317</v>
      </c>
      <c r="M42" s="223">
        <f>'Working Data'!N116</f>
        <v>4890.9824906462536</v>
      </c>
      <c r="N42" s="223">
        <f>'Working Data'!O116</f>
        <v>4743.7993295584129</v>
      </c>
      <c r="O42" s="223">
        <f>'Working Data'!P116</f>
        <v>3687.6695439535797</v>
      </c>
      <c r="P42" s="223">
        <f>'Working Data'!Q116</f>
        <v>3593.1937012689195</v>
      </c>
      <c r="Q42" s="223">
        <f>'Working Data'!R116</f>
        <v>3689.9802057756697</v>
      </c>
      <c r="R42" s="223">
        <f>'Working Data'!S116</f>
        <v>4783.5507261212952</v>
      </c>
      <c r="S42" s="223">
        <f>'Working Data'!T116</f>
        <v>3510.0116530454015</v>
      </c>
      <c r="T42" s="224">
        <f>'Working Data'!U116</f>
        <v>4240.6655745967746</v>
      </c>
      <c r="U42" s="225">
        <f>'Working Data'!V116</f>
        <v>3965.3228901862221</v>
      </c>
      <c r="W42" s="240"/>
    </row>
    <row r="43" spans="1:23" x14ac:dyDescent="0.25">
      <c r="A43" s="155" t="s">
        <v>17</v>
      </c>
      <c r="B43" s="124" t="s">
        <v>6</v>
      </c>
      <c r="C43" s="210">
        <f>'Working Data'!D117</f>
        <v>18</v>
      </c>
      <c r="D43" s="211">
        <f>'Working Data'!E117</f>
        <v>18.89796327690361</v>
      </c>
      <c r="E43" s="212">
        <f>'Working Data'!F117</f>
        <v>20.863808481538019</v>
      </c>
      <c r="F43" s="212">
        <f>'Working Data'!G117</f>
        <v>22.849069834701073</v>
      </c>
      <c r="G43" s="212"/>
      <c r="H43" s="212">
        <f>'Working Data'!I117</f>
        <v>22.090456640134054</v>
      </c>
      <c r="I43" s="212"/>
      <c r="J43" s="212">
        <f>'Working Data'!K117</f>
        <v>15.564645867254093</v>
      </c>
      <c r="K43" s="212"/>
      <c r="L43" s="212"/>
      <c r="M43" s="212">
        <f>'Working Data'!N117</f>
        <v>17.479499631525584</v>
      </c>
      <c r="N43" s="212"/>
      <c r="O43" s="212"/>
      <c r="P43" s="212"/>
      <c r="Q43" s="212">
        <f>'Working Data'!R117</f>
        <v>13.188344155844153</v>
      </c>
      <c r="R43" s="212"/>
      <c r="S43" s="212">
        <f>'Working Data'!T117</f>
        <v>20.388328158930801</v>
      </c>
      <c r="T43" s="213"/>
      <c r="U43" s="214">
        <f>'Working Data'!V117</f>
        <v>18.89796327690361</v>
      </c>
      <c r="W43" s="240"/>
    </row>
    <row r="44" spans="1:23" x14ac:dyDescent="0.25">
      <c r="A44" s="155" t="s">
        <v>18</v>
      </c>
      <c r="B44" s="124" t="s">
        <v>55</v>
      </c>
      <c r="C44" s="210">
        <f>'Working Data'!D118</f>
        <v>44</v>
      </c>
      <c r="D44" s="211">
        <f>'Working Data'!E118</f>
        <v>49.607153601871971</v>
      </c>
      <c r="E44" s="212">
        <f>'Working Data'!F118</f>
        <v>56.455011185338179</v>
      </c>
      <c r="F44" s="212">
        <f>'Working Data'!G118</f>
        <v>59.661460123941694</v>
      </c>
      <c r="G44" s="212"/>
      <c r="H44" s="212">
        <f>'Working Data'!I118</f>
        <v>58.907884373690841</v>
      </c>
      <c r="I44" s="212"/>
      <c r="J44" s="212">
        <f>'Working Data'!K118</f>
        <v>37.682826836509904</v>
      </c>
      <c r="K44" s="212"/>
      <c r="L44" s="212"/>
      <c r="M44" s="212">
        <f>'Working Data'!N118</f>
        <v>46.976155259725004</v>
      </c>
      <c r="N44" s="212"/>
      <c r="O44" s="212"/>
      <c r="P44" s="212"/>
      <c r="Q44" s="212">
        <f>'Working Data'!R118</f>
        <v>37.916489448051955</v>
      </c>
      <c r="R44" s="212"/>
      <c r="S44" s="212">
        <f>'Working Data'!T118</f>
        <v>47.215075736471327</v>
      </c>
      <c r="T44" s="213"/>
      <c r="U44" s="214">
        <f>'Working Data'!V118</f>
        <v>47.215075736471327</v>
      </c>
      <c r="W44" s="240"/>
    </row>
    <row r="45" spans="1:23" ht="15.75" thickBot="1" x14ac:dyDescent="0.3">
      <c r="A45" s="157" t="s">
        <v>20</v>
      </c>
      <c r="B45" s="125" t="s">
        <v>6</v>
      </c>
      <c r="C45" s="226">
        <f>'Working Data'!D119</f>
        <v>253</v>
      </c>
      <c r="D45" s="227">
        <f>'Working Data'!E119</f>
        <v>265.75260858145703</v>
      </c>
      <c r="E45" s="228">
        <f>'Working Data'!F119</f>
        <v>272.35007286386207</v>
      </c>
      <c r="F45" s="228">
        <f>'Working Data'!G119</f>
        <v>285.3859860552152</v>
      </c>
      <c r="G45" s="228"/>
      <c r="H45" s="228">
        <f>'Working Data'!I119</f>
        <v>293.47225005009011</v>
      </c>
      <c r="I45" s="228"/>
      <c r="J45" s="228">
        <f>'Working Data'!K119</f>
        <v>224.85191323503079</v>
      </c>
      <c r="K45" s="228"/>
      <c r="L45" s="228"/>
      <c r="M45" s="228">
        <f>'Working Data'!N119</f>
        <v>307.79118916382009</v>
      </c>
      <c r="N45" s="228"/>
      <c r="O45" s="228"/>
      <c r="P45" s="228"/>
      <c r="Q45" s="228">
        <f>'Working Data'!R119</f>
        <v>234.16478454968947</v>
      </c>
      <c r="R45" s="228"/>
      <c r="S45" s="228">
        <f>'Working Data'!T119</f>
        <v>288.65580393433601</v>
      </c>
      <c r="T45" s="229"/>
      <c r="U45" s="230">
        <f>'Working Data'!V119</f>
        <v>272.35007286386207</v>
      </c>
      <c r="W45" s="240"/>
    </row>
    <row r="46" spans="1:23" ht="15.75" thickBot="1" x14ac:dyDescent="0.3"/>
    <row r="47" spans="1:23" s="166" customFormat="1" ht="11.25" x14ac:dyDescent="0.2">
      <c r="C47" s="204" t="s">
        <v>45</v>
      </c>
      <c r="D47" s="206" t="s">
        <v>82</v>
      </c>
      <c r="E47" s="207" t="s">
        <v>52</v>
      </c>
      <c r="F47" s="207" t="s">
        <v>47</v>
      </c>
      <c r="G47" s="207" t="s">
        <v>42</v>
      </c>
      <c r="H47" s="267" t="s">
        <v>114</v>
      </c>
      <c r="I47" s="234" t="s">
        <v>2</v>
      </c>
      <c r="J47" s="207" t="s">
        <v>41</v>
      </c>
      <c r="K47" s="267" t="s">
        <v>44</v>
      </c>
      <c r="L47" s="267" t="s">
        <v>43</v>
      </c>
      <c r="M47" s="207" t="s">
        <v>51</v>
      </c>
      <c r="N47" s="207" t="s">
        <v>103</v>
      </c>
      <c r="O47" s="207" t="s">
        <v>21</v>
      </c>
      <c r="P47" s="267" t="s">
        <v>48</v>
      </c>
      <c r="Q47" s="207" t="s">
        <v>49</v>
      </c>
      <c r="R47" s="207" t="s">
        <v>105</v>
      </c>
      <c r="S47" s="267" t="s">
        <v>50</v>
      </c>
      <c r="T47" s="269" t="s">
        <v>46</v>
      </c>
    </row>
    <row r="48" spans="1:23" s="166" customFormat="1" ht="11.25" x14ac:dyDescent="0.2">
      <c r="A48" s="155" t="s">
        <v>5</v>
      </c>
      <c r="C48" s="167">
        <v>6065.9258986175109</v>
      </c>
      <c r="D48" s="167">
        <v>6358.2105112711251</v>
      </c>
      <c r="E48" s="167">
        <v>6636.0838879870144</v>
      </c>
      <c r="F48" s="167">
        <v>6683.9529906340731</v>
      </c>
      <c r="G48" s="167">
        <v>6954.9485531685468</v>
      </c>
      <c r="H48" s="268">
        <v>7080.6346475540358</v>
      </c>
      <c r="I48" s="167">
        <v>7434</v>
      </c>
      <c r="J48" s="167">
        <v>7481.4304338482862</v>
      </c>
      <c r="K48" s="268">
        <v>7605.2062477724494</v>
      </c>
      <c r="L48" s="268">
        <v>7724.4738712654635</v>
      </c>
      <c r="M48" s="167">
        <v>7834.9016096271871</v>
      </c>
      <c r="N48" s="167">
        <v>8026.7984064341326</v>
      </c>
      <c r="O48" s="167">
        <v>8124.3690462205614</v>
      </c>
      <c r="P48" s="268">
        <v>8156.1863212510652</v>
      </c>
      <c r="Q48" s="167">
        <v>8165.9714125769733</v>
      </c>
      <c r="R48" s="167">
        <v>8322.0535628109064</v>
      </c>
      <c r="S48" s="268">
        <v>8456.6719168968248</v>
      </c>
      <c r="T48" s="268">
        <v>9861.7274300137778</v>
      </c>
    </row>
    <row r="49" spans="1:20" s="235" customFormat="1" ht="11.25" x14ac:dyDescent="0.2">
      <c r="A49" s="235" t="s">
        <v>1</v>
      </c>
      <c r="C49" s="236">
        <v>7664.840059518956</v>
      </c>
      <c r="D49" s="236">
        <v>7664.840059518956</v>
      </c>
      <c r="E49" s="236">
        <v>7664.840059518956</v>
      </c>
      <c r="F49" s="236">
        <v>7664.840059518956</v>
      </c>
      <c r="G49" s="236">
        <v>7664.840059518956</v>
      </c>
      <c r="H49" s="236">
        <v>7664.840059518956</v>
      </c>
      <c r="I49" s="236">
        <v>7664.840059518956</v>
      </c>
      <c r="J49" s="236">
        <v>7664.840059518956</v>
      </c>
      <c r="K49" s="236">
        <v>7664.840059518956</v>
      </c>
      <c r="L49" s="236">
        <v>7664.840059518956</v>
      </c>
      <c r="M49" s="236">
        <v>7664.840059518956</v>
      </c>
      <c r="N49" s="236">
        <v>7664.840059518956</v>
      </c>
      <c r="O49" s="236">
        <v>7664.840059518956</v>
      </c>
      <c r="P49" s="236">
        <v>7664.840059518956</v>
      </c>
      <c r="Q49" s="236">
        <v>7664.840059518956</v>
      </c>
      <c r="R49" s="236">
        <v>7664.840059518956</v>
      </c>
      <c r="S49" s="236">
        <v>7664.840059518956</v>
      </c>
      <c r="T49" s="236">
        <v>7664.840059518956</v>
      </c>
    </row>
    <row r="50" spans="1:20" s="166" customFormat="1" ht="11.25" x14ac:dyDescent="0.2"/>
    <row r="51" spans="1:20" s="166" customFormat="1" ht="12" thickBot="1" x14ac:dyDescent="0.25"/>
    <row r="52" spans="1:20" s="166" customFormat="1" ht="11.25" x14ac:dyDescent="0.2">
      <c r="C52" s="204" t="s">
        <v>82</v>
      </c>
      <c r="D52" s="206" t="s">
        <v>41</v>
      </c>
      <c r="E52" s="207" t="s">
        <v>52</v>
      </c>
      <c r="F52" s="207" t="s">
        <v>42</v>
      </c>
      <c r="G52" s="207" t="s">
        <v>103</v>
      </c>
      <c r="H52" s="267" t="s">
        <v>114</v>
      </c>
      <c r="I52" s="234" t="s">
        <v>2</v>
      </c>
      <c r="J52" s="207" t="s">
        <v>21</v>
      </c>
      <c r="K52" s="207" t="s">
        <v>51</v>
      </c>
      <c r="L52" s="207" t="s">
        <v>105</v>
      </c>
      <c r="M52" s="267" t="s">
        <v>43</v>
      </c>
      <c r="N52" s="267" t="s">
        <v>50</v>
      </c>
      <c r="O52" s="207" t="s">
        <v>49</v>
      </c>
      <c r="P52" s="267" t="s">
        <v>44</v>
      </c>
      <c r="Q52" s="267" t="s">
        <v>48</v>
      </c>
      <c r="R52" s="207" t="s">
        <v>47</v>
      </c>
      <c r="S52" s="207" t="s">
        <v>45</v>
      </c>
      <c r="T52" s="269" t="s">
        <v>46</v>
      </c>
    </row>
    <row r="53" spans="1:20" s="166" customFormat="1" ht="11.25" x14ac:dyDescent="0.2">
      <c r="A53" s="166" t="str">
        <f>A35</f>
        <v>UG Cable Replacement (XLPE)</v>
      </c>
      <c r="C53" s="167">
        <v>83.257032684692035</v>
      </c>
      <c r="D53" s="167">
        <v>85.211967240514809</v>
      </c>
      <c r="E53" s="167">
        <v>85.789683618012432</v>
      </c>
      <c r="F53" s="167">
        <v>91.985489850988827</v>
      </c>
      <c r="G53" s="167">
        <v>94.787504838285358</v>
      </c>
      <c r="H53" s="268">
        <v>95.420875222459244</v>
      </c>
      <c r="I53" s="167">
        <v>96</v>
      </c>
      <c r="J53" s="167">
        <v>96.050716081371846</v>
      </c>
      <c r="K53" s="167">
        <v>96.060575175389445</v>
      </c>
      <c r="L53" s="167">
        <v>100.62319890796945</v>
      </c>
      <c r="M53" s="268">
        <v>105.08957364090105</v>
      </c>
      <c r="N53" s="268">
        <v>105.98527870162714</v>
      </c>
      <c r="O53" s="167">
        <v>108.18032440479072</v>
      </c>
      <c r="P53" s="268">
        <v>108.40593665613031</v>
      </c>
      <c r="Q53" s="268">
        <v>108.5770048058336</v>
      </c>
      <c r="R53" s="167">
        <v>119.03225314855206</v>
      </c>
      <c r="S53" s="167">
        <v>122.21198156682028</v>
      </c>
      <c r="T53" s="268">
        <v>126.4044952508896</v>
      </c>
    </row>
    <row r="54" spans="1:20" s="235" customFormat="1" ht="11.25" x14ac:dyDescent="0.2">
      <c r="A54" s="235" t="s">
        <v>1</v>
      </c>
      <c r="C54" s="237">
        <v>98.341887041679456</v>
      </c>
      <c r="D54" s="237">
        <v>98.341887041679456</v>
      </c>
      <c r="E54" s="237">
        <v>98.341887041679456</v>
      </c>
      <c r="F54" s="237">
        <v>98.341887041679456</v>
      </c>
      <c r="G54" s="237">
        <v>98.341887041679456</v>
      </c>
      <c r="H54" s="237">
        <v>98.341887041679456</v>
      </c>
      <c r="I54" s="237">
        <v>98.341887041679456</v>
      </c>
      <c r="J54" s="237">
        <v>98.341887041679456</v>
      </c>
      <c r="K54" s="237">
        <v>98.341887041679456</v>
      </c>
      <c r="L54" s="237">
        <v>98.341887041679456</v>
      </c>
      <c r="M54" s="237">
        <v>98.341887041679456</v>
      </c>
      <c r="N54" s="237">
        <v>98.341887041679456</v>
      </c>
      <c r="O54" s="237">
        <v>98.341887041679456</v>
      </c>
      <c r="P54" s="237">
        <v>98.341887041679456</v>
      </c>
      <c r="Q54" s="237">
        <v>98.341887041679456</v>
      </c>
      <c r="R54" s="237">
        <v>98.341887041679456</v>
      </c>
      <c r="S54" s="237">
        <v>98.341887041679456</v>
      </c>
      <c r="T54" s="237">
        <v>98.341887041679456</v>
      </c>
    </row>
    <row r="55" spans="1:20" s="166" customFormat="1" ht="11.25" x14ac:dyDescent="0.2"/>
    <row r="56" spans="1:20" s="166" customFormat="1" ht="12" thickBot="1" x14ac:dyDescent="0.25"/>
    <row r="57" spans="1:20" s="166" customFormat="1" ht="11.25" x14ac:dyDescent="0.2">
      <c r="C57" s="270" t="s">
        <v>48</v>
      </c>
      <c r="D57" s="206" t="s">
        <v>49</v>
      </c>
      <c r="E57" s="207" t="s">
        <v>21</v>
      </c>
      <c r="F57" s="207" t="s">
        <v>82</v>
      </c>
      <c r="G57" s="207" t="s">
        <v>52</v>
      </c>
      <c r="H57" s="234" t="s">
        <v>2</v>
      </c>
      <c r="I57" s="267" t="s">
        <v>103</v>
      </c>
      <c r="J57" s="207" t="s">
        <v>105</v>
      </c>
      <c r="K57" s="267" t="s">
        <v>43</v>
      </c>
      <c r="L57" s="267" t="s">
        <v>114</v>
      </c>
      <c r="M57" s="207" t="s">
        <v>42</v>
      </c>
      <c r="N57" s="267" t="s">
        <v>44</v>
      </c>
      <c r="O57" s="267" t="s">
        <v>50</v>
      </c>
      <c r="P57" s="207" t="s">
        <v>45</v>
      </c>
      <c r="Q57" s="207" t="s">
        <v>51</v>
      </c>
      <c r="R57" s="207" t="s">
        <v>47</v>
      </c>
      <c r="S57" s="207" t="s">
        <v>46</v>
      </c>
      <c r="T57" s="208" t="s">
        <v>41</v>
      </c>
    </row>
    <row r="58" spans="1:20" s="166" customFormat="1" ht="11.25" x14ac:dyDescent="0.2">
      <c r="A58" s="155" t="s">
        <v>9</v>
      </c>
      <c r="C58" s="268">
        <v>17833.692456596862</v>
      </c>
      <c r="D58" s="167">
        <v>19407.085086202373</v>
      </c>
      <c r="E58" s="167">
        <v>20461.497981143919</v>
      </c>
      <c r="F58" s="167">
        <v>20804.922020443875</v>
      </c>
      <c r="G58" s="167">
        <v>20933.428124999999</v>
      </c>
      <c r="H58" s="167">
        <v>21062</v>
      </c>
      <c r="I58" s="268">
        <v>22569.838701858705</v>
      </c>
      <c r="J58" s="167">
        <v>23037.898054680176</v>
      </c>
      <c r="K58" s="268">
        <v>23378.261786973097</v>
      </c>
      <c r="L58" s="268">
        <v>23523.947786152585</v>
      </c>
      <c r="M58" s="167">
        <v>24892.224565385306</v>
      </c>
      <c r="N58" s="268">
        <v>25206.895359815921</v>
      </c>
      <c r="O58" s="268">
        <v>25948.066885364129</v>
      </c>
      <c r="P58" s="167">
        <v>26174.606719731888</v>
      </c>
      <c r="Q58" s="167">
        <v>26281.099924044429</v>
      </c>
      <c r="R58" s="167">
        <v>26379.934866333308</v>
      </c>
      <c r="S58" s="167">
        <v>27009.57464826147</v>
      </c>
      <c r="T58" s="167">
        <v>31459.755526372344</v>
      </c>
    </row>
    <row r="59" spans="1:20" s="235" customFormat="1" ht="11.25" x14ac:dyDescent="0.2">
      <c r="A59" s="235" t="s">
        <v>1</v>
      </c>
      <c r="C59" s="214">
        <v>23451.104786562842</v>
      </c>
      <c r="D59" s="214">
        <v>23451.104786562842</v>
      </c>
      <c r="E59" s="214">
        <v>23451.104786562842</v>
      </c>
      <c r="F59" s="214">
        <v>23451.104786562842</v>
      </c>
      <c r="G59" s="214">
        <v>23451.104786562842</v>
      </c>
      <c r="H59" s="214">
        <v>23451.104786562842</v>
      </c>
      <c r="I59" s="214">
        <v>23451.104786562842</v>
      </c>
      <c r="J59" s="214">
        <v>23451.104786562842</v>
      </c>
      <c r="K59" s="214">
        <v>23451.104786562842</v>
      </c>
      <c r="L59" s="214">
        <v>23451.104786562842</v>
      </c>
      <c r="M59" s="214">
        <v>23451.104786562842</v>
      </c>
      <c r="N59" s="214">
        <v>23451.104786562842</v>
      </c>
      <c r="O59" s="214">
        <v>23451.104786562842</v>
      </c>
      <c r="P59" s="214">
        <v>23451.104786562842</v>
      </c>
      <c r="Q59" s="214">
        <v>23451.104786562842</v>
      </c>
      <c r="R59" s="214">
        <v>23451.104786562842</v>
      </c>
      <c r="S59" s="214">
        <v>23451.104786562842</v>
      </c>
      <c r="T59" s="214">
        <v>23451.104786562842</v>
      </c>
    </row>
    <row r="60" spans="1:20" s="166" customFormat="1" ht="11.25" x14ac:dyDescent="0.2"/>
    <row r="61" spans="1:20" s="166" customFormat="1" ht="12" thickBot="1" x14ac:dyDescent="0.25"/>
    <row r="62" spans="1:20" s="166" customFormat="1" ht="11.25" x14ac:dyDescent="0.2">
      <c r="C62" s="204" t="s">
        <v>52</v>
      </c>
      <c r="D62" s="206" t="s">
        <v>105</v>
      </c>
      <c r="E62" s="207" t="s">
        <v>41</v>
      </c>
      <c r="F62" s="267" t="s">
        <v>114</v>
      </c>
      <c r="G62" s="207" t="s">
        <v>103</v>
      </c>
      <c r="H62" s="267" t="s">
        <v>43</v>
      </c>
      <c r="I62" s="207" t="s">
        <v>47</v>
      </c>
      <c r="J62" s="207" t="s">
        <v>42</v>
      </c>
      <c r="K62" s="207" t="s">
        <v>45</v>
      </c>
      <c r="L62" s="207" t="s">
        <v>82</v>
      </c>
      <c r="M62" s="267" t="s">
        <v>48</v>
      </c>
      <c r="N62" s="207" t="s">
        <v>21</v>
      </c>
      <c r="O62" s="267" t="s">
        <v>44</v>
      </c>
      <c r="P62" s="234" t="s">
        <v>2</v>
      </c>
      <c r="Q62" s="267" t="s">
        <v>46</v>
      </c>
      <c r="R62" s="207" t="s">
        <v>49</v>
      </c>
      <c r="S62" s="267" t="s">
        <v>50</v>
      </c>
      <c r="T62" s="208" t="s">
        <v>51</v>
      </c>
    </row>
    <row r="63" spans="1:20" s="166" customFormat="1" ht="11.25" x14ac:dyDescent="0.2">
      <c r="A63" s="155" t="s">
        <v>10</v>
      </c>
      <c r="C63" s="167">
        <v>7795.9955255681816</v>
      </c>
      <c r="D63" s="167">
        <v>8203.4526682078886</v>
      </c>
      <c r="E63" s="167">
        <v>8247.6214608056162</v>
      </c>
      <c r="F63" s="268">
        <v>8391.0887052768303</v>
      </c>
      <c r="G63" s="167">
        <v>8493.1124990261505</v>
      </c>
      <c r="H63" s="268">
        <v>9343.2034169799226</v>
      </c>
      <c r="I63" s="167">
        <v>9412.1840800392238</v>
      </c>
      <c r="J63" s="167">
        <v>9842.5985402713322</v>
      </c>
      <c r="K63" s="167">
        <v>10101.46124842899</v>
      </c>
      <c r="L63" s="167">
        <v>10927.327856091804</v>
      </c>
      <c r="M63" s="268">
        <v>10954.20690713194</v>
      </c>
      <c r="N63" s="167">
        <v>11354.865088054348</v>
      </c>
      <c r="O63" s="268">
        <v>11465.570315577537</v>
      </c>
      <c r="P63" s="167">
        <v>11761</v>
      </c>
      <c r="Q63" s="268">
        <v>11825.395235186317</v>
      </c>
      <c r="R63" s="167">
        <v>13376.966262018414</v>
      </c>
      <c r="S63" s="268">
        <v>13382.213584736735</v>
      </c>
      <c r="T63" s="167">
        <v>13664.379044998219</v>
      </c>
    </row>
    <row r="64" spans="1:20" s="235" customFormat="1" ht="11.25" x14ac:dyDescent="0.2">
      <c r="A64" s="235" t="s">
        <v>1</v>
      </c>
      <c r="C64" s="236">
        <v>10514.394552260397</v>
      </c>
      <c r="D64" s="236">
        <v>10514.394552260397</v>
      </c>
      <c r="E64" s="236">
        <v>10514.394552260397</v>
      </c>
      <c r="F64" s="236">
        <v>10514.394552260397</v>
      </c>
      <c r="G64" s="236">
        <v>10514.394552260397</v>
      </c>
      <c r="H64" s="236">
        <v>10514.394552260397</v>
      </c>
      <c r="I64" s="236">
        <v>10514.394552260397</v>
      </c>
      <c r="J64" s="236">
        <v>10514.394552260397</v>
      </c>
      <c r="K64" s="236">
        <v>10514.394552260397</v>
      </c>
      <c r="L64" s="236">
        <v>10514.394552260397</v>
      </c>
      <c r="M64" s="236">
        <v>10514.394552260397</v>
      </c>
      <c r="N64" s="236">
        <v>10514.394552260397</v>
      </c>
      <c r="O64" s="236">
        <v>10514.394552260397</v>
      </c>
      <c r="P64" s="236">
        <v>10514.394552260397</v>
      </c>
      <c r="Q64" s="236">
        <v>10514.394552260397</v>
      </c>
      <c r="R64" s="236">
        <v>10514.394552260397</v>
      </c>
      <c r="S64" s="236">
        <v>10514.394552260397</v>
      </c>
      <c r="T64" s="236">
        <v>10514.394552260397</v>
      </c>
    </row>
    <row r="65" spans="1:20" s="166" customFormat="1" ht="11.25" x14ac:dyDescent="0.2"/>
    <row r="66" spans="1:20" s="166" customFormat="1" ht="12" thickBot="1" x14ac:dyDescent="0.25"/>
    <row r="67" spans="1:20" s="166" customFormat="1" ht="11.25" x14ac:dyDescent="0.2">
      <c r="C67" s="204" t="s">
        <v>103</v>
      </c>
      <c r="D67" s="206" t="s">
        <v>52</v>
      </c>
      <c r="E67" s="207" t="s">
        <v>82</v>
      </c>
      <c r="F67" s="267" t="s">
        <v>114</v>
      </c>
      <c r="G67" s="207" t="s">
        <v>42</v>
      </c>
      <c r="H67" s="234" t="s">
        <v>2</v>
      </c>
      <c r="I67" s="207" t="s">
        <v>41</v>
      </c>
      <c r="J67" s="267" t="s">
        <v>48</v>
      </c>
      <c r="K67" s="207" t="s">
        <v>47</v>
      </c>
      <c r="L67" s="207" t="s">
        <v>21</v>
      </c>
      <c r="M67" s="267" t="s">
        <v>43</v>
      </c>
      <c r="N67" s="207" t="s">
        <v>45</v>
      </c>
      <c r="O67" s="207" t="s">
        <v>105</v>
      </c>
      <c r="P67" s="207" t="s">
        <v>51</v>
      </c>
      <c r="Q67" s="267" t="s">
        <v>50</v>
      </c>
      <c r="R67" s="207" t="s">
        <v>49</v>
      </c>
      <c r="S67" s="267" t="s">
        <v>44</v>
      </c>
      <c r="T67" s="269" t="s">
        <v>46</v>
      </c>
    </row>
    <row r="68" spans="1:20" s="166" customFormat="1" ht="11.25" x14ac:dyDescent="0.2">
      <c r="A68" s="155" t="s">
        <v>11</v>
      </c>
      <c r="C68" s="238">
        <v>17029.22574668215</v>
      </c>
      <c r="D68" s="211">
        <v>18951.190984083853</v>
      </c>
      <c r="E68" s="212">
        <v>19404.959440833165</v>
      </c>
      <c r="F68" s="271">
        <v>20906.259376120714</v>
      </c>
      <c r="G68" s="212">
        <v>21224.26645947334</v>
      </c>
      <c r="H68" s="212">
        <v>21454</v>
      </c>
      <c r="I68" s="212">
        <v>23173.170249038947</v>
      </c>
      <c r="J68" s="271">
        <v>23329.715674128922</v>
      </c>
      <c r="K68" s="212">
        <v>23357.699035340374</v>
      </c>
      <c r="L68" s="212">
        <v>23600.287358906629</v>
      </c>
      <c r="M68" s="271">
        <v>23746.661043742246</v>
      </c>
      <c r="N68" s="212">
        <v>24029.930875576036</v>
      </c>
      <c r="O68" s="212">
        <v>24433.239522068117</v>
      </c>
      <c r="P68" s="212">
        <v>24576.289728040225</v>
      </c>
      <c r="Q68" s="271">
        <v>24649.606485908735</v>
      </c>
      <c r="R68" s="212">
        <v>25331.858004501406</v>
      </c>
      <c r="S68" s="271">
        <v>26155.274321861169</v>
      </c>
      <c r="T68" s="272">
        <v>26419.842646562225</v>
      </c>
    </row>
    <row r="69" spans="1:20" s="235" customFormat="1" ht="11.25" x14ac:dyDescent="0.2">
      <c r="A69" s="235" t="s">
        <v>1</v>
      </c>
      <c r="C69" s="214">
        <v>23478.993197123502</v>
      </c>
      <c r="D69" s="214">
        <v>23478.993197123502</v>
      </c>
      <c r="E69" s="214">
        <v>23478.993197123502</v>
      </c>
      <c r="F69" s="214">
        <v>23478.993197123502</v>
      </c>
      <c r="G69" s="214">
        <v>23478.993197123502</v>
      </c>
      <c r="H69" s="214">
        <v>23478.993197123502</v>
      </c>
      <c r="I69" s="214">
        <v>23478.993197123502</v>
      </c>
      <c r="J69" s="214">
        <v>23478.993197123502</v>
      </c>
      <c r="K69" s="214">
        <v>23478.993197123502</v>
      </c>
      <c r="L69" s="214">
        <v>23478.993197123502</v>
      </c>
      <c r="M69" s="214">
        <v>23478.993197123502</v>
      </c>
      <c r="N69" s="214">
        <v>23478.993197123502</v>
      </c>
      <c r="O69" s="214">
        <v>23478.993197123502</v>
      </c>
      <c r="P69" s="214">
        <v>23478.993197123502</v>
      </c>
      <c r="Q69" s="214">
        <v>23478.993197123502</v>
      </c>
      <c r="R69" s="214">
        <v>23478.993197123502</v>
      </c>
      <c r="S69" s="214">
        <v>23478.993197123502</v>
      </c>
      <c r="T69" s="214">
        <v>23478.993197123502</v>
      </c>
    </row>
    <row r="70" spans="1:20" s="166" customFormat="1" ht="11.25" x14ac:dyDescent="0.2"/>
    <row r="71" spans="1:20" s="166" customFormat="1" ht="12" thickBot="1" x14ac:dyDescent="0.25"/>
    <row r="72" spans="1:20" s="166" customFormat="1" ht="11.25" x14ac:dyDescent="0.2">
      <c r="A72" s="155"/>
      <c r="C72" s="204" t="s">
        <v>82</v>
      </c>
      <c r="D72" s="206" t="s">
        <v>52</v>
      </c>
      <c r="E72" s="267" t="s">
        <v>114</v>
      </c>
      <c r="F72" s="207" t="s">
        <v>47</v>
      </c>
      <c r="G72" s="207" t="s">
        <v>103</v>
      </c>
      <c r="H72" s="234" t="s">
        <v>2</v>
      </c>
      <c r="I72" s="207" t="s">
        <v>42</v>
      </c>
      <c r="J72" s="207" t="s">
        <v>41</v>
      </c>
      <c r="K72" s="207" t="s">
        <v>51</v>
      </c>
      <c r="L72" s="267" t="s">
        <v>48</v>
      </c>
      <c r="M72" s="267" t="s">
        <v>43</v>
      </c>
      <c r="N72" s="267" t="s">
        <v>46</v>
      </c>
      <c r="O72" s="207" t="s">
        <v>49</v>
      </c>
      <c r="P72" s="267" t="s">
        <v>50</v>
      </c>
      <c r="Q72" s="207" t="s">
        <v>21</v>
      </c>
      <c r="R72" s="267" t="s">
        <v>44</v>
      </c>
      <c r="S72" s="207" t="s">
        <v>45</v>
      </c>
      <c r="T72" s="208" t="s">
        <v>105</v>
      </c>
    </row>
    <row r="73" spans="1:20" s="166" customFormat="1" ht="11.25" x14ac:dyDescent="0.2">
      <c r="A73" s="155" t="s">
        <v>12</v>
      </c>
      <c r="C73" s="167">
        <v>82485.204030931563</v>
      </c>
      <c r="D73" s="167">
        <v>85131.645465838519</v>
      </c>
      <c r="E73" s="268">
        <v>87944.822738071394</v>
      </c>
      <c r="F73" s="167">
        <v>88554.026776413448</v>
      </c>
      <c r="G73" s="167">
        <v>88576.717487296075</v>
      </c>
      <c r="H73" s="167">
        <v>88943</v>
      </c>
      <c r="I73" s="167">
        <v>90447.712985816819</v>
      </c>
      <c r="J73" s="167">
        <v>93740.883111673553</v>
      </c>
      <c r="K73" s="167">
        <v>93950.770063312491</v>
      </c>
      <c r="L73" s="268">
        <v>96787.771376646968</v>
      </c>
      <c r="M73" s="268">
        <v>97147.489568939811</v>
      </c>
      <c r="N73" s="268">
        <v>97422.168913941234</v>
      </c>
      <c r="O73" s="167">
        <v>98090.226180982077</v>
      </c>
      <c r="P73" s="268">
        <v>98390.863205784597</v>
      </c>
      <c r="Q73" s="167">
        <v>98402.561007984797</v>
      </c>
      <c r="R73" s="268">
        <v>98648.077189244679</v>
      </c>
      <c r="S73" s="167">
        <v>98969.122420356667</v>
      </c>
      <c r="T73" s="167">
        <v>99227.159332853174</v>
      </c>
    </row>
    <row r="74" spans="1:20" s="235" customFormat="1" ht="11.25" x14ac:dyDescent="0.2">
      <c r="A74" s="235" t="s">
        <v>1</v>
      </c>
      <c r="C74" s="236">
        <v>95369.27071997973</v>
      </c>
      <c r="D74" s="236">
        <v>95369.27071997973</v>
      </c>
      <c r="E74" s="236">
        <v>95369.27071997973</v>
      </c>
      <c r="F74" s="236">
        <v>95369.27071997973</v>
      </c>
      <c r="G74" s="236">
        <v>95369.27071997973</v>
      </c>
      <c r="H74" s="236">
        <v>95369.27071997973</v>
      </c>
      <c r="I74" s="236">
        <v>95369.27071997973</v>
      </c>
      <c r="J74" s="236">
        <v>95369.27071997973</v>
      </c>
      <c r="K74" s="236">
        <v>95369.27071997973</v>
      </c>
      <c r="L74" s="236">
        <v>95369.27071997973</v>
      </c>
      <c r="M74" s="236">
        <v>95369.27071997973</v>
      </c>
      <c r="N74" s="236">
        <v>95369.27071997973</v>
      </c>
      <c r="O74" s="236">
        <v>95369.27071997973</v>
      </c>
      <c r="P74" s="236">
        <v>95369.27071997973</v>
      </c>
      <c r="Q74" s="236">
        <v>95369.27071997973</v>
      </c>
      <c r="R74" s="236">
        <v>95369.27071997973</v>
      </c>
      <c r="S74" s="236">
        <v>95369.27071997973</v>
      </c>
      <c r="T74" s="236">
        <v>95369.27071997973</v>
      </c>
    </row>
    <row r="75" spans="1:20" s="166" customFormat="1" ht="11.25" x14ac:dyDescent="0.2"/>
    <row r="76" spans="1:20" s="166" customFormat="1" ht="12" thickBot="1" x14ac:dyDescent="0.25"/>
    <row r="77" spans="1:20" s="166" customFormat="1" ht="11.25" x14ac:dyDescent="0.2">
      <c r="C77" s="204" t="s">
        <v>82</v>
      </c>
      <c r="D77" s="206" t="s">
        <v>52</v>
      </c>
      <c r="E77" s="207" t="s">
        <v>103</v>
      </c>
      <c r="F77" s="267" t="s">
        <v>114</v>
      </c>
      <c r="G77" s="207" t="s">
        <v>41</v>
      </c>
      <c r="H77" s="234" t="s">
        <v>2</v>
      </c>
      <c r="I77" s="207" t="s">
        <v>51</v>
      </c>
      <c r="J77" s="267" t="s">
        <v>43</v>
      </c>
      <c r="K77" s="207" t="s">
        <v>42</v>
      </c>
      <c r="L77" s="207" t="s">
        <v>49</v>
      </c>
      <c r="M77" s="267" t="s">
        <v>48</v>
      </c>
      <c r="N77" s="207" t="s">
        <v>21</v>
      </c>
      <c r="O77" s="267" t="s">
        <v>50</v>
      </c>
      <c r="P77" s="207" t="s">
        <v>105</v>
      </c>
      <c r="Q77" s="207" t="s">
        <v>47</v>
      </c>
      <c r="R77" s="267" t="s">
        <v>44</v>
      </c>
      <c r="S77" s="267" t="s">
        <v>46</v>
      </c>
      <c r="T77" s="208" t="s">
        <v>45</v>
      </c>
    </row>
    <row r="78" spans="1:20" s="166" customFormat="1" ht="11.25" x14ac:dyDescent="0.2">
      <c r="A78" s="166" t="s">
        <v>13</v>
      </c>
      <c r="C78" s="167">
        <v>80049.524905965111</v>
      </c>
      <c r="D78" s="167">
        <v>82904.063928571442</v>
      </c>
      <c r="E78" s="167">
        <v>83312.456178642009</v>
      </c>
      <c r="F78" s="268">
        <v>84820.517985493323</v>
      </c>
      <c r="G78" s="167">
        <v>85218.19100785561</v>
      </c>
      <c r="H78" s="167">
        <v>85242</v>
      </c>
      <c r="I78" s="167">
        <v>88144.668603169761</v>
      </c>
      <c r="J78" s="268">
        <v>90668.011798255771</v>
      </c>
      <c r="K78" s="167">
        <v>92767.946753139404</v>
      </c>
      <c r="L78" s="167">
        <v>93107.181666914606</v>
      </c>
      <c r="M78" s="268">
        <v>93688.001200556217</v>
      </c>
      <c r="N78" s="167">
        <v>95276.970674865181</v>
      </c>
      <c r="O78" s="268">
        <v>95706.328648622948</v>
      </c>
      <c r="P78" s="167">
        <v>95853.639618688088</v>
      </c>
      <c r="Q78" s="167">
        <v>95937.607514767384</v>
      </c>
      <c r="R78" s="268">
        <v>98189.49783966635</v>
      </c>
      <c r="S78" s="268">
        <v>98901.682696729069</v>
      </c>
      <c r="T78" s="167">
        <v>98963.885178047742</v>
      </c>
    </row>
    <row r="79" spans="1:20" s="235" customFormat="1" ht="11.25" x14ac:dyDescent="0.2">
      <c r="A79" s="235" t="s">
        <v>1</v>
      </c>
      <c r="C79" s="236">
        <v>92937.564210027005</v>
      </c>
      <c r="D79" s="236">
        <v>92937.564210027005</v>
      </c>
      <c r="E79" s="236">
        <v>92937.564210027005</v>
      </c>
      <c r="F79" s="236">
        <v>92937.564210027005</v>
      </c>
      <c r="G79" s="236">
        <v>92937.564210027005</v>
      </c>
      <c r="H79" s="236">
        <v>92937.564210027005</v>
      </c>
      <c r="I79" s="236">
        <v>92937.564210027005</v>
      </c>
      <c r="J79" s="236">
        <v>92937.564210027005</v>
      </c>
      <c r="K79" s="236">
        <v>92937.564210027005</v>
      </c>
      <c r="L79" s="236">
        <v>92937.564210027005</v>
      </c>
      <c r="M79" s="236">
        <v>92937.564210027005</v>
      </c>
      <c r="N79" s="236">
        <v>92937.564210027005</v>
      </c>
      <c r="O79" s="236">
        <v>92937.564210027005</v>
      </c>
      <c r="P79" s="236">
        <v>92937.564210027005</v>
      </c>
      <c r="Q79" s="236">
        <v>92937.564210027005</v>
      </c>
      <c r="R79" s="236">
        <v>92937.564210027005</v>
      </c>
      <c r="S79" s="236">
        <v>92937.564210027005</v>
      </c>
      <c r="T79" s="236">
        <v>92937.564210027005</v>
      </c>
    </row>
    <row r="80" spans="1:20" s="166" customFormat="1" ht="11.25" x14ac:dyDescent="0.2"/>
    <row r="81" spans="1:20" s="166" customFormat="1" ht="12" thickBot="1" x14ac:dyDescent="0.25"/>
    <row r="82" spans="1:20" s="166" customFormat="1" ht="11.25" x14ac:dyDescent="0.2">
      <c r="C82" s="205" t="s">
        <v>2</v>
      </c>
      <c r="D82" s="206" t="s">
        <v>42</v>
      </c>
      <c r="E82" s="207" t="s">
        <v>43</v>
      </c>
      <c r="F82" s="207" t="s">
        <v>21</v>
      </c>
      <c r="G82" s="207" t="s">
        <v>48</v>
      </c>
      <c r="H82" s="207" t="s">
        <v>82</v>
      </c>
      <c r="I82" s="207" t="s">
        <v>51</v>
      </c>
      <c r="J82" s="207" t="s">
        <v>46</v>
      </c>
      <c r="K82" s="207" t="s">
        <v>45</v>
      </c>
      <c r="L82" s="207" t="s">
        <v>50</v>
      </c>
      <c r="M82" s="207" t="s">
        <v>44</v>
      </c>
      <c r="N82" s="207" t="s">
        <v>105</v>
      </c>
      <c r="O82" s="207" t="s">
        <v>41</v>
      </c>
      <c r="P82" s="207" t="s">
        <v>52</v>
      </c>
      <c r="Q82" s="207" t="s">
        <v>49</v>
      </c>
      <c r="R82" s="207" t="s">
        <v>47</v>
      </c>
      <c r="S82" s="207" t="s">
        <v>114</v>
      </c>
      <c r="T82" s="208" t="s">
        <v>103</v>
      </c>
    </row>
    <row r="83" spans="1:20" s="166" customFormat="1" ht="11.25" x14ac:dyDescent="0.2">
      <c r="A83" s="166" t="s">
        <v>15</v>
      </c>
      <c r="C83" s="167">
        <v>2111</v>
      </c>
      <c r="D83" s="167">
        <v>2402.8571428571431</v>
      </c>
      <c r="E83" s="167">
        <v>2697.1428571428573</v>
      </c>
      <c r="F83" s="167">
        <v>3115.2380952380954</v>
      </c>
      <c r="G83" s="167">
        <v>3312.3809523809527</v>
      </c>
      <c r="H83" s="167">
        <v>3436</v>
      </c>
      <c r="I83" s="167">
        <v>3600</v>
      </c>
      <c r="J83" s="167">
        <v>3682.8571428571436</v>
      </c>
      <c r="K83" s="167">
        <v>3713.3333333333339</v>
      </c>
      <c r="L83" s="167">
        <v>3765</v>
      </c>
      <c r="M83" s="167">
        <v>3785.7142857142858</v>
      </c>
      <c r="N83" s="167">
        <v>4029.5238095238101</v>
      </c>
      <c r="O83" s="167">
        <v>4071.4285714285716</v>
      </c>
      <c r="P83" s="167">
        <v>4134.2857142857147</v>
      </c>
      <c r="Q83" s="167">
        <v>4263.8095238095248</v>
      </c>
      <c r="R83" s="167">
        <v>4368.5714285714294</v>
      </c>
      <c r="S83" s="167">
        <v>4534.2857142857147</v>
      </c>
      <c r="T83" s="167">
        <v>4563.8095238095248</v>
      </c>
    </row>
    <row r="84" spans="1:20" s="235" customFormat="1" ht="11.25" x14ac:dyDescent="0.2">
      <c r="A84" s="235" t="s">
        <v>1</v>
      </c>
      <c r="C84" s="236">
        <v>3965.3228901862221</v>
      </c>
      <c r="D84" s="236">
        <v>3965.3228901862221</v>
      </c>
      <c r="E84" s="236">
        <v>3965.3228901862221</v>
      </c>
      <c r="F84" s="236">
        <v>3965.3228901862221</v>
      </c>
      <c r="G84" s="236">
        <v>3965.3228901862221</v>
      </c>
      <c r="H84" s="236">
        <v>3965.3228901862221</v>
      </c>
      <c r="I84" s="236">
        <v>3965.3228901862221</v>
      </c>
      <c r="J84" s="236">
        <v>3965.3228901862221</v>
      </c>
      <c r="K84" s="236">
        <v>3965.3228901862221</v>
      </c>
      <c r="L84" s="236">
        <v>3965.3228901862221</v>
      </c>
      <c r="M84" s="236">
        <v>3965.3228901862221</v>
      </c>
      <c r="N84" s="236">
        <v>3965.3228901862221</v>
      </c>
      <c r="O84" s="236">
        <v>3965.3228901862221</v>
      </c>
      <c r="P84" s="236">
        <v>3965.3228901862221</v>
      </c>
      <c r="Q84" s="236">
        <v>3965.3228901862221</v>
      </c>
      <c r="R84" s="236">
        <v>3965.3228901862221</v>
      </c>
      <c r="S84" s="236">
        <v>3965.3228901862221</v>
      </c>
      <c r="T84" s="236">
        <v>3965.3228901862221</v>
      </c>
    </row>
    <row r="85" spans="1:20" s="166" customFormat="1" ht="11.25" x14ac:dyDescent="0.2"/>
    <row r="86" spans="1:20" s="166" customFormat="1" ht="12" thickBot="1" x14ac:dyDescent="0.25"/>
    <row r="87" spans="1:20" s="166" customFormat="1" ht="12" thickBot="1" x14ac:dyDescent="0.25">
      <c r="C87" s="149" t="s">
        <v>52</v>
      </c>
      <c r="D87" s="172" t="s">
        <v>82</v>
      </c>
      <c r="E87" s="173" t="s">
        <v>49</v>
      </c>
      <c r="F87" s="241" t="s">
        <v>2</v>
      </c>
      <c r="G87" s="173" t="s">
        <v>41</v>
      </c>
      <c r="H87" s="173" t="s">
        <v>21</v>
      </c>
      <c r="I87" s="173" t="s">
        <v>42</v>
      </c>
      <c r="J87" s="173" t="s">
        <v>45</v>
      </c>
      <c r="K87" s="173" t="s">
        <v>43</v>
      </c>
      <c r="L87" s="173"/>
      <c r="M87" s="173"/>
      <c r="N87" s="173"/>
      <c r="O87" s="173"/>
      <c r="P87" s="173"/>
      <c r="Q87" s="173"/>
      <c r="R87" s="173"/>
      <c r="S87" s="173"/>
      <c r="T87" s="174"/>
    </row>
    <row r="88" spans="1:20" s="166" customFormat="1" ht="11.25" x14ac:dyDescent="0.2">
      <c r="A88" s="166" t="s">
        <v>17</v>
      </c>
      <c r="C88" s="167">
        <v>13.188344155844153</v>
      </c>
      <c r="D88" s="167">
        <v>15.564645867254093</v>
      </c>
      <c r="E88" s="167">
        <v>17.479499631525584</v>
      </c>
      <c r="F88" s="167">
        <v>18</v>
      </c>
      <c r="G88" s="167">
        <v>18.89796327690361</v>
      </c>
      <c r="H88" s="167">
        <v>20.388328158930801</v>
      </c>
      <c r="I88" s="167">
        <v>20.863808481538019</v>
      </c>
      <c r="J88" s="167">
        <v>22.090456640134054</v>
      </c>
      <c r="K88" s="167">
        <v>22.849069834701073</v>
      </c>
      <c r="L88" s="167"/>
      <c r="M88" s="239"/>
      <c r="N88" s="167"/>
      <c r="O88" s="167"/>
      <c r="P88" s="167"/>
      <c r="Q88" s="167"/>
      <c r="R88" s="167"/>
      <c r="S88" s="167"/>
      <c r="T88" s="167"/>
    </row>
    <row r="89" spans="1:20" s="235" customFormat="1" ht="11.25" x14ac:dyDescent="0.2">
      <c r="A89" s="235" t="s">
        <v>1</v>
      </c>
      <c r="C89" s="236">
        <v>18.89796327690361</v>
      </c>
      <c r="D89" s="236">
        <v>18.89796327690361</v>
      </c>
      <c r="E89" s="236">
        <v>18.89796327690361</v>
      </c>
      <c r="F89" s="236">
        <v>18.89796327690361</v>
      </c>
      <c r="G89" s="236">
        <v>18.89796327690361</v>
      </c>
      <c r="H89" s="236">
        <v>18.89796327690361</v>
      </c>
      <c r="I89" s="236">
        <v>18.89796327690361</v>
      </c>
      <c r="J89" s="236">
        <v>18.89796327690361</v>
      </c>
      <c r="K89" s="236">
        <v>18.89796327690361</v>
      </c>
    </row>
    <row r="90" spans="1:20" s="166" customFormat="1" ht="11.25" x14ac:dyDescent="0.2"/>
    <row r="91" spans="1:20" s="166" customFormat="1" ht="12" thickBot="1" x14ac:dyDescent="0.25"/>
    <row r="92" spans="1:20" s="166" customFormat="1" ht="11.25" x14ac:dyDescent="0.2">
      <c r="C92" s="204" t="s">
        <v>82</v>
      </c>
      <c r="D92" s="206" t="s">
        <v>52</v>
      </c>
      <c r="E92" s="234" t="s">
        <v>2</v>
      </c>
      <c r="F92" s="207" t="s">
        <v>49</v>
      </c>
      <c r="G92" s="207" t="s">
        <v>21</v>
      </c>
      <c r="H92" s="207" t="s">
        <v>41</v>
      </c>
      <c r="I92" s="207" t="s">
        <v>42</v>
      </c>
      <c r="J92" s="207" t="s">
        <v>45</v>
      </c>
      <c r="K92" s="207" t="s">
        <v>43</v>
      </c>
      <c r="L92" s="207"/>
      <c r="M92" s="207"/>
      <c r="N92" s="207"/>
      <c r="O92" s="207"/>
      <c r="P92" s="207"/>
      <c r="Q92" s="207"/>
      <c r="R92" s="207"/>
      <c r="S92" s="207"/>
      <c r="T92" s="208"/>
    </row>
    <row r="93" spans="1:20" s="166" customFormat="1" ht="11.25" x14ac:dyDescent="0.2">
      <c r="A93" s="166" t="s">
        <v>18</v>
      </c>
      <c r="C93" s="167">
        <v>37.682826836509904</v>
      </c>
      <c r="D93" s="167">
        <v>37.916489448051955</v>
      </c>
      <c r="E93" s="167">
        <v>44</v>
      </c>
      <c r="F93" s="167">
        <v>46.976155259725004</v>
      </c>
      <c r="G93" s="167">
        <v>47.215075736471327</v>
      </c>
      <c r="H93" s="167">
        <v>49.607153601871971</v>
      </c>
      <c r="I93" s="167">
        <v>56.455011185338179</v>
      </c>
      <c r="J93" s="167">
        <v>58.907884373690841</v>
      </c>
      <c r="K93" s="167">
        <v>59.661460123941694</v>
      </c>
      <c r="L93" s="239"/>
      <c r="M93" s="167"/>
      <c r="N93" s="167"/>
      <c r="O93" s="167"/>
      <c r="P93" s="167"/>
      <c r="Q93" s="167"/>
      <c r="R93" s="167"/>
      <c r="S93" s="167"/>
    </row>
    <row r="94" spans="1:20" s="235" customFormat="1" ht="11.25" x14ac:dyDescent="0.2">
      <c r="A94" s="235" t="s">
        <v>1</v>
      </c>
      <c r="C94" s="236">
        <v>47.215075736471327</v>
      </c>
      <c r="D94" s="236">
        <v>47.215075736471327</v>
      </c>
      <c r="E94" s="236">
        <v>47.215075736471327</v>
      </c>
      <c r="F94" s="236">
        <v>47.215075736471327</v>
      </c>
      <c r="G94" s="236">
        <v>47.215075736471327</v>
      </c>
      <c r="H94" s="236">
        <v>47.215075736471327</v>
      </c>
      <c r="I94" s="236">
        <v>47.215075736471327</v>
      </c>
      <c r="J94" s="236">
        <v>47.215075736471327</v>
      </c>
      <c r="K94" s="236">
        <v>47.215075736471327</v>
      </c>
    </row>
    <row r="95" spans="1:20" s="166" customFormat="1" ht="11.25" x14ac:dyDescent="0.2"/>
    <row r="96" spans="1:20" s="166" customFormat="1" ht="12" thickBot="1" x14ac:dyDescent="0.25"/>
    <row r="97" spans="1:20" s="166" customFormat="1" ht="11.25" x14ac:dyDescent="0.2">
      <c r="C97" s="204" t="s">
        <v>82</v>
      </c>
      <c r="D97" s="206" t="s">
        <v>52</v>
      </c>
      <c r="E97" s="234" t="s">
        <v>2</v>
      </c>
      <c r="F97" s="207" t="s">
        <v>41</v>
      </c>
      <c r="G97" s="207" t="s">
        <v>42</v>
      </c>
      <c r="H97" s="207" t="s">
        <v>43</v>
      </c>
      <c r="I97" s="207" t="s">
        <v>21</v>
      </c>
      <c r="J97" s="207" t="s">
        <v>45</v>
      </c>
      <c r="K97" s="207" t="s">
        <v>49</v>
      </c>
      <c r="L97" s="207"/>
      <c r="M97" s="207"/>
      <c r="N97" s="207"/>
      <c r="O97" s="207"/>
      <c r="P97" s="207"/>
      <c r="Q97" s="207"/>
      <c r="R97" s="207"/>
      <c r="S97" s="207"/>
      <c r="T97" s="208"/>
    </row>
    <row r="98" spans="1:20" s="166" customFormat="1" ht="11.25" x14ac:dyDescent="0.2">
      <c r="A98" s="166" t="s">
        <v>20</v>
      </c>
      <c r="C98" s="167">
        <v>224.85191323503079</v>
      </c>
      <c r="D98" s="167">
        <v>234.16478454968947</v>
      </c>
      <c r="E98" s="167">
        <v>253</v>
      </c>
      <c r="F98" s="167">
        <v>265.75260858145703</v>
      </c>
      <c r="G98" s="167">
        <v>272.35007286386207</v>
      </c>
      <c r="H98" s="167">
        <v>285.3859860552152</v>
      </c>
      <c r="I98" s="167">
        <v>288.65580393433601</v>
      </c>
      <c r="J98" s="167">
        <v>293.47225005009011</v>
      </c>
      <c r="K98" s="167">
        <v>307.79118916382009</v>
      </c>
      <c r="L98" s="167"/>
      <c r="M98" s="167"/>
      <c r="N98" s="167"/>
      <c r="O98" s="167"/>
      <c r="P98" s="167"/>
      <c r="Q98" s="167"/>
      <c r="R98" s="167"/>
      <c r="S98" s="167"/>
    </row>
    <row r="99" spans="1:20" s="235" customFormat="1" ht="11.25" x14ac:dyDescent="0.2">
      <c r="A99" s="235" t="s">
        <v>1</v>
      </c>
      <c r="C99" s="236">
        <v>272.35007286386207</v>
      </c>
      <c r="D99" s="236">
        <v>272.35007286386207</v>
      </c>
      <c r="E99" s="236">
        <v>272.35007286386207</v>
      </c>
      <c r="F99" s="236">
        <v>272.35007286386207</v>
      </c>
      <c r="G99" s="236">
        <v>272.35007286386207</v>
      </c>
      <c r="H99" s="236">
        <v>272.35007286386207</v>
      </c>
      <c r="I99" s="236">
        <v>272.35007286386207</v>
      </c>
      <c r="J99" s="236">
        <v>272.35007286386207</v>
      </c>
      <c r="K99" s="236">
        <v>272.35007286386207</v>
      </c>
    </row>
    <row r="100" spans="1:20" s="166" customFormat="1" ht="11.25" x14ac:dyDescent="0.2"/>
    <row r="101" spans="1:20" s="166" customFormat="1" ht="11.25" x14ac:dyDescent="0.2"/>
  </sheetData>
  <sortState columnSort="1" ref="C62:T63">
    <sortCondition ref="C63:T63"/>
  </sortState>
  <pageMargins left="0.7" right="0.7" top="0.75" bottom="0.75" header="0.3" footer="0.3"/>
  <pageSetup orientation="portrait" horizontalDpi="4294967293" verticalDpi="429496729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D24" sqref="D24"/>
    </sheetView>
  </sheetViews>
  <sheetFormatPr defaultRowHeight="15" x14ac:dyDescent="0.25"/>
  <cols>
    <col min="1" max="1" width="25.85546875" customWidth="1"/>
    <col min="2" max="12" width="8.5703125" customWidth="1"/>
  </cols>
  <sheetData>
    <row r="1" spans="1:12" s="11" customFormat="1" ht="13.5" thickBot="1" x14ac:dyDescent="0.25"/>
    <row r="2" spans="1:12" s="11" customFormat="1" ht="14.45" customHeight="1" thickBot="1" x14ac:dyDescent="0.25">
      <c r="A2" s="320" t="s">
        <v>97</v>
      </c>
      <c r="B2" s="318" t="s">
        <v>87</v>
      </c>
      <c r="C2" s="318" t="s">
        <v>88</v>
      </c>
      <c r="D2" s="318" t="s">
        <v>101</v>
      </c>
      <c r="E2" s="318" t="s">
        <v>89</v>
      </c>
      <c r="F2" s="318" t="s">
        <v>90</v>
      </c>
      <c r="G2" s="311" t="s">
        <v>91</v>
      </c>
      <c r="H2" s="312"/>
      <c r="I2" s="313" t="s">
        <v>92</v>
      </c>
      <c r="J2" s="314"/>
      <c r="K2" s="313" t="s">
        <v>93</v>
      </c>
      <c r="L2" s="314"/>
    </row>
    <row r="3" spans="1:12" s="11" customFormat="1" ht="13.5" thickBot="1" x14ac:dyDescent="0.25">
      <c r="A3" s="321"/>
      <c r="B3" s="319"/>
      <c r="C3" s="319"/>
      <c r="D3" s="319"/>
      <c r="E3" s="319"/>
      <c r="F3" s="319"/>
      <c r="G3" s="126" t="s">
        <v>94</v>
      </c>
      <c r="H3" s="127" t="s">
        <v>95</v>
      </c>
      <c r="I3" s="128" t="s">
        <v>94</v>
      </c>
      <c r="J3" s="127" t="s">
        <v>95</v>
      </c>
      <c r="K3" s="128" t="s">
        <v>94</v>
      </c>
      <c r="L3" s="127" t="s">
        <v>95</v>
      </c>
    </row>
    <row r="4" spans="1:12" s="11" customFormat="1" ht="12.75" x14ac:dyDescent="0.2">
      <c r="A4" s="129"/>
      <c r="B4" s="130">
        <v>6</v>
      </c>
      <c r="C4" s="130">
        <v>6</v>
      </c>
      <c r="D4" s="130">
        <v>5</v>
      </c>
      <c r="E4" s="130">
        <v>5</v>
      </c>
      <c r="F4" s="130">
        <v>4</v>
      </c>
      <c r="G4" s="131">
        <f>B4+D4+E4+F4</f>
        <v>20</v>
      </c>
      <c r="H4" s="132">
        <f t="shared" ref="H4:H19" si="0">1+(($G$20-G4)/$G$20)</f>
        <v>1.0909090909090908</v>
      </c>
      <c r="I4" s="131">
        <f>B4+C4+D4+E4</f>
        <v>22</v>
      </c>
      <c r="J4" s="132">
        <f t="shared" ref="J4:J19" si="1">1+($I$20-I4)/$I$20</f>
        <v>1.0434782608695652</v>
      </c>
      <c r="K4" s="131">
        <f>D4+E4+F4</f>
        <v>14</v>
      </c>
      <c r="L4" s="132">
        <f t="shared" ref="L4:L19" si="2">1+($K$20-K4)/$K$20</f>
        <v>1.125</v>
      </c>
    </row>
    <row r="5" spans="1:12" s="11" customFormat="1" ht="12.75" x14ac:dyDescent="0.2">
      <c r="A5" s="133"/>
      <c r="B5" s="134">
        <v>5</v>
      </c>
      <c r="C5" s="134">
        <v>5</v>
      </c>
      <c r="D5" s="134">
        <v>5</v>
      </c>
      <c r="E5" s="134">
        <v>5</v>
      </c>
      <c r="F5" s="134">
        <v>4</v>
      </c>
      <c r="G5" s="135">
        <f t="shared" ref="G5:G21" si="3">B5+D5+E5+F5</f>
        <v>19</v>
      </c>
      <c r="H5" s="136">
        <f t="shared" si="0"/>
        <v>1.1363636363636362</v>
      </c>
      <c r="I5" s="135">
        <f t="shared" ref="I5:I21" si="4">B5+C5+D5+E5</f>
        <v>20</v>
      </c>
      <c r="J5" s="136">
        <f t="shared" si="1"/>
        <v>1.1304347826086956</v>
      </c>
      <c r="K5" s="135">
        <f t="shared" ref="K5:K21" si="5">D5+E5+F5</f>
        <v>14</v>
      </c>
      <c r="L5" s="136">
        <f t="shared" si="2"/>
        <v>1.125</v>
      </c>
    </row>
    <row r="6" spans="1:12" s="11" customFormat="1" ht="12.75" x14ac:dyDescent="0.2">
      <c r="A6" s="133"/>
      <c r="B6" s="134">
        <v>4</v>
      </c>
      <c r="C6" s="134">
        <v>5</v>
      </c>
      <c r="D6" s="134">
        <v>4</v>
      </c>
      <c r="E6" s="134">
        <v>5</v>
      </c>
      <c r="F6" s="134">
        <v>4</v>
      </c>
      <c r="G6" s="135">
        <f t="shared" si="3"/>
        <v>17</v>
      </c>
      <c r="H6" s="136">
        <f t="shared" si="0"/>
        <v>1.2272727272727273</v>
      </c>
      <c r="I6" s="135">
        <f t="shared" si="4"/>
        <v>18</v>
      </c>
      <c r="J6" s="136">
        <f t="shared" si="1"/>
        <v>1.2173913043478262</v>
      </c>
      <c r="K6" s="135">
        <f t="shared" si="5"/>
        <v>13</v>
      </c>
      <c r="L6" s="136">
        <f t="shared" si="2"/>
        <v>1.1875</v>
      </c>
    </row>
    <row r="7" spans="1:12" s="11" customFormat="1" ht="12.75" x14ac:dyDescent="0.2">
      <c r="A7" s="133"/>
      <c r="B7" s="134">
        <v>6</v>
      </c>
      <c r="C7" s="134">
        <v>6</v>
      </c>
      <c r="D7" s="134">
        <v>6</v>
      </c>
      <c r="E7" s="134">
        <v>5</v>
      </c>
      <c r="F7" s="134">
        <v>5</v>
      </c>
      <c r="G7" s="135">
        <f t="shared" si="3"/>
        <v>22</v>
      </c>
      <c r="H7" s="136">
        <f t="shared" si="0"/>
        <v>1</v>
      </c>
      <c r="I7" s="135">
        <f t="shared" si="4"/>
        <v>23</v>
      </c>
      <c r="J7" s="136">
        <f t="shared" si="1"/>
        <v>1</v>
      </c>
      <c r="K7" s="135">
        <f t="shared" si="5"/>
        <v>16</v>
      </c>
      <c r="L7" s="136">
        <f t="shared" si="2"/>
        <v>1</v>
      </c>
    </row>
    <row r="8" spans="1:12" s="11" customFormat="1" ht="12.75" x14ac:dyDescent="0.2">
      <c r="A8" s="133"/>
      <c r="B8" s="134">
        <v>6</v>
      </c>
      <c r="C8" s="134">
        <v>5</v>
      </c>
      <c r="D8" s="134">
        <v>5</v>
      </c>
      <c r="E8" s="134">
        <v>5</v>
      </c>
      <c r="F8" s="134">
        <v>4</v>
      </c>
      <c r="G8" s="135">
        <f t="shared" si="3"/>
        <v>20</v>
      </c>
      <c r="H8" s="136">
        <f t="shared" si="0"/>
        <v>1.0909090909090908</v>
      </c>
      <c r="I8" s="135">
        <f t="shared" si="4"/>
        <v>21</v>
      </c>
      <c r="J8" s="136">
        <f t="shared" si="1"/>
        <v>1.0869565217391304</v>
      </c>
      <c r="K8" s="135">
        <f t="shared" si="5"/>
        <v>14</v>
      </c>
      <c r="L8" s="136">
        <f t="shared" si="2"/>
        <v>1.125</v>
      </c>
    </row>
    <row r="9" spans="1:12" s="11" customFormat="1" ht="12.75" x14ac:dyDescent="0.2">
      <c r="A9" s="133"/>
      <c r="B9" s="134">
        <v>5</v>
      </c>
      <c r="C9" s="134">
        <v>5</v>
      </c>
      <c r="D9" s="134">
        <v>5</v>
      </c>
      <c r="E9" s="134">
        <v>4</v>
      </c>
      <c r="F9" s="134">
        <v>6</v>
      </c>
      <c r="G9" s="135">
        <f t="shared" si="3"/>
        <v>20</v>
      </c>
      <c r="H9" s="136">
        <f t="shared" si="0"/>
        <v>1.0909090909090908</v>
      </c>
      <c r="I9" s="135">
        <f t="shared" si="4"/>
        <v>19</v>
      </c>
      <c r="J9" s="136">
        <f t="shared" si="1"/>
        <v>1.1739130434782608</v>
      </c>
      <c r="K9" s="135">
        <f t="shared" si="5"/>
        <v>15</v>
      </c>
      <c r="L9" s="136">
        <f t="shared" si="2"/>
        <v>1.0625</v>
      </c>
    </row>
    <row r="10" spans="1:12" s="11" customFormat="1" ht="12.75" x14ac:dyDescent="0.2">
      <c r="A10" s="133"/>
      <c r="B10" s="134">
        <v>6</v>
      </c>
      <c r="C10" s="134">
        <v>5</v>
      </c>
      <c r="D10" s="134">
        <v>5</v>
      </c>
      <c r="E10" s="134">
        <v>6</v>
      </c>
      <c r="F10" s="134">
        <v>4</v>
      </c>
      <c r="G10" s="135">
        <f t="shared" si="3"/>
        <v>21</v>
      </c>
      <c r="H10" s="136">
        <f t="shared" si="0"/>
        <v>1.0454545454545454</v>
      </c>
      <c r="I10" s="135">
        <f t="shared" si="4"/>
        <v>22</v>
      </c>
      <c r="J10" s="136">
        <f t="shared" si="1"/>
        <v>1.0434782608695652</v>
      </c>
      <c r="K10" s="135">
        <f t="shared" si="5"/>
        <v>15</v>
      </c>
      <c r="L10" s="136">
        <f t="shared" si="2"/>
        <v>1.0625</v>
      </c>
    </row>
    <row r="11" spans="1:12" s="11" customFormat="1" ht="12.75" x14ac:dyDescent="0.2">
      <c r="A11" s="133"/>
      <c r="B11" s="134">
        <v>6</v>
      </c>
      <c r="C11" s="134">
        <v>6</v>
      </c>
      <c r="D11" s="134">
        <v>6</v>
      </c>
      <c r="E11" s="134">
        <v>5</v>
      </c>
      <c r="F11" s="134">
        <v>5</v>
      </c>
      <c r="G11" s="135">
        <f t="shared" si="3"/>
        <v>22</v>
      </c>
      <c r="H11" s="136">
        <f t="shared" si="0"/>
        <v>1</v>
      </c>
      <c r="I11" s="135">
        <f t="shared" si="4"/>
        <v>23</v>
      </c>
      <c r="J11" s="136">
        <f t="shared" si="1"/>
        <v>1</v>
      </c>
      <c r="K11" s="135">
        <f t="shared" si="5"/>
        <v>16</v>
      </c>
      <c r="L11" s="136">
        <f t="shared" si="2"/>
        <v>1</v>
      </c>
    </row>
    <row r="12" spans="1:12" s="11" customFormat="1" ht="12.75" x14ac:dyDescent="0.2">
      <c r="A12" s="133"/>
      <c r="B12" s="134">
        <v>6</v>
      </c>
      <c r="C12" s="134">
        <v>5</v>
      </c>
      <c r="D12" s="134">
        <v>4</v>
      </c>
      <c r="E12" s="134">
        <v>5</v>
      </c>
      <c r="F12" s="134">
        <v>4</v>
      </c>
      <c r="G12" s="135">
        <f t="shared" si="3"/>
        <v>19</v>
      </c>
      <c r="H12" s="136">
        <f t="shared" si="0"/>
        <v>1.1363636363636362</v>
      </c>
      <c r="I12" s="135">
        <f t="shared" si="4"/>
        <v>20</v>
      </c>
      <c r="J12" s="136">
        <f t="shared" si="1"/>
        <v>1.1304347826086956</v>
      </c>
      <c r="K12" s="135">
        <f t="shared" si="5"/>
        <v>13</v>
      </c>
      <c r="L12" s="136">
        <f t="shared" si="2"/>
        <v>1.1875</v>
      </c>
    </row>
    <row r="13" spans="1:12" s="11" customFormat="1" ht="12.75" x14ac:dyDescent="0.2">
      <c r="A13" s="133"/>
      <c r="B13" s="134">
        <v>6</v>
      </c>
      <c r="C13" s="134">
        <v>6</v>
      </c>
      <c r="D13" s="134">
        <v>6</v>
      </c>
      <c r="E13" s="134">
        <v>4</v>
      </c>
      <c r="F13" s="134">
        <v>5</v>
      </c>
      <c r="G13" s="135">
        <f t="shared" si="3"/>
        <v>21</v>
      </c>
      <c r="H13" s="136">
        <f t="shared" si="0"/>
        <v>1.0454545454545454</v>
      </c>
      <c r="I13" s="135">
        <f t="shared" si="4"/>
        <v>22</v>
      </c>
      <c r="J13" s="136">
        <f t="shared" si="1"/>
        <v>1.0434782608695652</v>
      </c>
      <c r="K13" s="135">
        <f t="shared" si="5"/>
        <v>15</v>
      </c>
      <c r="L13" s="136">
        <f t="shared" si="2"/>
        <v>1.0625</v>
      </c>
    </row>
    <row r="14" spans="1:12" s="11" customFormat="1" ht="12.75" x14ac:dyDescent="0.2">
      <c r="A14" s="133"/>
      <c r="B14" s="134">
        <v>5</v>
      </c>
      <c r="C14" s="134">
        <v>6</v>
      </c>
      <c r="D14" s="134">
        <v>6</v>
      </c>
      <c r="E14" s="134">
        <v>5</v>
      </c>
      <c r="F14" s="134">
        <v>5</v>
      </c>
      <c r="G14" s="135">
        <f t="shared" si="3"/>
        <v>21</v>
      </c>
      <c r="H14" s="136">
        <f t="shared" si="0"/>
        <v>1.0454545454545454</v>
      </c>
      <c r="I14" s="135">
        <f t="shared" si="4"/>
        <v>22</v>
      </c>
      <c r="J14" s="136">
        <f t="shared" si="1"/>
        <v>1.0434782608695652</v>
      </c>
      <c r="K14" s="135">
        <f t="shared" si="5"/>
        <v>16</v>
      </c>
      <c r="L14" s="136">
        <f t="shared" si="2"/>
        <v>1</v>
      </c>
    </row>
    <row r="15" spans="1:12" s="11" customFormat="1" ht="12.75" x14ac:dyDescent="0.2">
      <c r="A15" s="133"/>
      <c r="B15" s="134">
        <v>6</v>
      </c>
      <c r="C15" s="134">
        <v>6</v>
      </c>
      <c r="D15" s="134">
        <v>5</v>
      </c>
      <c r="E15" s="134">
        <v>5</v>
      </c>
      <c r="F15" s="134">
        <v>6</v>
      </c>
      <c r="G15" s="135">
        <f t="shared" si="3"/>
        <v>22</v>
      </c>
      <c r="H15" s="136">
        <f t="shared" si="0"/>
        <v>1</v>
      </c>
      <c r="I15" s="135">
        <f t="shared" si="4"/>
        <v>22</v>
      </c>
      <c r="J15" s="136">
        <f t="shared" si="1"/>
        <v>1.0434782608695652</v>
      </c>
      <c r="K15" s="135">
        <f t="shared" si="5"/>
        <v>16</v>
      </c>
      <c r="L15" s="136">
        <f t="shared" si="2"/>
        <v>1</v>
      </c>
    </row>
    <row r="16" spans="1:12" s="11" customFormat="1" ht="12.75" x14ac:dyDescent="0.2">
      <c r="A16" s="133"/>
      <c r="B16" s="134">
        <v>6</v>
      </c>
      <c r="C16" s="134">
        <v>6</v>
      </c>
      <c r="D16" s="134">
        <v>6</v>
      </c>
      <c r="E16" s="134">
        <v>4</v>
      </c>
      <c r="F16" s="134">
        <v>5</v>
      </c>
      <c r="G16" s="135">
        <f t="shared" si="3"/>
        <v>21</v>
      </c>
      <c r="H16" s="136">
        <f t="shared" si="0"/>
        <v>1.0454545454545454</v>
      </c>
      <c r="I16" s="135">
        <f t="shared" si="4"/>
        <v>22</v>
      </c>
      <c r="J16" s="136">
        <f t="shared" si="1"/>
        <v>1.0434782608695652</v>
      </c>
      <c r="K16" s="135">
        <f t="shared" si="5"/>
        <v>15</v>
      </c>
      <c r="L16" s="136">
        <f t="shared" si="2"/>
        <v>1.0625</v>
      </c>
    </row>
    <row r="17" spans="1:12" s="11" customFormat="1" ht="12.75" x14ac:dyDescent="0.2">
      <c r="A17" s="133"/>
      <c r="B17" s="134">
        <v>4</v>
      </c>
      <c r="C17" s="134">
        <v>5</v>
      </c>
      <c r="D17" s="134">
        <v>5</v>
      </c>
      <c r="E17" s="134">
        <v>6</v>
      </c>
      <c r="F17" s="134">
        <v>4</v>
      </c>
      <c r="G17" s="135">
        <f t="shared" si="3"/>
        <v>19</v>
      </c>
      <c r="H17" s="136">
        <f t="shared" si="0"/>
        <v>1.1363636363636362</v>
      </c>
      <c r="I17" s="135">
        <f t="shared" si="4"/>
        <v>20</v>
      </c>
      <c r="J17" s="136">
        <f t="shared" si="1"/>
        <v>1.1304347826086956</v>
      </c>
      <c r="K17" s="135">
        <f t="shared" si="5"/>
        <v>15</v>
      </c>
      <c r="L17" s="136">
        <f t="shared" si="2"/>
        <v>1.0625</v>
      </c>
    </row>
    <row r="18" spans="1:12" s="11" customFormat="1" ht="12.75" x14ac:dyDescent="0.2">
      <c r="A18" s="133"/>
      <c r="B18" s="134">
        <v>6</v>
      </c>
      <c r="C18" s="134">
        <v>6</v>
      </c>
      <c r="D18" s="134">
        <v>6</v>
      </c>
      <c r="E18" s="134">
        <v>5</v>
      </c>
      <c r="F18" s="134">
        <v>5</v>
      </c>
      <c r="G18" s="135">
        <f t="shared" si="3"/>
        <v>22</v>
      </c>
      <c r="H18" s="136">
        <f t="shared" si="0"/>
        <v>1</v>
      </c>
      <c r="I18" s="135">
        <f t="shared" si="4"/>
        <v>23</v>
      </c>
      <c r="J18" s="136">
        <f t="shared" si="1"/>
        <v>1</v>
      </c>
      <c r="K18" s="135">
        <f t="shared" si="5"/>
        <v>16</v>
      </c>
      <c r="L18" s="136">
        <f t="shared" si="2"/>
        <v>1</v>
      </c>
    </row>
    <row r="19" spans="1:12" s="11" customFormat="1" ht="12.75" x14ac:dyDescent="0.2">
      <c r="A19" s="133"/>
      <c r="B19" s="134">
        <v>6</v>
      </c>
      <c r="C19" s="134">
        <v>6</v>
      </c>
      <c r="D19" s="134">
        <v>6</v>
      </c>
      <c r="E19" s="134">
        <v>4</v>
      </c>
      <c r="F19" s="134">
        <v>4</v>
      </c>
      <c r="G19" s="135">
        <f t="shared" si="3"/>
        <v>20</v>
      </c>
      <c r="H19" s="136">
        <f t="shared" si="0"/>
        <v>1.0909090909090908</v>
      </c>
      <c r="I19" s="135">
        <f t="shared" si="4"/>
        <v>22</v>
      </c>
      <c r="J19" s="136">
        <f t="shared" si="1"/>
        <v>1.0434782608695652</v>
      </c>
      <c r="K19" s="135">
        <f t="shared" si="5"/>
        <v>14</v>
      </c>
      <c r="L19" s="136">
        <f t="shared" si="2"/>
        <v>1.125</v>
      </c>
    </row>
    <row r="20" spans="1:12" s="11" customFormat="1" ht="12.75" x14ac:dyDescent="0.2">
      <c r="A20" s="137" t="s">
        <v>86</v>
      </c>
      <c r="B20" s="138">
        <v>6</v>
      </c>
      <c r="C20" s="138">
        <v>6</v>
      </c>
      <c r="D20" s="138">
        <v>6</v>
      </c>
      <c r="E20" s="138">
        <v>5</v>
      </c>
      <c r="F20" s="138">
        <v>5</v>
      </c>
      <c r="G20" s="139">
        <f t="shared" si="3"/>
        <v>22</v>
      </c>
      <c r="H20" s="140">
        <f>G20/G20</f>
        <v>1</v>
      </c>
      <c r="I20" s="139">
        <f t="shared" si="4"/>
        <v>23</v>
      </c>
      <c r="J20" s="140">
        <f>I20/I20</f>
        <v>1</v>
      </c>
      <c r="K20" s="139">
        <f t="shared" si="5"/>
        <v>16</v>
      </c>
      <c r="L20" s="140">
        <f>K20/K20</f>
        <v>1</v>
      </c>
    </row>
    <row r="21" spans="1:12" s="11" customFormat="1" ht="13.5" thickBot="1" x14ac:dyDescent="0.25">
      <c r="A21" s="141"/>
      <c r="B21" s="142">
        <v>6</v>
      </c>
      <c r="C21" s="142">
        <v>6</v>
      </c>
      <c r="D21" s="142">
        <v>6</v>
      </c>
      <c r="E21" s="142">
        <v>6</v>
      </c>
      <c r="F21" s="142">
        <v>4</v>
      </c>
      <c r="G21" s="143">
        <f t="shared" si="3"/>
        <v>22</v>
      </c>
      <c r="H21" s="144">
        <f>1+(($G$20-G21)/$G$20)</f>
        <v>1</v>
      </c>
      <c r="I21" s="143">
        <f t="shared" si="4"/>
        <v>24</v>
      </c>
      <c r="J21" s="144">
        <f>1-(I21-I20)/I20</f>
        <v>0.95652173913043481</v>
      </c>
      <c r="K21" s="143">
        <f t="shared" si="5"/>
        <v>16</v>
      </c>
      <c r="L21" s="144">
        <f>1+(K21-K20)/K20</f>
        <v>1</v>
      </c>
    </row>
    <row r="22" spans="1:12" s="11" customFormat="1" ht="13.5" thickBot="1" x14ac:dyDescent="0.25">
      <c r="A22" s="315" t="s">
        <v>96</v>
      </c>
      <c r="B22" s="316"/>
      <c r="C22" s="316"/>
      <c r="D22" s="316"/>
      <c r="E22" s="316"/>
      <c r="F22" s="317"/>
      <c r="G22" s="145"/>
      <c r="H22" s="146">
        <f>(SUM(H4:H21)-H20)/17</f>
        <v>1.0695187165775399</v>
      </c>
      <c r="I22" s="145"/>
      <c r="J22" s="146">
        <f>(SUM(J4:J21)-J20)/17</f>
        <v>1.0664961636828643</v>
      </c>
      <c r="K22" s="145"/>
      <c r="L22" s="146">
        <f>(SUM(L4:L21)-L20)/17</f>
        <v>1.0698529411764706</v>
      </c>
    </row>
  </sheetData>
  <mergeCells count="10">
    <mergeCell ref="G2:H2"/>
    <mergeCell ref="I2:J2"/>
    <mergeCell ref="K2:L2"/>
    <mergeCell ref="A22:F22"/>
    <mergeCell ref="B2:B3"/>
    <mergeCell ref="C2:C3"/>
    <mergeCell ref="D2:D3"/>
    <mergeCell ref="E2:E3"/>
    <mergeCell ref="F2:F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8" workbookViewId="0">
      <selection activeCell="C49" sqref="C49"/>
    </sheetView>
  </sheetViews>
  <sheetFormatPr defaultRowHeight="15" x14ac:dyDescent="0.25"/>
  <cols>
    <col min="1" max="1" width="50.140625" customWidth="1"/>
    <col min="2" max="2" width="15.140625" style="11" customWidth="1"/>
    <col min="3" max="3" width="9.7109375" bestFit="1" customWidth="1"/>
    <col min="4" max="4" width="13.140625" style="114" customWidth="1"/>
    <col min="5" max="5" width="9.140625" bestFit="1" customWidth="1"/>
    <col min="12" max="12" width="29.5703125" customWidth="1"/>
    <col min="13" max="13" width="11.42578125" customWidth="1"/>
  </cols>
  <sheetData>
    <row r="1" spans="1:15" ht="15.75" thickBot="1" x14ac:dyDescent="0.3"/>
    <row r="2" spans="1:15" ht="39" customHeight="1" thickBot="1" x14ac:dyDescent="0.3">
      <c r="B2" s="35"/>
      <c r="L2" s="320" t="s">
        <v>97</v>
      </c>
      <c r="M2" s="318" t="s">
        <v>131</v>
      </c>
      <c r="N2" s="318" t="s">
        <v>130</v>
      </c>
      <c r="O2" s="322" t="s">
        <v>87</v>
      </c>
    </row>
    <row r="3" spans="1:15" ht="15.75" thickBot="1" x14ac:dyDescent="0.3">
      <c r="A3" s="326" t="s">
        <v>97</v>
      </c>
      <c r="B3" s="326" t="s">
        <v>100</v>
      </c>
      <c r="C3" s="326" t="s">
        <v>95</v>
      </c>
      <c r="D3" s="326" t="s">
        <v>112</v>
      </c>
      <c r="L3" s="321"/>
      <c r="M3" s="319"/>
      <c r="N3" s="319"/>
      <c r="O3" s="323"/>
    </row>
    <row r="4" spans="1:15" ht="14.65" customHeight="1" thickBot="1" x14ac:dyDescent="0.3">
      <c r="A4" s="327"/>
      <c r="B4" s="327"/>
      <c r="C4" s="327"/>
      <c r="D4" s="328"/>
      <c r="L4" s="129"/>
      <c r="M4" s="261">
        <f>C43</f>
        <v>480000</v>
      </c>
      <c r="N4" s="261">
        <f t="shared" ref="N4:O4" si="0">D43</f>
        <v>1367.52</v>
      </c>
      <c r="O4" s="273">
        <f t="shared" si="0"/>
        <v>351.00035100035103</v>
      </c>
    </row>
    <row r="5" spans="1:15" ht="15" customHeight="1" x14ac:dyDescent="0.25">
      <c r="A5" s="66"/>
      <c r="B5" s="67">
        <f>B43</f>
        <v>58081.599999999999</v>
      </c>
      <c r="C5" s="115">
        <f t="shared" ref="C5:C22" si="1">B5/B$21</f>
        <v>0.74197240674501785</v>
      </c>
      <c r="D5" s="147">
        <f>C$21/C5</f>
        <v>1.3477590149031708</v>
      </c>
      <c r="E5">
        <f>1/C5</f>
        <v>1.3477590149031708</v>
      </c>
      <c r="F5">
        <f>1+((C21-C5)/C21)</f>
        <v>1.2580275932549823</v>
      </c>
      <c r="L5" s="133"/>
      <c r="M5" s="259">
        <f>C42</f>
        <v>520000</v>
      </c>
      <c r="N5" s="259">
        <f t="shared" ref="N5:O5" si="2">D42</f>
        <v>6000</v>
      </c>
      <c r="O5" s="274">
        <f t="shared" si="2"/>
        <v>86.666666666666671</v>
      </c>
    </row>
    <row r="6" spans="1:15" ht="15" customHeight="1" x14ac:dyDescent="0.25">
      <c r="A6" s="60"/>
      <c r="B6" s="64">
        <f>B42</f>
        <v>58627.199999999997</v>
      </c>
      <c r="C6" s="116">
        <f t="shared" si="1"/>
        <v>0.74894225855901886</v>
      </c>
      <c r="D6" s="65">
        <f t="shared" ref="D6:D22" si="3">C$21/C6</f>
        <v>1.3352164183177775</v>
      </c>
      <c r="L6" s="133"/>
      <c r="M6" s="259">
        <f>C35</f>
        <v>1200000</v>
      </c>
      <c r="N6" s="259">
        <f t="shared" ref="N6:O6" si="4">D35</f>
        <v>113183</v>
      </c>
      <c r="O6" s="274">
        <f t="shared" si="4"/>
        <v>10.602298931818382</v>
      </c>
    </row>
    <row r="7" spans="1:15" ht="15" customHeight="1" x14ac:dyDescent="0.25">
      <c r="A7" s="60"/>
      <c r="B7" s="64">
        <f>B35</f>
        <v>59817.599999999999</v>
      </c>
      <c r="C7" s="116">
        <f t="shared" si="1"/>
        <v>0.76414920797138475</v>
      </c>
      <c r="D7" s="65">
        <f t="shared" si="3"/>
        <v>1.3086449473064785</v>
      </c>
      <c r="L7" s="133"/>
      <c r="M7" s="259">
        <f>C34</f>
        <v>1250000</v>
      </c>
      <c r="N7" s="259">
        <f t="shared" ref="N7:O7" si="5">D34</f>
        <v>5957</v>
      </c>
      <c r="O7" s="274">
        <f t="shared" si="5"/>
        <v>209.83716635890548</v>
      </c>
    </row>
    <row r="8" spans="1:15" ht="15" customHeight="1" x14ac:dyDescent="0.25">
      <c r="A8" s="60"/>
      <c r="B8" s="64">
        <f>B34</f>
        <v>68100.800000000003</v>
      </c>
      <c r="C8" s="116">
        <f t="shared" si="1"/>
        <v>0.86996423096576392</v>
      </c>
      <c r="D8" s="65">
        <f t="shared" si="3"/>
        <v>1.1494725465780138</v>
      </c>
      <c r="L8" s="133"/>
      <c r="M8" s="259">
        <f>C31</f>
        <v>2200000</v>
      </c>
      <c r="N8" s="259">
        <f t="shared" ref="N8:O8" si="6">D31</f>
        <v>20000</v>
      </c>
      <c r="O8" s="274">
        <f t="shared" si="6"/>
        <v>110</v>
      </c>
    </row>
    <row r="9" spans="1:15" ht="15" customHeight="1" x14ac:dyDescent="0.25">
      <c r="A9" s="60"/>
      <c r="B9" s="64">
        <f>B31</f>
        <v>63860</v>
      </c>
      <c r="C9" s="116">
        <f t="shared" si="1"/>
        <v>0.81578947368421051</v>
      </c>
      <c r="D9" s="65">
        <f t="shared" si="3"/>
        <v>1.2258064516129032</v>
      </c>
      <c r="L9" s="133"/>
      <c r="M9" s="259">
        <f>C30</f>
        <v>2600000</v>
      </c>
      <c r="N9" s="259">
        <f t="shared" ref="N9:O9" si="7">D30</f>
        <v>77700</v>
      </c>
      <c r="O9" s="274">
        <f t="shared" si="7"/>
        <v>33.46203346203346</v>
      </c>
    </row>
    <row r="10" spans="1:15" ht="15" customHeight="1" x14ac:dyDescent="0.25">
      <c r="A10" s="60"/>
      <c r="B10" s="64">
        <f>B30</f>
        <v>60896.4</v>
      </c>
      <c r="C10" s="116">
        <f t="shared" si="1"/>
        <v>0.77793050587634138</v>
      </c>
      <c r="D10" s="65">
        <f t="shared" si="3"/>
        <v>1.285461866382906</v>
      </c>
      <c r="L10" s="133"/>
      <c r="M10" s="259">
        <f>C37</f>
        <v>850000</v>
      </c>
      <c r="N10" s="259">
        <f t="shared" ref="N10:O10" si="8">D37</f>
        <v>1087</v>
      </c>
      <c r="O10" s="274">
        <f t="shared" si="8"/>
        <v>781.96872125114999</v>
      </c>
    </row>
    <row r="11" spans="1:15" ht="15" customHeight="1" x14ac:dyDescent="0.25">
      <c r="A11" s="60"/>
      <c r="B11" s="64">
        <f>B37</f>
        <v>104410</v>
      </c>
      <c r="C11" s="116">
        <f t="shared" si="1"/>
        <v>1.3338017373530915</v>
      </c>
      <c r="D11" s="65">
        <f t="shared" si="3"/>
        <v>0.74973661526673685</v>
      </c>
      <c r="L11" s="133"/>
      <c r="M11" s="259">
        <f>C39</f>
        <v>700000</v>
      </c>
      <c r="N11" s="259">
        <f t="shared" ref="N11:O11" si="9">D39</f>
        <v>4403</v>
      </c>
      <c r="O11" s="274">
        <f t="shared" si="9"/>
        <v>158.98251192368841</v>
      </c>
    </row>
    <row r="12" spans="1:15" ht="15" customHeight="1" x14ac:dyDescent="0.25">
      <c r="A12" s="60"/>
      <c r="B12" s="64">
        <f>B39</f>
        <v>59830</v>
      </c>
      <c r="C12" s="116">
        <f t="shared" si="1"/>
        <v>0.76430761369443023</v>
      </c>
      <c r="D12" s="65">
        <f t="shared" si="3"/>
        <v>1.3083737255557413</v>
      </c>
      <c r="L12" s="133"/>
      <c r="M12" s="259">
        <f>C45</f>
        <v>100000</v>
      </c>
      <c r="N12" s="259">
        <f t="shared" ref="N12:O12" si="10">D45</f>
        <v>130</v>
      </c>
      <c r="O12" s="274">
        <f t="shared" si="10"/>
        <v>769.23076923076928</v>
      </c>
    </row>
    <row r="13" spans="1:15" ht="15" customHeight="1" x14ac:dyDescent="0.25">
      <c r="A13" s="60"/>
      <c r="B13" s="64">
        <f>B45</f>
        <v>58962</v>
      </c>
      <c r="C13" s="116">
        <f t="shared" si="1"/>
        <v>0.75321921308124684</v>
      </c>
      <c r="D13" s="65">
        <f t="shared" si="3"/>
        <v>1.3276347478036701</v>
      </c>
      <c r="L13" s="133"/>
      <c r="M13" s="259">
        <f>C26</f>
        <v>16000000</v>
      </c>
      <c r="N13" s="259">
        <f t="shared" ref="N13:O13" si="11">D26</f>
        <v>181300</v>
      </c>
      <c r="O13" s="274">
        <f t="shared" si="11"/>
        <v>88.251516822945391</v>
      </c>
    </row>
    <row r="14" spans="1:15" ht="15" customHeight="1" x14ac:dyDescent="0.25">
      <c r="A14" s="60"/>
      <c r="B14" s="64">
        <f>B26</f>
        <v>94438.399999999994</v>
      </c>
      <c r="C14" s="116">
        <f t="shared" si="1"/>
        <v>1.2064179867143587</v>
      </c>
      <c r="D14" s="65">
        <f t="shared" si="3"/>
        <v>0.82890010843046891</v>
      </c>
      <c r="L14" s="133"/>
      <c r="M14" s="259">
        <f>C36</f>
        <v>862000</v>
      </c>
      <c r="N14" s="259">
        <f t="shared" ref="N14:O14" si="12">D36</f>
        <v>10360</v>
      </c>
      <c r="O14" s="274">
        <f t="shared" si="12"/>
        <v>83.204633204633211</v>
      </c>
    </row>
    <row r="15" spans="1:15" ht="15" customHeight="1" x14ac:dyDescent="0.25">
      <c r="A15" s="60"/>
      <c r="B15" s="64">
        <f>B36</f>
        <v>66910.399999999994</v>
      </c>
      <c r="C15" s="116">
        <f t="shared" si="1"/>
        <v>0.85475728155339803</v>
      </c>
      <c r="D15" s="65">
        <f t="shared" si="3"/>
        <v>1.169922762380736</v>
      </c>
      <c r="L15" s="133"/>
      <c r="M15" s="259">
        <f>C33</f>
        <v>1600000</v>
      </c>
      <c r="N15" s="259">
        <f t="shared" ref="N15:O15" si="13">D33</f>
        <v>5439</v>
      </c>
      <c r="O15" s="274">
        <f t="shared" si="13"/>
        <v>294.17172274315129</v>
      </c>
    </row>
    <row r="16" spans="1:15" ht="15" customHeight="1" x14ac:dyDescent="0.25">
      <c r="A16" s="60"/>
      <c r="B16" s="64">
        <f>B33</f>
        <v>66451.600000000006</v>
      </c>
      <c r="C16" s="116">
        <f t="shared" si="1"/>
        <v>0.84889626980071542</v>
      </c>
      <c r="D16" s="65">
        <f t="shared" si="3"/>
        <v>1.1780002287379083</v>
      </c>
      <c r="L16" s="133"/>
      <c r="M16" s="259">
        <f>C40</f>
        <v>625000</v>
      </c>
      <c r="N16" s="259">
        <f t="shared" ref="N16:O16" si="14">D40</f>
        <v>1431</v>
      </c>
      <c r="O16" s="274">
        <f t="shared" si="14"/>
        <v>436.75751222921036</v>
      </c>
    </row>
    <row r="17" spans="1:15" ht="15" customHeight="1" x14ac:dyDescent="0.25">
      <c r="A17" s="60"/>
      <c r="B17" s="64">
        <v>67816</v>
      </c>
      <c r="C17" s="116">
        <f t="shared" si="1"/>
        <v>0.86632600919775171</v>
      </c>
      <c r="D17" s="65">
        <f t="shared" si="3"/>
        <v>1.1542998702371121</v>
      </c>
      <c r="L17" s="133"/>
      <c r="M17" s="259">
        <f>C41</f>
        <v>522000</v>
      </c>
      <c r="N17" s="259">
        <f t="shared" ref="N17:O17" si="15">D41</f>
        <v>651000</v>
      </c>
      <c r="O17" s="274">
        <f t="shared" si="15"/>
        <v>0.8018433179723502</v>
      </c>
    </row>
    <row r="18" spans="1:15" ht="15" customHeight="1" x14ac:dyDescent="0.25">
      <c r="A18" s="60"/>
      <c r="B18" s="64">
        <v>89431</v>
      </c>
      <c r="C18" s="116">
        <f t="shared" si="1"/>
        <v>1.1424501788451711</v>
      </c>
      <c r="D18" s="65">
        <f t="shared" si="3"/>
        <v>0.875311692813454</v>
      </c>
      <c r="L18" s="133"/>
      <c r="M18" s="259">
        <f>C44</f>
        <v>425000</v>
      </c>
      <c r="N18" s="259">
        <f t="shared" ref="N18:O18" si="16">D44</f>
        <v>341.88</v>
      </c>
      <c r="O18" s="274">
        <f t="shared" si="16"/>
        <v>1243.1262431262433</v>
      </c>
    </row>
    <row r="19" spans="1:15" ht="15" customHeight="1" x14ac:dyDescent="0.25">
      <c r="A19" s="60"/>
      <c r="B19" s="64">
        <f>B44</f>
        <v>78492</v>
      </c>
      <c r="C19" s="116">
        <f t="shared" si="1"/>
        <v>1.0027082268778742</v>
      </c>
      <c r="D19" s="65">
        <f t="shared" si="3"/>
        <v>0.99729908780512677</v>
      </c>
      <c r="L19" s="133"/>
      <c r="M19" s="133">
        <v>15000000</v>
      </c>
      <c r="N19" s="133">
        <v>130000</v>
      </c>
      <c r="O19" s="274">
        <f>M19/N19</f>
        <v>115.38461538461539</v>
      </c>
    </row>
    <row r="20" spans="1:15" ht="15" customHeight="1" x14ac:dyDescent="0.25">
      <c r="A20" s="60"/>
      <c r="B20" s="22">
        <v>102400</v>
      </c>
      <c r="C20" s="116">
        <f t="shared" si="1"/>
        <v>1.3081246806336229</v>
      </c>
      <c r="D20" s="65">
        <f t="shared" si="3"/>
        <v>0.76445312500000007</v>
      </c>
      <c r="L20" s="258" t="s">
        <v>86</v>
      </c>
      <c r="M20" s="259">
        <f>C38</f>
        <v>761000</v>
      </c>
      <c r="N20" s="259">
        <f t="shared" ref="N20:O20" si="17">D38</f>
        <v>630</v>
      </c>
      <c r="O20" s="274">
        <f t="shared" si="17"/>
        <v>1207.936507936508</v>
      </c>
    </row>
    <row r="21" spans="1:15" ht="15" customHeight="1" thickBot="1" x14ac:dyDescent="0.3">
      <c r="A21" s="68" t="s">
        <v>86</v>
      </c>
      <c r="B21" s="69">
        <f>B38</f>
        <v>78280</v>
      </c>
      <c r="C21" s="117">
        <f t="shared" si="1"/>
        <v>1</v>
      </c>
      <c r="D21" s="70">
        <f t="shared" si="3"/>
        <v>1</v>
      </c>
      <c r="L21" s="141"/>
      <c r="M21" s="260">
        <f>C28</f>
        <v>2500000</v>
      </c>
      <c r="N21" s="260">
        <f t="shared" ref="N21:O21" si="18">D28</f>
        <v>17066</v>
      </c>
      <c r="O21" s="275">
        <f t="shared" si="18"/>
        <v>146.49009726942458</v>
      </c>
    </row>
    <row r="22" spans="1:15" ht="15" customHeight="1" thickBot="1" x14ac:dyDescent="0.3">
      <c r="A22" s="118"/>
      <c r="B22" s="119">
        <f>B28</f>
        <v>68212.399999999994</v>
      </c>
      <c r="C22" s="120">
        <f t="shared" si="1"/>
        <v>0.87138988247317317</v>
      </c>
      <c r="D22" s="121">
        <f t="shared" si="3"/>
        <v>1.1475919334314584</v>
      </c>
      <c r="L22" s="251"/>
    </row>
    <row r="23" spans="1:15" s="11" customFormat="1" ht="15" customHeight="1" thickBot="1" x14ac:dyDescent="0.25">
      <c r="A23" s="324" t="s">
        <v>96</v>
      </c>
      <c r="B23" s="325"/>
      <c r="C23" s="325"/>
      <c r="D23" s="122">
        <f>(SUM(D5:D22)-D21)/17</f>
        <v>1.1266991260331565</v>
      </c>
      <c r="L23" s="75"/>
    </row>
    <row r="24" spans="1:15" ht="15" customHeight="1" x14ac:dyDescent="0.25"/>
    <row r="25" spans="1:15" ht="15" customHeight="1" x14ac:dyDescent="0.25">
      <c r="A25" s="11"/>
      <c r="B25" s="35" t="s">
        <v>99</v>
      </c>
    </row>
    <row r="26" spans="1:15" ht="15" customHeight="1" x14ac:dyDescent="0.25">
      <c r="A26" s="62"/>
      <c r="B26" s="6">
        <v>94438.399999999994</v>
      </c>
      <c r="C26" s="255">
        <v>16000000</v>
      </c>
      <c r="D26" s="255">
        <f xml:space="preserve"> 70000 * 2.59</f>
        <v>181300</v>
      </c>
      <c r="E26" s="257">
        <f>C26/D26</f>
        <v>88.251516822945391</v>
      </c>
    </row>
    <row r="27" spans="1:15" ht="15" customHeight="1" x14ac:dyDescent="0.25">
      <c r="A27" s="62"/>
      <c r="B27" s="6">
        <v>67381.600000000006</v>
      </c>
      <c r="C27" s="255">
        <v>3800000</v>
      </c>
      <c r="D27" s="255">
        <f>11411 * 2.59</f>
        <v>29554.489999999998</v>
      </c>
      <c r="E27" s="257">
        <f t="shared" ref="E27:E45" si="19">C27/D27</f>
        <v>128.57606407689661</v>
      </c>
    </row>
    <row r="28" spans="1:15" ht="15" customHeight="1" x14ac:dyDescent="0.25">
      <c r="A28" s="62"/>
      <c r="B28" s="6">
        <v>68212.399999999994</v>
      </c>
      <c r="C28" s="255">
        <v>2500000</v>
      </c>
      <c r="D28" s="255">
        <v>17066</v>
      </c>
      <c r="E28" s="257">
        <f t="shared" si="19"/>
        <v>146.49009726942458</v>
      </c>
    </row>
    <row r="29" spans="1:15" ht="15" customHeight="1" x14ac:dyDescent="0.25">
      <c r="A29" s="62"/>
      <c r="B29" s="6">
        <v>78516.800000000003</v>
      </c>
      <c r="C29" s="255">
        <v>3400000</v>
      </c>
      <c r="D29" s="255">
        <f>1350 * 2.59</f>
        <v>3496.5</v>
      </c>
      <c r="E29" s="257">
        <f t="shared" si="19"/>
        <v>972.40097240097236</v>
      </c>
    </row>
    <row r="30" spans="1:15" ht="15" customHeight="1" x14ac:dyDescent="0.25">
      <c r="A30" s="62"/>
      <c r="B30" s="6">
        <v>60896.4</v>
      </c>
      <c r="C30" s="255">
        <v>2600000</v>
      </c>
      <c r="D30" s="255">
        <f>30000 * 2.59</f>
        <v>77700</v>
      </c>
      <c r="E30" s="257">
        <f t="shared" si="19"/>
        <v>33.46203346203346</v>
      </c>
    </row>
    <row r="31" spans="1:15" ht="15" customHeight="1" x14ac:dyDescent="0.25">
      <c r="A31" s="62"/>
      <c r="B31" s="6">
        <v>63860</v>
      </c>
      <c r="C31" s="255">
        <v>2200000</v>
      </c>
      <c r="D31" s="255">
        <v>20000</v>
      </c>
      <c r="E31" s="257">
        <f t="shared" si="19"/>
        <v>110</v>
      </c>
    </row>
    <row r="32" spans="1:15" ht="15" customHeight="1" x14ac:dyDescent="0.25">
      <c r="A32" s="62"/>
      <c r="B32" s="6">
        <v>74263.600000000006</v>
      </c>
      <c r="C32" s="255">
        <v>2200000</v>
      </c>
      <c r="D32" s="255">
        <f xml:space="preserve"> 1450 * 2.59</f>
        <v>3755.5</v>
      </c>
      <c r="E32" s="257">
        <f t="shared" si="19"/>
        <v>585.80748235920646</v>
      </c>
    </row>
    <row r="33" spans="1:5" ht="15" customHeight="1" x14ac:dyDescent="0.25">
      <c r="A33" s="62"/>
      <c r="B33" s="6">
        <v>66451.600000000006</v>
      </c>
      <c r="C33" s="255">
        <v>1600000</v>
      </c>
      <c r="D33" s="255">
        <f>2100 * 2.59</f>
        <v>5439</v>
      </c>
      <c r="E33" s="257">
        <f t="shared" si="19"/>
        <v>294.17172274315129</v>
      </c>
    </row>
    <row r="34" spans="1:5" ht="15" customHeight="1" x14ac:dyDescent="0.25">
      <c r="A34" s="62"/>
      <c r="B34" s="6">
        <v>68100.800000000003</v>
      </c>
      <c r="C34" s="255">
        <v>1250000</v>
      </c>
      <c r="D34" s="255">
        <f>2300 * 2.59</f>
        <v>5957</v>
      </c>
      <c r="E34" s="257">
        <f t="shared" si="19"/>
        <v>209.83716635890548</v>
      </c>
    </row>
    <row r="35" spans="1:5" ht="15" customHeight="1" x14ac:dyDescent="0.25">
      <c r="A35" s="62"/>
      <c r="B35" s="6">
        <v>59817.599999999999</v>
      </c>
      <c r="C35" s="255">
        <v>1200000</v>
      </c>
      <c r="D35" s="255">
        <f>43700 * 2.59</f>
        <v>113183</v>
      </c>
      <c r="E35" s="257">
        <f t="shared" si="19"/>
        <v>10.602298931818382</v>
      </c>
    </row>
    <row r="36" spans="1:5" ht="15" customHeight="1" x14ac:dyDescent="0.25">
      <c r="A36" s="62"/>
      <c r="B36" s="6">
        <v>66910.399999999994</v>
      </c>
      <c r="C36" s="255">
        <v>862000</v>
      </c>
      <c r="D36" s="255">
        <f>4000 * 2.59</f>
        <v>10360</v>
      </c>
      <c r="E36" s="257">
        <f t="shared" si="19"/>
        <v>83.204633204633211</v>
      </c>
    </row>
    <row r="37" spans="1:5" ht="15" customHeight="1" x14ac:dyDescent="0.25">
      <c r="A37" s="62"/>
      <c r="B37" s="6">
        <v>104410</v>
      </c>
      <c r="C37" s="255">
        <v>850000</v>
      </c>
      <c r="D37" s="255">
        <v>1087</v>
      </c>
      <c r="E37" s="257">
        <f t="shared" si="19"/>
        <v>781.96872125114999</v>
      </c>
    </row>
    <row r="38" spans="1:5" ht="15" customHeight="1" x14ac:dyDescent="0.25">
      <c r="A38" s="63" t="s">
        <v>98</v>
      </c>
      <c r="B38" s="6">
        <v>78280</v>
      </c>
      <c r="C38" s="256">
        <v>761000</v>
      </c>
      <c r="D38" s="256">
        <v>630</v>
      </c>
      <c r="E38" s="257">
        <f t="shared" si="19"/>
        <v>1207.936507936508</v>
      </c>
    </row>
    <row r="39" spans="1:5" ht="15" customHeight="1" x14ac:dyDescent="0.25">
      <c r="A39" s="62"/>
      <c r="B39" s="6">
        <v>59830</v>
      </c>
      <c r="C39" s="255">
        <v>700000</v>
      </c>
      <c r="D39" s="255">
        <f>1700 * 2.59</f>
        <v>4403</v>
      </c>
      <c r="E39" s="257">
        <f t="shared" si="19"/>
        <v>158.98251192368841</v>
      </c>
    </row>
    <row r="40" spans="1:5" ht="15" customHeight="1" x14ac:dyDescent="0.25">
      <c r="A40" s="62"/>
      <c r="B40" s="6">
        <v>67815.600000000006</v>
      </c>
      <c r="C40" s="255">
        <v>625000</v>
      </c>
      <c r="D40" s="255">
        <f xml:space="preserve"> 900 * 1.59</f>
        <v>1431</v>
      </c>
      <c r="E40" s="257">
        <f t="shared" si="19"/>
        <v>436.75751222921036</v>
      </c>
    </row>
    <row r="41" spans="1:5" ht="15" customHeight="1" x14ac:dyDescent="0.25">
      <c r="A41" s="62"/>
      <c r="B41" s="6">
        <v>97940</v>
      </c>
      <c r="C41" s="255">
        <v>522000</v>
      </c>
      <c r="D41" s="255">
        <v>651000</v>
      </c>
      <c r="E41" s="257">
        <f t="shared" si="19"/>
        <v>0.8018433179723502</v>
      </c>
    </row>
    <row r="42" spans="1:5" ht="15" customHeight="1" x14ac:dyDescent="0.25">
      <c r="A42" s="62"/>
      <c r="B42" s="6">
        <v>58627.199999999997</v>
      </c>
      <c r="C42" s="255">
        <v>520000</v>
      </c>
      <c r="D42" s="255">
        <v>6000</v>
      </c>
      <c r="E42" s="257">
        <f t="shared" si="19"/>
        <v>86.666666666666671</v>
      </c>
    </row>
    <row r="43" spans="1:5" ht="15" customHeight="1" x14ac:dyDescent="0.25">
      <c r="A43" s="62"/>
      <c r="B43" s="6">
        <v>58081.599999999999</v>
      </c>
      <c r="C43" s="255">
        <v>480000</v>
      </c>
      <c r="D43" s="255">
        <f>528 * 2.59</f>
        <v>1367.52</v>
      </c>
      <c r="E43" s="257">
        <f t="shared" si="19"/>
        <v>351.00035100035103</v>
      </c>
    </row>
    <row r="44" spans="1:5" ht="15" customHeight="1" x14ac:dyDescent="0.25">
      <c r="A44" s="62"/>
      <c r="B44" s="6">
        <v>78492</v>
      </c>
      <c r="C44" s="255">
        <v>425000</v>
      </c>
      <c r="D44" s="255">
        <f>132 * 2.59</f>
        <v>341.88</v>
      </c>
      <c r="E44" s="257">
        <f t="shared" si="19"/>
        <v>1243.1262431262433</v>
      </c>
    </row>
    <row r="45" spans="1:5" ht="15" customHeight="1" x14ac:dyDescent="0.25">
      <c r="A45" s="62"/>
      <c r="B45" s="6">
        <v>58962</v>
      </c>
      <c r="C45" s="255">
        <v>100000</v>
      </c>
      <c r="D45" s="255">
        <v>130</v>
      </c>
      <c r="E45" s="257">
        <f t="shared" si="19"/>
        <v>769.23076923076928</v>
      </c>
    </row>
    <row r="46" spans="1:5" ht="15" customHeight="1" x14ac:dyDescent="0.25"/>
    <row r="47" spans="1:5" x14ac:dyDescent="0.25">
      <c r="A47" s="253"/>
    </row>
    <row r="48" spans="1:5" x14ac:dyDescent="0.25">
      <c r="A48" s="253"/>
    </row>
    <row r="49" spans="1:1" x14ac:dyDescent="0.25">
      <c r="A49" s="253"/>
    </row>
    <row r="50" spans="1:1" x14ac:dyDescent="0.25">
      <c r="A50" s="253"/>
    </row>
    <row r="51" spans="1:1" x14ac:dyDescent="0.25">
      <c r="A51" s="253"/>
    </row>
    <row r="52" spans="1:1" x14ac:dyDescent="0.25">
      <c r="A52" s="253"/>
    </row>
    <row r="53" spans="1:1" x14ac:dyDescent="0.25">
      <c r="A53" s="253"/>
    </row>
    <row r="54" spans="1:1" x14ac:dyDescent="0.25">
      <c r="A54" s="253"/>
    </row>
    <row r="55" spans="1:1" x14ac:dyDescent="0.25">
      <c r="A55" s="253"/>
    </row>
    <row r="56" spans="1:1" x14ac:dyDescent="0.25">
      <c r="A56" s="253"/>
    </row>
    <row r="57" spans="1:1" x14ac:dyDescent="0.25">
      <c r="A57" s="253"/>
    </row>
    <row r="58" spans="1:1" x14ac:dyDescent="0.25">
      <c r="A58" s="253"/>
    </row>
    <row r="59" spans="1:1" x14ac:dyDescent="0.25">
      <c r="A59" s="254"/>
    </row>
    <row r="60" spans="1:1" x14ac:dyDescent="0.25">
      <c r="A60" s="253"/>
    </row>
    <row r="61" spans="1:1" x14ac:dyDescent="0.25">
      <c r="A61" s="253"/>
    </row>
    <row r="62" spans="1:1" x14ac:dyDescent="0.25">
      <c r="A62" s="253"/>
    </row>
    <row r="63" spans="1:1" x14ac:dyDescent="0.25">
      <c r="A63" s="253"/>
    </row>
    <row r="64" spans="1:1" x14ac:dyDescent="0.25">
      <c r="A64" s="253"/>
    </row>
    <row r="65" spans="1:1" x14ac:dyDescent="0.25">
      <c r="A65" s="253"/>
    </row>
    <row r="66" spans="1:1" x14ac:dyDescent="0.25">
      <c r="A66" s="253"/>
    </row>
  </sheetData>
  <mergeCells count="9">
    <mergeCell ref="O2:O3"/>
    <mergeCell ref="L2:L3"/>
    <mergeCell ref="M2:M3"/>
    <mergeCell ref="N2:N3"/>
    <mergeCell ref="A23:C23"/>
    <mergeCell ref="A3:A4"/>
    <mergeCell ref="B3:B4"/>
    <mergeCell ref="C3:C4"/>
    <mergeCell ref="D3:D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6BBBA9-C839-4EDE-AC52-E948E005A143}"/>
</file>

<file path=customXml/itemProps2.xml><?xml version="1.0" encoding="utf-8"?>
<ds:datastoreItem xmlns:ds="http://schemas.openxmlformats.org/officeDocument/2006/customXml" ds:itemID="{8AAA6A8D-E33B-4AE1-92D7-CB3CCE336406}"/>
</file>

<file path=customXml/itemProps3.xml><?xml version="1.0" encoding="utf-8"?>
<ds:datastoreItem xmlns:ds="http://schemas.openxmlformats.org/officeDocument/2006/customXml" ds:itemID="{DF2756AB-5E16-4EA2-A8D0-F6DEB7A7544E}"/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5" baseType="lpstr">
      <vt:lpstr>Plots</vt:lpstr>
      <vt:lpstr>Working Data</vt:lpstr>
      <vt:lpstr>Tables C-8 to C-10</vt:lpstr>
      <vt:lpstr>Difficulty Factors</vt:lpstr>
      <vt:lpstr>Wage Adjustors</vt:lpstr>
    </vt:vector>
  </TitlesOfParts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