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olon\Documents\04 - Regulatory Filings\2019 CoS Application\Settlement\"/>
    </mc:Choice>
  </mc:AlternateContent>
  <bookViews>
    <workbookView xWindow="0" yWindow="0" windowWidth="20160" windowHeight="8232"/>
  </bookViews>
  <sheets>
    <sheet name="Summary" sheetId="1" r:id="rId1"/>
    <sheet name="Feeders" sheetId="3" r:id="rId2"/>
    <sheet name="Poles" sheetId="4" r:id="rId3"/>
    <sheet name="Meters" sheetId="5" r:id="rId4"/>
    <sheet name="Contributions" sheetId="6" r:id="rId5"/>
    <sheet name="O&amp;M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9" i="1" l="1"/>
  <c r="D11" i="1" s="1"/>
  <c r="G9" i="1"/>
  <c r="E9" i="1"/>
  <c r="G8" i="1"/>
  <c r="E8" i="1"/>
  <c r="C8" i="1"/>
  <c r="G7" i="1"/>
  <c r="E7" i="1"/>
  <c r="C7" i="1"/>
  <c r="G6" i="1"/>
  <c r="E6" i="1"/>
  <c r="C18" i="6"/>
  <c r="F18" i="6" s="1"/>
  <c r="C14" i="6"/>
  <c r="F14" i="6"/>
  <c r="F10" i="6"/>
  <c r="C6" i="1"/>
  <c r="D6" i="5"/>
  <c r="D7" i="5"/>
  <c r="D8" i="5"/>
  <c r="E8" i="5" s="1"/>
  <c r="D9" i="5"/>
  <c r="D14" i="4"/>
  <c r="D13" i="4"/>
  <c r="D12" i="4"/>
  <c r="D8" i="4"/>
  <c r="D9" i="4" s="1"/>
  <c r="D7" i="4"/>
  <c r="E7" i="4"/>
  <c r="E6" i="4"/>
  <c r="F13" i="3"/>
  <c r="F9" i="3"/>
  <c r="F5" i="3"/>
  <c r="D11" i="2"/>
  <c r="C8" i="2"/>
  <c r="E8" i="2" s="1"/>
  <c r="E7" i="2"/>
  <c r="G11" i="1" l="1"/>
  <c r="C11" i="1"/>
  <c r="E11" i="1"/>
  <c r="D10" i="5"/>
  <c r="E10" i="5" s="1"/>
  <c r="E6" i="5"/>
  <c r="D10" i="4"/>
  <c r="E9" i="4"/>
  <c r="E8" i="4"/>
  <c r="E9" i="2"/>
  <c r="D11" i="4" l="1"/>
  <c r="E10" i="4"/>
  <c r="E11" i="4" l="1"/>
  <c r="E12" i="4" l="1"/>
  <c r="E14" i="4" l="1"/>
  <c r="E11" i="2" l="1"/>
  <c r="E12" i="2" s="1"/>
  <c r="F10" i="1" l="1"/>
  <c r="F11" i="1" s="1"/>
</calcChain>
</file>

<file path=xl/sharedStrings.xml><?xml version="1.0" encoding="utf-8"?>
<sst xmlns="http://schemas.openxmlformats.org/spreadsheetml/2006/main" count="86" uniqueCount="59">
  <si>
    <t>Hours</t>
  </si>
  <si>
    <t>Rate</t>
  </si>
  <si>
    <t>Cost</t>
  </si>
  <si>
    <t>Overhead Maintenance</t>
  </si>
  <si>
    <t>Labour</t>
  </si>
  <si>
    <t>Vehicles</t>
  </si>
  <si>
    <t>Total Overhead Maintenance</t>
  </si>
  <si>
    <t>Tree Trimming</t>
  </si>
  <si>
    <t>Control Room Services</t>
  </si>
  <si>
    <t>Total Operations Expenses</t>
  </si>
  <si>
    <t>TMMC Feeder Costs</t>
  </si>
  <si>
    <t>Closing Balance, Dec. 31, 2013 (CGAAP)</t>
  </si>
  <si>
    <t>Cost.</t>
  </si>
  <si>
    <t>Acc. Amort.</t>
  </si>
  <si>
    <t>NBV</t>
  </si>
  <si>
    <t>Adoption of IFRS</t>
  </si>
  <si>
    <t>MIFRS Cost</t>
  </si>
  <si>
    <t>2014-2018 Depn</t>
  </si>
  <si>
    <t>NBV Dec. 31, 2018</t>
  </si>
  <si>
    <t>Reset to NBV at Jan. 1, 2014</t>
  </si>
  <si>
    <t>2019 Depreciation</t>
  </si>
  <si>
    <t>Opening Cost</t>
  </si>
  <si>
    <t>Jan. 1, 2019</t>
  </si>
  <si>
    <t>NBV Dec. 31, 2019</t>
  </si>
  <si>
    <t>O&amp;M</t>
  </si>
  <si>
    <t>MIFRS Transition</t>
  </si>
  <si>
    <t>2014 Depreciation</t>
  </si>
  <si>
    <t>2015 Depreciation</t>
  </si>
  <si>
    <t>2016 Depreciation</t>
  </si>
  <si>
    <t>2017 Depreciation</t>
  </si>
  <si>
    <t>2018 Depreciation</t>
  </si>
  <si>
    <t>Balance, December 31, 2018</t>
  </si>
  <si>
    <t>Balance, December 31, 2019</t>
  </si>
  <si>
    <t>MIFRS Basis - TMMC Proportion of Poles</t>
  </si>
  <si>
    <t>TMMC Meters - Directly Allocated</t>
  </si>
  <si>
    <t>Meter Assets - December 31, 2017</t>
  </si>
  <si>
    <t>Meter Assets - December 31, 2018</t>
  </si>
  <si>
    <t>Meter Assets - December 31, 2019</t>
  </si>
  <si>
    <t>Fixed Assets</t>
  </si>
  <si>
    <t>Capital Contributions</t>
  </si>
  <si>
    <t>Accumulated Amortization</t>
  </si>
  <si>
    <t>Capital Contribution - Estimate - VECC 68</t>
  </si>
  <si>
    <t>Original Contribution</t>
  </si>
  <si>
    <t>Closing Balance, Dec. 31, 2013</t>
  </si>
  <si>
    <t>2019 Capital Contribution Amortization</t>
  </si>
  <si>
    <t>Depreciation</t>
  </si>
  <si>
    <t>Total</t>
  </si>
  <si>
    <t>Feeders (1)</t>
  </si>
  <si>
    <t>(1) IR-TMMC-11</t>
  </si>
  <si>
    <t>Poles (2)</t>
  </si>
  <si>
    <t>Meters (2)</t>
  </si>
  <si>
    <t>Contribution (3)</t>
  </si>
  <si>
    <t>(2) Clarification-TMMC-3</t>
  </si>
  <si>
    <t>(2) Clarification-VECC-68</t>
  </si>
  <si>
    <t>Notes:</t>
  </si>
  <si>
    <t>O&amp;M on Feeders</t>
  </si>
  <si>
    <t>Priveledged and Confidential - For Settlement Purposes</t>
  </si>
  <si>
    <t>Adjustments for TMMC Direct Cost Allocation</t>
  </si>
  <si>
    <t>TMMC - Directly Allocated 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</si>
</sst>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164" fontId="0" fillId="0" borderId="0" xfId="1" applyNumberFormat="1" applyFont="1"/>
    <xf numFmtId="43" fontId="0" fillId="0" borderId="0" xfId="1" applyFont="1"/>
    <xf numFmtId="0" fontId="0" fillId="0" borderId="0" xfId="0" applyAlignment="1">
      <alignment horizontal="left" indent="1"/>
    </xf>
    <xf numFmtId="165" fontId="0" fillId="0" borderId="0" xfId="2" applyNumberFormat="1" applyFont="1"/>
    <xf numFmtId="0" fontId="0" fillId="0" borderId="1" xfId="0" applyBorder="1" applyAlignment="1">
      <alignment horizontal="left" indent="1"/>
    </xf>
    <xf numFmtId="164" fontId="0" fillId="0" borderId="1" xfId="1" applyNumberFormat="1" applyFont="1" applyBorder="1"/>
    <xf numFmtId="43" fontId="0" fillId="0" borderId="1" xfId="1" applyFont="1" applyBorder="1"/>
    <xf numFmtId="165" fontId="0" fillId="0" borderId="1" xfId="2" applyNumberFormat="1" applyFont="1" applyBorder="1"/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64" fontId="0" fillId="0" borderId="2" xfId="1" applyNumberFormat="1" applyFont="1" applyBorder="1"/>
    <xf numFmtId="43" fontId="0" fillId="0" borderId="2" xfId="1" applyFont="1" applyBorder="1"/>
    <xf numFmtId="165" fontId="0" fillId="0" borderId="2" xfId="2" applyNumberFormat="1" applyFont="1" applyBorder="1"/>
    <xf numFmtId="0" fontId="2" fillId="0" borderId="0" xfId="0" applyFont="1"/>
    <xf numFmtId="44" fontId="0" fillId="0" borderId="0" xfId="2" applyFont="1"/>
    <xf numFmtId="0" fontId="2" fillId="0" borderId="0" xfId="0" applyFont="1" applyAlignment="1">
      <alignment horizontal="center"/>
    </xf>
    <xf numFmtId="15" fontId="0" fillId="0" borderId="0" xfId="0" applyNumberFormat="1" applyAlignment="1">
      <alignment horizontal="left"/>
    </xf>
    <xf numFmtId="44" fontId="0" fillId="0" borderId="1" xfId="2" applyFont="1" applyBorder="1"/>
    <xf numFmtId="44" fontId="2" fillId="0" borderId="0" xfId="2" applyFont="1"/>
    <xf numFmtId="44" fontId="2" fillId="0" borderId="2" xfId="2" applyFont="1" applyBorder="1"/>
    <xf numFmtId="165" fontId="2" fillId="0" borderId="0" xfId="2" applyNumberFormat="1" applyFont="1"/>
    <xf numFmtId="165" fontId="2" fillId="0" borderId="2" xfId="2" applyNumberFormat="1" applyFont="1" applyBorder="1"/>
    <xf numFmtId="0" fontId="0" fillId="0" borderId="0" xfId="0" applyAlignment="1">
      <alignment wrapText="1"/>
    </xf>
    <xf numFmtId="44" fontId="0" fillId="0" borderId="0" xfId="2" applyFont="1" applyAlignment="1">
      <alignment wrapText="1"/>
    </xf>
    <xf numFmtId="0" fontId="0" fillId="0" borderId="2" xfId="0" applyBorder="1"/>
    <xf numFmtId="44" fontId="0" fillId="0" borderId="2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44" fontId="0" fillId="0" borderId="0" xfId="0" applyNumberFormat="1"/>
    <xf numFmtId="0" fontId="2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showGridLines="0" tabSelected="1" view="pageBreakPreview" zoomScale="60" zoomScaleNormal="100" workbookViewId="0">
      <selection activeCell="E14" sqref="E14"/>
    </sheetView>
  </sheetViews>
  <sheetFormatPr defaultRowHeight="13.8" x14ac:dyDescent="0.25"/>
  <cols>
    <col min="1" max="1" width="3" customWidth="1"/>
    <col min="2" max="2" width="22.8984375" customWidth="1"/>
    <col min="3" max="7" width="13.796875" style="25" customWidth="1"/>
  </cols>
  <sheetData>
    <row r="1" spans="2:7" ht="15.6" x14ac:dyDescent="0.3">
      <c r="B1" s="31" t="s">
        <v>56</v>
      </c>
    </row>
    <row r="2" spans="2:7" ht="15.6" x14ac:dyDescent="0.3">
      <c r="B2" s="31"/>
    </row>
    <row r="3" spans="2:7" x14ac:dyDescent="0.25">
      <c r="B3" s="16" t="s">
        <v>57</v>
      </c>
    </row>
    <row r="5" spans="2:7" ht="27.6" x14ac:dyDescent="0.25">
      <c r="B5" s="29"/>
      <c r="C5" s="30" t="s">
        <v>38</v>
      </c>
      <c r="D5" s="30" t="s">
        <v>39</v>
      </c>
      <c r="E5" s="30" t="s">
        <v>40</v>
      </c>
      <c r="F5" s="30" t="s">
        <v>24</v>
      </c>
      <c r="G5" s="30" t="s">
        <v>45</v>
      </c>
    </row>
    <row r="6" spans="2:7" x14ac:dyDescent="0.25">
      <c r="B6" t="s">
        <v>47</v>
      </c>
      <c r="C6" s="26">
        <f>Feeders!F5</f>
        <v>274492.50999999995</v>
      </c>
      <c r="D6" s="26">
        <v>0</v>
      </c>
      <c r="E6" s="26">
        <f>Feeders!D9+Feeders!D13/2</f>
        <v>-50039.605000000003</v>
      </c>
      <c r="F6" s="26">
        <v>0</v>
      </c>
      <c r="G6" s="26">
        <f>-Feeders!D13</f>
        <v>9098.11</v>
      </c>
    </row>
    <row r="7" spans="2:7" x14ac:dyDescent="0.25">
      <c r="B7" t="s">
        <v>49</v>
      </c>
      <c r="C7" s="26">
        <f>Poles!C14</f>
        <v>357321.66</v>
      </c>
      <c r="D7" s="26">
        <v>0</v>
      </c>
      <c r="E7" s="26">
        <f>-Poles!D12-Poles!D13/2</f>
        <v>-51142.244999999995</v>
      </c>
      <c r="F7" s="26">
        <v>0</v>
      </c>
      <c r="G7" s="26">
        <f>Poles!D13</f>
        <v>9298.59</v>
      </c>
    </row>
    <row r="8" spans="2:7" x14ac:dyDescent="0.25">
      <c r="B8" t="s">
        <v>50</v>
      </c>
      <c r="C8" s="26">
        <f>Meters!C10</f>
        <v>34000</v>
      </c>
      <c r="D8" s="26">
        <v>0</v>
      </c>
      <c r="E8" s="26">
        <f>-Meters!D8-Meters!D9/2</f>
        <v>-9066.6666666666661</v>
      </c>
      <c r="F8" s="26">
        <v>0</v>
      </c>
      <c r="G8" s="26">
        <f>Meters!D9</f>
        <v>2266.6666666666665</v>
      </c>
    </row>
    <row r="9" spans="2:7" x14ac:dyDescent="0.25">
      <c r="B9" t="s">
        <v>51</v>
      </c>
      <c r="C9" s="26">
        <v>0</v>
      </c>
      <c r="D9" s="26">
        <f>Contributions!C14</f>
        <v>-184453.81</v>
      </c>
      <c r="E9" s="26">
        <f>Contributions!D14+Contributions!D18/2</f>
        <v>53394.530000000006</v>
      </c>
      <c r="F9" s="26">
        <v>0</v>
      </c>
      <c r="G9" s="26">
        <f>-Contributions!D18</f>
        <v>-9708.1</v>
      </c>
    </row>
    <row r="10" spans="2:7" x14ac:dyDescent="0.25">
      <c r="B10" t="s">
        <v>55</v>
      </c>
      <c r="C10" s="26">
        <v>0</v>
      </c>
      <c r="D10" s="26">
        <v>0</v>
      </c>
      <c r="E10" s="26">
        <v>0</v>
      </c>
      <c r="F10" s="26">
        <f>'O&amp;M'!E12</f>
        <v>93115.086924000003</v>
      </c>
      <c r="G10" s="26">
        <v>0</v>
      </c>
    </row>
    <row r="11" spans="2:7" ht="14.4" thickBot="1" x14ac:dyDescent="0.3">
      <c r="B11" s="27" t="s">
        <v>46</v>
      </c>
      <c r="C11" s="28">
        <f>SUM(C6:C10)</f>
        <v>665814.16999999993</v>
      </c>
      <c r="D11" s="28">
        <f t="shared" ref="D11:G11" si="0">SUM(D6:D10)</f>
        <v>-184453.81</v>
      </c>
      <c r="E11" s="28">
        <f t="shared" si="0"/>
        <v>-56853.986666666671</v>
      </c>
      <c r="F11" s="28">
        <f t="shared" si="0"/>
        <v>93115.086924000003</v>
      </c>
      <c r="G11" s="28">
        <f t="shared" si="0"/>
        <v>10955.266666666668</v>
      </c>
    </row>
    <row r="14" spans="2:7" x14ac:dyDescent="0.25">
      <c r="B14" s="16" t="s">
        <v>54</v>
      </c>
    </row>
    <row r="15" spans="2:7" x14ac:dyDescent="0.25">
      <c r="B15" t="s">
        <v>48</v>
      </c>
    </row>
    <row r="16" spans="2:7" x14ac:dyDescent="0.25">
      <c r="B16" t="s">
        <v>52</v>
      </c>
    </row>
    <row r="17" spans="2:2" x14ac:dyDescent="0.25">
      <c r="B17" t="s">
        <v>53</v>
      </c>
    </row>
  </sheetData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showGridLines="0" tabSelected="1" view="pageBreakPreview" zoomScale="60" zoomScaleNormal="100" workbookViewId="0">
      <selection activeCell="E14" sqref="E14"/>
    </sheetView>
  </sheetViews>
  <sheetFormatPr defaultRowHeight="13.8" x14ac:dyDescent="0.25"/>
  <cols>
    <col min="1" max="1" width="2.69921875" customWidth="1"/>
    <col min="2" max="2" width="34.5" bestFit="1" customWidth="1"/>
    <col min="3" max="4" width="18.59765625" customWidth="1"/>
    <col min="5" max="5" width="2.796875" customWidth="1"/>
    <col min="6" max="6" width="18.59765625" customWidth="1"/>
  </cols>
  <sheetData>
    <row r="1" spans="2:6" ht="15.6" x14ac:dyDescent="0.3">
      <c r="B1" s="31" t="s">
        <v>56</v>
      </c>
    </row>
    <row r="2" spans="2:6" ht="15.6" x14ac:dyDescent="0.3">
      <c r="B2" s="31"/>
    </row>
    <row r="3" spans="2:6" x14ac:dyDescent="0.25">
      <c r="B3" s="16" t="s">
        <v>10</v>
      </c>
    </row>
    <row r="4" spans="2:6" x14ac:dyDescent="0.25">
      <c r="C4" s="18" t="s">
        <v>12</v>
      </c>
      <c r="D4" s="18" t="s">
        <v>13</v>
      </c>
      <c r="E4" s="18"/>
      <c r="F4" s="18" t="s">
        <v>14</v>
      </c>
    </row>
    <row r="5" spans="2:6" x14ac:dyDescent="0.25">
      <c r="B5" t="s">
        <v>11</v>
      </c>
      <c r="C5" s="17">
        <v>670019.19999999995</v>
      </c>
      <c r="D5" s="17">
        <v>-395526.69</v>
      </c>
      <c r="E5" s="17"/>
      <c r="F5" s="17">
        <f>C5+D5</f>
        <v>274492.50999999995</v>
      </c>
    </row>
    <row r="8" spans="2:6" x14ac:dyDescent="0.25">
      <c r="B8" t="s">
        <v>19</v>
      </c>
      <c r="C8" s="18" t="s">
        <v>16</v>
      </c>
      <c r="D8" s="18" t="s">
        <v>17</v>
      </c>
      <c r="E8" s="18"/>
      <c r="F8" s="18" t="s">
        <v>18</v>
      </c>
    </row>
    <row r="9" spans="2:6" x14ac:dyDescent="0.25">
      <c r="B9" t="s">
        <v>15</v>
      </c>
      <c r="C9" s="17">
        <v>274492.51</v>
      </c>
      <c r="D9" s="17">
        <v>-45490.55</v>
      </c>
      <c r="E9" s="17"/>
      <c r="F9" s="17">
        <f>C9+D9</f>
        <v>229001.96000000002</v>
      </c>
    </row>
    <row r="11" spans="2:6" x14ac:dyDescent="0.25">
      <c r="C11" s="18" t="s">
        <v>21</v>
      </c>
    </row>
    <row r="12" spans="2:6" x14ac:dyDescent="0.25">
      <c r="C12" s="18" t="s">
        <v>22</v>
      </c>
      <c r="D12" s="18" t="s">
        <v>20</v>
      </c>
      <c r="E12" s="18"/>
      <c r="F12" s="18" t="s">
        <v>23</v>
      </c>
    </row>
    <row r="13" spans="2:6" x14ac:dyDescent="0.25">
      <c r="B13" t="s">
        <v>20</v>
      </c>
      <c r="C13" s="17">
        <v>229001.96</v>
      </c>
      <c r="D13" s="17">
        <v>-9098.11</v>
      </c>
      <c r="E13" s="17"/>
      <c r="F13" s="17">
        <f>C13+D13</f>
        <v>219903.84999999998</v>
      </c>
    </row>
    <row r="16" spans="2:6" x14ac:dyDescent="0.25">
      <c r="D16" s="32"/>
    </row>
    <row r="17" spans="4:4" x14ac:dyDescent="0.25">
      <c r="D17" s="32"/>
    </row>
    <row r="18" spans="4:4" x14ac:dyDescent="0.25">
      <c r="D18" s="32"/>
    </row>
    <row r="19" spans="4:4" x14ac:dyDescent="0.25">
      <c r="D19" s="32"/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showGridLines="0" tabSelected="1" view="pageBreakPreview" zoomScale="60" zoomScaleNormal="100" workbookViewId="0">
      <selection activeCell="E14" sqref="E14"/>
    </sheetView>
  </sheetViews>
  <sheetFormatPr defaultRowHeight="13.8" x14ac:dyDescent="0.25"/>
  <cols>
    <col min="1" max="1" width="2.5" customWidth="1"/>
    <col min="2" max="2" width="33.3984375" customWidth="1"/>
    <col min="3" max="5" width="16.296875" customWidth="1"/>
  </cols>
  <sheetData>
    <row r="1" spans="2:5" ht="15.6" x14ac:dyDescent="0.3">
      <c r="B1" s="31" t="s">
        <v>56</v>
      </c>
    </row>
    <row r="2" spans="2:5" ht="15.6" x14ac:dyDescent="0.3">
      <c r="B2" s="31"/>
    </row>
    <row r="4" spans="2:5" x14ac:dyDescent="0.25">
      <c r="C4" s="33" t="s">
        <v>33</v>
      </c>
      <c r="D4" s="33"/>
      <c r="E4" s="33"/>
    </row>
    <row r="5" spans="2:5" x14ac:dyDescent="0.25">
      <c r="B5" s="16" t="s">
        <v>25</v>
      </c>
      <c r="C5" s="18" t="s">
        <v>12</v>
      </c>
      <c r="D5" s="18" t="s">
        <v>13</v>
      </c>
      <c r="E5" s="18" t="s">
        <v>14</v>
      </c>
    </row>
    <row r="6" spans="2:5" x14ac:dyDescent="0.25">
      <c r="B6" s="19">
        <v>41640</v>
      </c>
      <c r="C6" s="17">
        <v>357321.66</v>
      </c>
      <c r="D6" s="17">
        <v>0</v>
      </c>
      <c r="E6" s="17">
        <f>C6-D6</f>
        <v>357321.66</v>
      </c>
    </row>
    <row r="7" spans="2:5" x14ac:dyDescent="0.25">
      <c r="B7" t="s">
        <v>26</v>
      </c>
      <c r="C7" s="17">
        <v>357321.66</v>
      </c>
      <c r="D7" s="17">
        <f>D6+9298.59</f>
        <v>9298.59</v>
      </c>
      <c r="E7" s="17">
        <f t="shared" ref="E7:E14" si="0">C7-D7</f>
        <v>348023.06999999995</v>
      </c>
    </row>
    <row r="8" spans="2:5" x14ac:dyDescent="0.25">
      <c r="B8" t="s">
        <v>27</v>
      </c>
      <c r="C8" s="17">
        <v>357321.66</v>
      </c>
      <c r="D8" s="17">
        <f t="shared" ref="D8:D11" si="1">D7+9298.59</f>
        <v>18597.18</v>
      </c>
      <c r="E8" s="17">
        <f t="shared" si="0"/>
        <v>338724.48</v>
      </c>
    </row>
    <row r="9" spans="2:5" x14ac:dyDescent="0.25">
      <c r="B9" t="s">
        <v>28</v>
      </c>
      <c r="C9" s="17">
        <v>357321.66</v>
      </c>
      <c r="D9" s="17">
        <f t="shared" si="1"/>
        <v>27895.77</v>
      </c>
      <c r="E9" s="17">
        <f t="shared" si="0"/>
        <v>329425.88999999996</v>
      </c>
    </row>
    <row r="10" spans="2:5" x14ac:dyDescent="0.25">
      <c r="B10" t="s">
        <v>29</v>
      </c>
      <c r="C10" s="17">
        <v>357321.66</v>
      </c>
      <c r="D10" s="17">
        <f t="shared" si="1"/>
        <v>37194.36</v>
      </c>
      <c r="E10" s="17">
        <f t="shared" si="0"/>
        <v>320127.3</v>
      </c>
    </row>
    <row r="11" spans="2:5" x14ac:dyDescent="0.25">
      <c r="B11" t="s">
        <v>30</v>
      </c>
      <c r="C11" s="20">
        <v>357321.66</v>
      </c>
      <c r="D11" s="20">
        <f t="shared" si="1"/>
        <v>46492.95</v>
      </c>
      <c r="E11" s="20">
        <f t="shared" si="0"/>
        <v>310828.70999999996</v>
      </c>
    </row>
    <row r="12" spans="2:5" x14ac:dyDescent="0.25">
      <c r="B12" s="16" t="s">
        <v>31</v>
      </c>
      <c r="C12" s="21">
        <v>357321.66</v>
      </c>
      <c r="D12" s="21">
        <f>D11</f>
        <v>46492.95</v>
      </c>
      <c r="E12" s="21">
        <f t="shared" si="0"/>
        <v>310828.70999999996</v>
      </c>
    </row>
    <row r="13" spans="2:5" x14ac:dyDescent="0.25">
      <c r="B13" t="s">
        <v>20</v>
      </c>
      <c r="C13" s="17"/>
      <c r="D13" s="17">
        <f>D7</f>
        <v>9298.59</v>
      </c>
      <c r="E13" s="17"/>
    </row>
    <row r="14" spans="2:5" ht="14.4" thickBot="1" x14ac:dyDescent="0.3">
      <c r="B14" s="16" t="s">
        <v>32</v>
      </c>
      <c r="C14" s="22">
        <v>357321.66</v>
      </c>
      <c r="D14" s="22">
        <f>D12+D13</f>
        <v>55791.539999999994</v>
      </c>
      <c r="E14" s="22">
        <f t="shared" si="0"/>
        <v>301530.12</v>
      </c>
    </row>
  </sheetData>
  <mergeCells count="1">
    <mergeCell ref="C4:E4"/>
  </mergeCells>
  <pageMargins left="0.7" right="0.7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tabSelected="1" view="pageBreakPreview" zoomScale="60" zoomScaleNormal="100" workbookViewId="0">
      <selection activeCell="E14" sqref="E14"/>
    </sheetView>
  </sheetViews>
  <sheetFormatPr defaultRowHeight="13.8" x14ac:dyDescent="0.25"/>
  <cols>
    <col min="1" max="1" width="2.69921875" customWidth="1"/>
    <col min="2" max="2" width="34.5" bestFit="1" customWidth="1"/>
    <col min="3" max="5" width="18.59765625" customWidth="1"/>
  </cols>
  <sheetData>
    <row r="1" spans="2:5" ht="15.6" x14ac:dyDescent="0.3">
      <c r="B1" s="31" t="s">
        <v>56</v>
      </c>
    </row>
    <row r="2" spans="2:5" ht="15.6" x14ac:dyDescent="0.3">
      <c r="B2" s="31"/>
    </row>
    <row r="4" spans="2:5" x14ac:dyDescent="0.25">
      <c r="B4" s="16" t="s">
        <v>34</v>
      </c>
    </row>
    <row r="5" spans="2:5" x14ac:dyDescent="0.25">
      <c r="C5" s="18" t="s">
        <v>12</v>
      </c>
      <c r="D5" s="18" t="s">
        <v>13</v>
      </c>
      <c r="E5" s="18" t="s">
        <v>14</v>
      </c>
    </row>
    <row r="6" spans="2:5" x14ac:dyDescent="0.25">
      <c r="B6" t="s">
        <v>35</v>
      </c>
      <c r="C6" s="6">
        <v>34000</v>
      </c>
      <c r="D6" s="6">
        <f>C6/15*2.5</f>
        <v>5666.6666666666661</v>
      </c>
      <c r="E6" s="6">
        <f>C6-D6</f>
        <v>28333.333333333336</v>
      </c>
    </row>
    <row r="7" spans="2:5" x14ac:dyDescent="0.25">
      <c r="B7" t="s">
        <v>30</v>
      </c>
      <c r="C7" s="10"/>
      <c r="D7" s="10">
        <f>C6/15</f>
        <v>2266.6666666666665</v>
      </c>
      <c r="E7" s="10"/>
    </row>
    <row r="8" spans="2:5" x14ac:dyDescent="0.25">
      <c r="B8" t="s">
        <v>36</v>
      </c>
      <c r="C8" s="23">
        <v>34000</v>
      </c>
      <c r="D8" s="23">
        <f>D6+D7</f>
        <v>7933.3333333333321</v>
      </c>
      <c r="E8" s="23">
        <f>C8-D8</f>
        <v>26066.666666666668</v>
      </c>
    </row>
    <row r="9" spans="2:5" x14ac:dyDescent="0.25">
      <c r="B9" t="s">
        <v>20</v>
      </c>
      <c r="C9" s="6"/>
      <c r="D9" s="6">
        <f>D7</f>
        <v>2266.6666666666665</v>
      </c>
      <c r="E9" s="6"/>
    </row>
    <row r="10" spans="2:5" ht="14.4" thickBot="1" x14ac:dyDescent="0.3">
      <c r="B10" t="s">
        <v>37</v>
      </c>
      <c r="C10" s="24">
        <v>34000</v>
      </c>
      <c r="D10" s="24">
        <f>D8+D9</f>
        <v>10199.999999999998</v>
      </c>
      <c r="E10" s="24">
        <f>C10-D10</f>
        <v>23800</v>
      </c>
    </row>
  </sheetData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showGridLines="0" tabSelected="1" view="pageBreakPreview" zoomScale="60" zoomScaleNormal="100" workbookViewId="0">
      <selection activeCell="E14" sqref="E14"/>
    </sheetView>
  </sheetViews>
  <sheetFormatPr defaultRowHeight="13.8" x14ac:dyDescent="0.25"/>
  <cols>
    <col min="1" max="1" width="2.69921875" customWidth="1"/>
    <col min="2" max="2" width="37.296875" bestFit="1" customWidth="1"/>
    <col min="3" max="4" width="18.59765625" customWidth="1"/>
    <col min="5" max="5" width="2.796875" customWidth="1"/>
    <col min="6" max="6" width="18.59765625" customWidth="1"/>
  </cols>
  <sheetData>
    <row r="1" spans="2:6" ht="15.6" x14ac:dyDescent="0.3">
      <c r="B1" s="31" t="s">
        <v>56</v>
      </c>
    </row>
    <row r="2" spans="2:6" ht="15.6" x14ac:dyDescent="0.3">
      <c r="B2" s="31"/>
    </row>
    <row r="3" spans="2:6" x14ac:dyDescent="0.25">
      <c r="C3" t="s">
        <v>42</v>
      </c>
    </row>
    <row r="4" spans="2:6" x14ac:dyDescent="0.25">
      <c r="B4" s="16" t="s">
        <v>41</v>
      </c>
      <c r="C4" s="17">
        <v>-536500</v>
      </c>
      <c r="D4">
        <v>1996</v>
      </c>
    </row>
    <row r="5" spans="2:6" x14ac:dyDescent="0.25">
      <c r="B5" s="16"/>
    </row>
    <row r="6" spans="2:6" x14ac:dyDescent="0.25">
      <c r="B6" s="16"/>
    </row>
    <row r="7" spans="2:6" x14ac:dyDescent="0.25">
      <c r="B7" s="16"/>
    </row>
    <row r="8" spans="2:6" x14ac:dyDescent="0.25">
      <c r="B8" s="16"/>
    </row>
    <row r="9" spans="2:6" x14ac:dyDescent="0.25">
      <c r="C9" s="18" t="s">
        <v>12</v>
      </c>
      <c r="D9" s="18" t="s">
        <v>13</v>
      </c>
      <c r="E9" s="18"/>
      <c r="F9" s="18" t="s">
        <v>14</v>
      </c>
    </row>
    <row r="10" spans="2:6" x14ac:dyDescent="0.25">
      <c r="B10" t="s">
        <v>43</v>
      </c>
      <c r="C10" s="17">
        <v>-536500</v>
      </c>
      <c r="D10" s="17">
        <v>352046.19</v>
      </c>
      <c r="E10" s="17"/>
      <c r="F10" s="17">
        <f>C10+D10</f>
        <v>-184453.81</v>
      </c>
    </row>
    <row r="13" spans="2:6" x14ac:dyDescent="0.25">
      <c r="B13" t="s">
        <v>19</v>
      </c>
      <c r="C13" s="18" t="s">
        <v>16</v>
      </c>
      <c r="D13" s="18" t="s">
        <v>17</v>
      </c>
      <c r="E13" s="18"/>
      <c r="F13" s="18" t="s">
        <v>18</v>
      </c>
    </row>
    <row r="14" spans="2:6" x14ac:dyDescent="0.25">
      <c r="B14" t="s">
        <v>15</v>
      </c>
      <c r="C14" s="17">
        <f>F10</f>
        <v>-184453.81</v>
      </c>
      <c r="D14" s="17">
        <v>48540.480000000003</v>
      </c>
      <c r="E14" s="17"/>
      <c r="F14" s="17">
        <f>C14+D14</f>
        <v>-135913.32999999999</v>
      </c>
    </row>
    <row r="16" spans="2:6" x14ac:dyDescent="0.25">
      <c r="C16" s="18" t="s">
        <v>21</v>
      </c>
    </row>
    <row r="17" spans="2:6" x14ac:dyDescent="0.25">
      <c r="C17" s="18" t="s">
        <v>22</v>
      </c>
      <c r="D17" s="18" t="s">
        <v>20</v>
      </c>
      <c r="E17" s="18"/>
      <c r="F17" s="18" t="s">
        <v>23</v>
      </c>
    </row>
    <row r="18" spans="2:6" x14ac:dyDescent="0.25">
      <c r="B18" t="s">
        <v>44</v>
      </c>
      <c r="C18" s="17">
        <f>F14</f>
        <v>-135913.32999999999</v>
      </c>
      <c r="D18" s="17">
        <v>9708.1</v>
      </c>
      <c r="E18" s="17"/>
      <c r="F18" s="17">
        <f>C18+D18</f>
        <v>-126205.22999999998</v>
      </c>
    </row>
  </sheetData>
  <pageMargins left="0.7" right="0.7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showGridLines="0" tabSelected="1" view="pageBreakPreview" zoomScale="60" zoomScaleNormal="100" workbookViewId="0">
      <selection activeCell="E14" sqref="E14"/>
    </sheetView>
  </sheetViews>
  <sheetFormatPr defaultRowHeight="13.8" x14ac:dyDescent="0.25"/>
  <cols>
    <col min="1" max="1" width="3" customWidth="1"/>
    <col min="2" max="2" width="29.09765625" customWidth="1"/>
    <col min="3" max="3" width="10.5" style="3" customWidth="1"/>
    <col min="4" max="4" width="10.5" style="4" customWidth="1"/>
    <col min="5" max="5" width="14.19921875" style="3" customWidth="1"/>
  </cols>
  <sheetData>
    <row r="1" spans="2:5" ht="15.6" x14ac:dyDescent="0.3">
      <c r="B1" s="31" t="s">
        <v>56</v>
      </c>
      <c r="C1"/>
      <c r="D1"/>
      <c r="E1"/>
    </row>
    <row r="2" spans="2:5" ht="15.6" x14ac:dyDescent="0.3">
      <c r="B2" s="31"/>
      <c r="C2"/>
      <c r="D2"/>
      <c r="E2"/>
    </row>
    <row r="3" spans="2:5" x14ac:dyDescent="0.25">
      <c r="B3" s="16" t="s">
        <v>58</v>
      </c>
    </row>
    <row r="4" spans="2:5" x14ac:dyDescent="0.25">
      <c r="B4" s="16"/>
    </row>
    <row r="5" spans="2:5" x14ac:dyDescent="0.25">
      <c r="C5" s="1" t="s">
        <v>0</v>
      </c>
      <c r="D5" s="2" t="s">
        <v>1</v>
      </c>
      <c r="E5" s="1" t="s">
        <v>2</v>
      </c>
    </row>
    <row r="6" spans="2:5" x14ac:dyDescent="0.25">
      <c r="B6" t="s">
        <v>3</v>
      </c>
    </row>
    <row r="7" spans="2:5" x14ac:dyDescent="0.25">
      <c r="B7" s="5" t="s">
        <v>4</v>
      </c>
      <c r="C7" s="3">
        <v>1500</v>
      </c>
      <c r="D7" s="4">
        <f>44.49</f>
        <v>44.49</v>
      </c>
      <c r="E7" s="6">
        <f>D7*C7</f>
        <v>66735</v>
      </c>
    </row>
    <row r="8" spans="2:5" x14ac:dyDescent="0.25">
      <c r="B8" s="7" t="s">
        <v>5</v>
      </c>
      <c r="C8" s="8">
        <f>C7/4</f>
        <v>375</v>
      </c>
      <c r="D8" s="9">
        <v>39</v>
      </c>
      <c r="E8" s="10">
        <f>D8*C8</f>
        <v>14625</v>
      </c>
    </row>
    <row r="9" spans="2:5" x14ac:dyDescent="0.25">
      <c r="B9" s="11" t="s">
        <v>6</v>
      </c>
      <c r="E9" s="6">
        <f>SUM(E7:E8)</f>
        <v>81360</v>
      </c>
    </row>
    <row r="10" spans="2:5" x14ac:dyDescent="0.25">
      <c r="B10" s="11" t="s">
        <v>7</v>
      </c>
      <c r="E10" s="6">
        <v>6900</v>
      </c>
    </row>
    <row r="11" spans="2:5" x14ac:dyDescent="0.25">
      <c r="B11" s="11" t="s">
        <v>8</v>
      </c>
      <c r="C11" s="3">
        <v>73.239999999999995</v>
      </c>
      <c r="D11" s="4">
        <f>44.49*1.49</f>
        <v>66.29010000000001</v>
      </c>
      <c r="E11" s="6">
        <f>D11*C11</f>
        <v>4855.0869240000002</v>
      </c>
    </row>
    <row r="12" spans="2:5" ht="14.4" thickBot="1" x14ac:dyDescent="0.3">
      <c r="B12" s="12" t="s">
        <v>9</v>
      </c>
      <c r="C12" s="13"/>
      <c r="D12" s="14"/>
      <c r="E12" s="15">
        <f>SUM(E9:E11)</f>
        <v>93115.086924000003</v>
      </c>
    </row>
    <row r="13" spans="2:5" x14ac:dyDescent="0.25">
      <c r="B13" s="11"/>
    </row>
    <row r="14" spans="2:5" x14ac:dyDescent="0.25">
      <c r="B14" s="11"/>
    </row>
    <row r="15" spans="2:5" x14ac:dyDescent="0.25">
      <c r="B15" s="11"/>
    </row>
    <row r="16" spans="2:5" x14ac:dyDescent="0.25">
      <c r="B16" s="11"/>
    </row>
    <row r="17" spans="2:2" x14ac:dyDescent="0.25">
      <c r="B17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Feeders</vt:lpstr>
      <vt:lpstr>Poles</vt:lpstr>
      <vt:lpstr>Meters</vt:lpstr>
      <vt:lpstr>Contributions</vt:lpstr>
      <vt:lpstr>O&amp;M</vt:lpstr>
    </vt:vector>
  </TitlesOfParts>
  <Company>Energy+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Molon</dc:creator>
  <cp:lastModifiedBy>Dan Molon</cp:lastModifiedBy>
  <cp:lastPrinted>2019-01-18T21:13:23Z</cp:lastPrinted>
  <dcterms:created xsi:type="dcterms:W3CDTF">2018-11-13T18:26:09Z</dcterms:created>
  <dcterms:modified xsi:type="dcterms:W3CDTF">2019-01-18T21:18:44Z</dcterms:modified>
</cp:coreProperties>
</file>