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23256" windowHeight="6096" activeTab="3"/>
  </bookViews>
  <sheets>
    <sheet name="Data-DO NOT PRINT" sheetId="4" r:id="rId1"/>
    <sheet name="Summary-DO NOT PRINT" sheetId="28" r:id="rId2"/>
    <sheet name="Res_RPP_Low" sheetId="1" r:id="rId3"/>
    <sheet name="Res_RPP_Typical" sheetId="17" r:id="rId4"/>
    <sheet name="Res_RPP_High" sheetId="18" r:id="rId5"/>
    <sheet name="GS&lt;50kW_RPP" sheetId="20" r:id="rId6"/>
    <sheet name="GS 50-999kW" sheetId="22" r:id="rId7"/>
    <sheet name="GS&gt;1,000kW" sheetId="29" r:id="rId8"/>
    <sheet name="USL" sheetId="24" r:id="rId9"/>
    <sheet name="StLgt" sheetId="25" r:id="rId10"/>
    <sheet name="Res_NonRPP_Typical" sheetId="19" r:id="rId11"/>
    <sheet name="GS&lt;50kW_NonRPP" sheetId="27" r:id="rId12"/>
  </sheets>
  <externalReferences>
    <externalReference r:id="rId13"/>
  </externalReferences>
  <calcPr calcId="145621"/>
</workbook>
</file>

<file path=xl/calcChain.xml><?xml version="1.0" encoding="utf-8"?>
<calcChain xmlns="http://schemas.openxmlformats.org/spreadsheetml/2006/main">
  <c r="AB10" i="4" l="1"/>
  <c r="AC10" i="4"/>
  <c r="AB8" i="4"/>
  <c r="AC8" i="4"/>
  <c r="AB9" i="4"/>
  <c r="AC9" i="4"/>
  <c r="AC7" i="4"/>
  <c r="AB7" i="4"/>
  <c r="AC5" i="4"/>
  <c r="AB5" i="4"/>
  <c r="AC4" i="4"/>
  <c r="AB4" i="4"/>
  <c r="AC3" i="4"/>
  <c r="AB3" i="4"/>
  <c r="C15" i="19" l="1"/>
  <c r="C15" i="27"/>
  <c r="F28" i="27" l="1"/>
  <c r="F28" i="19"/>
  <c r="B11" i="25"/>
  <c r="F23" i="29"/>
  <c r="V8" i="4"/>
  <c r="T8" i="4"/>
  <c r="S8" i="4"/>
  <c r="F11" i="29" s="1"/>
  <c r="G11" i="29" s="1"/>
  <c r="R8" i="4"/>
  <c r="Q8" i="4"/>
  <c r="C23" i="29" s="1"/>
  <c r="L8" i="4"/>
  <c r="W8" i="4" s="1"/>
  <c r="F14" i="29" s="1"/>
  <c r="V7" i="4"/>
  <c r="U7" i="4"/>
  <c r="T7" i="4"/>
  <c r="S7" i="4"/>
  <c r="N7" i="4"/>
  <c r="L7" i="4"/>
  <c r="W7" i="4" s="1"/>
  <c r="G4" i="4"/>
  <c r="H4" i="4"/>
  <c r="I4" i="4"/>
  <c r="J4" i="4"/>
  <c r="K4" i="4"/>
  <c r="L4" i="4"/>
  <c r="M4" i="4"/>
  <c r="N4" i="4"/>
  <c r="O4" i="4"/>
  <c r="F4" i="4"/>
  <c r="B5" i="25"/>
  <c r="B4" i="25"/>
  <c r="B5" i="22"/>
  <c r="V10" i="4"/>
  <c r="U10" i="4"/>
  <c r="T10" i="4"/>
  <c r="S10" i="4"/>
  <c r="L10" i="4"/>
  <c r="W10" i="4" s="1"/>
  <c r="V9" i="4"/>
  <c r="U9" i="4"/>
  <c r="T9" i="4"/>
  <c r="S9" i="4"/>
  <c r="L9" i="4"/>
  <c r="W9" i="4" s="1"/>
  <c r="AC6" i="4"/>
  <c r="AB6" i="4"/>
  <c r="R6" i="4"/>
  <c r="Q6" i="4"/>
  <c r="O6" i="4"/>
  <c r="N6" i="4"/>
  <c r="M6" i="4"/>
  <c r="J6" i="4"/>
  <c r="I6" i="4"/>
  <c r="H6" i="4"/>
  <c r="U5" i="4"/>
  <c r="U6" i="4" s="1"/>
  <c r="T5" i="4"/>
  <c r="T6" i="4" s="1"/>
  <c r="S5" i="4"/>
  <c r="S6" i="4" s="1"/>
  <c r="L5" i="4"/>
  <c r="L6" i="4" s="1"/>
  <c r="K5" i="4"/>
  <c r="V5" i="4" s="1"/>
  <c r="V6" i="4" s="1"/>
  <c r="W3" i="4"/>
  <c r="V3" i="4"/>
  <c r="L3" i="4"/>
  <c r="K3" i="4"/>
  <c r="F29" i="29"/>
  <c r="G28" i="29"/>
  <c r="H28" i="29" s="1"/>
  <c r="I28" i="29" s="1"/>
  <c r="E28" i="29"/>
  <c r="D28" i="29"/>
  <c r="F24" i="29"/>
  <c r="C24" i="29"/>
  <c r="E21" i="29"/>
  <c r="C21" i="29"/>
  <c r="F21" i="29" s="1"/>
  <c r="G21" i="29" s="1"/>
  <c r="F20" i="29"/>
  <c r="C20" i="29"/>
  <c r="F19" i="29"/>
  <c r="C19" i="29"/>
  <c r="F18" i="29"/>
  <c r="C18" i="29"/>
  <c r="F17" i="29"/>
  <c r="C17" i="29"/>
  <c r="F16" i="29"/>
  <c r="E16" i="29"/>
  <c r="C16" i="29"/>
  <c r="D16" i="29" s="1"/>
  <c r="C14" i="29"/>
  <c r="F13" i="29"/>
  <c r="E13" i="29"/>
  <c r="C13" i="29"/>
  <c r="D13" i="29" s="1"/>
  <c r="F12" i="29"/>
  <c r="C12" i="29"/>
  <c r="E11" i="29"/>
  <c r="C11" i="29"/>
  <c r="D11" i="29" s="1"/>
  <c r="B6" i="29"/>
  <c r="B5" i="29"/>
  <c r="B12" i="29" s="1"/>
  <c r="B4" i="29"/>
  <c r="D10" i="28" s="1"/>
  <c r="E10" i="28" l="1"/>
  <c r="G13" i="29"/>
  <c r="D21" i="29"/>
  <c r="H21" i="29" s="1"/>
  <c r="I21" i="29" s="1"/>
  <c r="W5" i="4"/>
  <c r="W6" i="4" s="1"/>
  <c r="K6" i="4"/>
  <c r="H13" i="29"/>
  <c r="I13" i="29" s="1"/>
  <c r="G16" i="29"/>
  <c r="H16" i="29" s="1"/>
  <c r="I16" i="29" s="1"/>
  <c r="B24" i="29"/>
  <c r="E24" i="29" s="1"/>
  <c r="G24" i="29" s="1"/>
  <c r="B7" i="29"/>
  <c r="B27" i="29" s="1"/>
  <c r="B23" i="29"/>
  <c r="E23" i="29" s="1"/>
  <c r="G23" i="29" s="1"/>
  <c r="B14" i="29"/>
  <c r="E12" i="29"/>
  <c r="G12" i="29" s="1"/>
  <c r="D12" i="29"/>
  <c r="H11" i="29"/>
  <c r="I11" i="29" s="1"/>
  <c r="B17" i="29"/>
  <c r="B18" i="29"/>
  <c r="B19" i="29"/>
  <c r="B20" i="29"/>
  <c r="B26" i="29" l="1"/>
  <c r="E26" i="29" s="1"/>
  <c r="G26" i="29" s="1"/>
  <c r="B29" i="29"/>
  <c r="E29" i="29" s="1"/>
  <c r="G29" i="29" s="1"/>
  <c r="D23" i="29"/>
  <c r="H23" i="29" s="1"/>
  <c r="I23" i="29" s="1"/>
  <c r="D24" i="29"/>
  <c r="H24" i="29" s="1"/>
  <c r="I24" i="29" s="1"/>
  <c r="H12" i="29"/>
  <c r="I12" i="29" s="1"/>
  <c r="E14" i="29"/>
  <c r="G14" i="29" s="1"/>
  <c r="G15" i="29" s="1"/>
  <c r="D14" i="29"/>
  <c r="D15" i="29" s="1"/>
  <c r="D20" i="29"/>
  <c r="E20" i="29"/>
  <c r="G20" i="29" s="1"/>
  <c r="D19" i="29"/>
  <c r="E19" i="29"/>
  <c r="G19" i="29" s="1"/>
  <c r="D18" i="29"/>
  <c r="E18" i="29"/>
  <c r="G18" i="29" s="1"/>
  <c r="D17" i="29"/>
  <c r="E17" i="29"/>
  <c r="G17" i="29" s="1"/>
  <c r="D27" i="29"/>
  <c r="E27" i="29"/>
  <c r="G27" i="29" s="1"/>
  <c r="D26" i="29" l="1"/>
  <c r="H26" i="29" s="1"/>
  <c r="I26" i="29" s="1"/>
  <c r="D29" i="29"/>
  <c r="H29" i="29" s="1"/>
  <c r="I29" i="29" s="1"/>
  <c r="D22" i="29"/>
  <c r="D25" i="29" s="1"/>
  <c r="H15" i="29"/>
  <c r="G22" i="29"/>
  <c r="H27" i="29"/>
  <c r="I27" i="29" s="1"/>
  <c r="H14" i="29"/>
  <c r="I14" i="29" s="1"/>
  <c r="H17" i="29"/>
  <c r="I17" i="29" s="1"/>
  <c r="H18" i="29"/>
  <c r="I18" i="29" s="1"/>
  <c r="H19" i="29"/>
  <c r="I19" i="29" s="1"/>
  <c r="H20" i="29"/>
  <c r="I20" i="29" s="1"/>
  <c r="I15" i="29" l="1"/>
  <c r="G10" i="28" s="1"/>
  <c r="F10" i="28"/>
  <c r="D31" i="29"/>
  <c r="D32" i="29" s="1"/>
  <c r="D33" i="29" s="1"/>
  <c r="H22" i="29"/>
  <c r="G25" i="29"/>
  <c r="I22" i="29" l="1"/>
  <c r="I10" i="28" s="1"/>
  <c r="H10" i="28"/>
  <c r="H25" i="29"/>
  <c r="G31" i="29"/>
  <c r="I25" i="29" l="1"/>
  <c r="K10" i="28" s="1"/>
  <c r="J10" i="28"/>
  <c r="H31" i="29"/>
  <c r="I31" i="29" s="1"/>
  <c r="G32" i="29"/>
  <c r="H32" i="29" s="1"/>
  <c r="I32" i="29" s="1"/>
  <c r="G33" i="29" l="1"/>
  <c r="H33" i="29" s="1"/>
  <c r="I33" i="29" l="1"/>
  <c r="M10" i="28" s="1"/>
  <c r="L10" i="28"/>
  <c r="D13" i="28"/>
  <c r="D7" i="28"/>
  <c r="D6" i="28"/>
  <c r="D5" i="28"/>
  <c r="B4" i="20" l="1"/>
  <c r="D8" i="28" s="1"/>
  <c r="B4" i="27"/>
  <c r="F29" i="27"/>
  <c r="G28" i="27"/>
  <c r="E28" i="27"/>
  <c r="D28" i="27"/>
  <c r="F24" i="27"/>
  <c r="C24" i="27"/>
  <c r="F23" i="27"/>
  <c r="C23" i="27"/>
  <c r="E21" i="27"/>
  <c r="C21" i="27"/>
  <c r="D21" i="27" s="1"/>
  <c r="F20" i="27"/>
  <c r="C20" i="27"/>
  <c r="F19" i="27"/>
  <c r="C19" i="27"/>
  <c r="F18" i="27"/>
  <c r="C18" i="27"/>
  <c r="F17" i="27"/>
  <c r="C17" i="27"/>
  <c r="F16" i="27"/>
  <c r="E16" i="27"/>
  <c r="C16" i="27"/>
  <c r="D16" i="27" s="1"/>
  <c r="F13" i="27"/>
  <c r="C13" i="27"/>
  <c r="F12" i="27"/>
  <c r="E12" i="27"/>
  <c r="C12" i="27"/>
  <c r="D12" i="27" s="1"/>
  <c r="F11" i="27"/>
  <c r="C11" i="27"/>
  <c r="F10" i="27"/>
  <c r="E10" i="27"/>
  <c r="C10" i="27"/>
  <c r="D10" i="27" s="1"/>
  <c r="B5" i="27"/>
  <c r="B29" i="19"/>
  <c r="D29" i="19" s="1"/>
  <c r="F29" i="19"/>
  <c r="F29" i="25"/>
  <c r="E28" i="25"/>
  <c r="G28" i="25" s="1"/>
  <c r="D28" i="25"/>
  <c r="F24" i="25"/>
  <c r="C24" i="25"/>
  <c r="F23" i="25"/>
  <c r="C23" i="25"/>
  <c r="E21" i="25"/>
  <c r="C21" i="25"/>
  <c r="D21" i="25" s="1"/>
  <c r="F20" i="25"/>
  <c r="C20" i="25"/>
  <c r="F19" i="25"/>
  <c r="C19" i="25"/>
  <c r="F18" i="25"/>
  <c r="C18" i="25"/>
  <c r="F17" i="25"/>
  <c r="C17" i="25"/>
  <c r="F16" i="25"/>
  <c r="E16" i="25"/>
  <c r="C16" i="25"/>
  <c r="D16" i="25" s="1"/>
  <c r="F14" i="25"/>
  <c r="C14" i="25"/>
  <c r="F13" i="25"/>
  <c r="E13" i="25"/>
  <c r="C13" i="25"/>
  <c r="D13" i="25" s="1"/>
  <c r="F12" i="25"/>
  <c r="C12" i="25"/>
  <c r="F11" i="25"/>
  <c r="E11" i="25"/>
  <c r="C11" i="25"/>
  <c r="D11" i="25" s="1"/>
  <c r="B6" i="25"/>
  <c r="E29" i="19" l="1"/>
  <c r="G29" i="19" s="1"/>
  <c r="H29" i="19" s="1"/>
  <c r="I29" i="19" s="1"/>
  <c r="G10" i="27"/>
  <c r="H10" i="27" s="1"/>
  <c r="I10" i="27" s="1"/>
  <c r="H28" i="27"/>
  <c r="I28" i="27" s="1"/>
  <c r="D12" i="28"/>
  <c r="B30" i="25"/>
  <c r="B29" i="25"/>
  <c r="F15" i="27"/>
  <c r="B29" i="27"/>
  <c r="G11" i="25"/>
  <c r="H11" i="25" s="1"/>
  <c r="I11" i="25" s="1"/>
  <c r="H28" i="25"/>
  <c r="I28" i="25" s="1"/>
  <c r="B12" i="25"/>
  <c r="E12" i="25" s="1"/>
  <c r="G12" i="25" s="1"/>
  <c r="E12" i="28"/>
  <c r="B20" i="27"/>
  <c r="E20" i="27" s="1"/>
  <c r="G20" i="27" s="1"/>
  <c r="D14" i="28"/>
  <c r="F21" i="27"/>
  <c r="G21" i="27" s="1"/>
  <c r="H21" i="27" s="1"/>
  <c r="I21" i="27" s="1"/>
  <c r="G12" i="27"/>
  <c r="H12" i="27" s="1"/>
  <c r="I12" i="27" s="1"/>
  <c r="B6" i="27"/>
  <c r="B23" i="27" s="1"/>
  <c r="B13" i="27"/>
  <c r="B11" i="27"/>
  <c r="E11" i="27" s="1"/>
  <c r="G11" i="27" s="1"/>
  <c r="B17" i="27"/>
  <c r="E17" i="27" s="1"/>
  <c r="G17" i="27" s="1"/>
  <c r="B18" i="27"/>
  <c r="E18" i="27" s="1"/>
  <c r="G18" i="27" s="1"/>
  <c r="B19" i="27"/>
  <c r="E19" i="27" s="1"/>
  <c r="G19" i="27" s="1"/>
  <c r="G16" i="27"/>
  <c r="H16" i="27" s="1"/>
  <c r="I16" i="27" s="1"/>
  <c r="G13" i="25"/>
  <c r="H13" i="25" s="1"/>
  <c r="I13" i="25" s="1"/>
  <c r="G16" i="25"/>
  <c r="H16" i="25" s="1"/>
  <c r="I16" i="25" s="1"/>
  <c r="F21" i="25"/>
  <c r="G21" i="25" s="1"/>
  <c r="H21" i="25" s="1"/>
  <c r="I21" i="25" s="1"/>
  <c r="B24" i="25"/>
  <c r="E24" i="25" s="1"/>
  <c r="G24" i="25" s="1"/>
  <c r="B23" i="25"/>
  <c r="E23" i="25" s="1"/>
  <c r="G23" i="25" s="1"/>
  <c r="B7" i="25"/>
  <c r="B19" i="25"/>
  <c r="B17" i="25"/>
  <c r="B18" i="25"/>
  <c r="B20" i="25"/>
  <c r="B14" i="25"/>
  <c r="D20" i="27" l="1"/>
  <c r="H20" i="27" s="1"/>
  <c r="I20" i="27" s="1"/>
  <c r="D11" i="27"/>
  <c r="H11" i="27" s="1"/>
  <c r="I11" i="27" s="1"/>
  <c r="D12" i="25"/>
  <c r="H12" i="25" s="1"/>
  <c r="I12" i="25" s="1"/>
  <c r="B24" i="27"/>
  <c r="D24" i="27" s="1"/>
  <c r="B15" i="27"/>
  <c r="D15" i="27" s="1"/>
  <c r="B26" i="27"/>
  <c r="D26" i="27" s="1"/>
  <c r="B27" i="27"/>
  <c r="E27" i="27" s="1"/>
  <c r="G27" i="27" s="1"/>
  <c r="D19" i="27"/>
  <c r="H19" i="27" s="1"/>
  <c r="I19" i="27" s="1"/>
  <c r="E13" i="27"/>
  <c r="G13" i="27" s="1"/>
  <c r="D13" i="27"/>
  <c r="D18" i="27"/>
  <c r="H18" i="27" s="1"/>
  <c r="I18" i="27" s="1"/>
  <c r="D17" i="27"/>
  <c r="H17" i="27" s="1"/>
  <c r="I17" i="27" s="1"/>
  <c r="E29" i="27"/>
  <c r="G29" i="27" s="1"/>
  <c r="D29" i="27"/>
  <c r="E23" i="27"/>
  <c r="G23" i="27" s="1"/>
  <c r="D23" i="27"/>
  <c r="D23" i="25"/>
  <c r="H23" i="25" s="1"/>
  <c r="I23" i="25" s="1"/>
  <c r="D24" i="25"/>
  <c r="H24" i="25" s="1"/>
  <c r="I24" i="25" s="1"/>
  <c r="D20" i="25"/>
  <c r="E20" i="25"/>
  <c r="G20" i="25" s="1"/>
  <c r="B27" i="25"/>
  <c r="B26" i="25"/>
  <c r="D18" i="25"/>
  <c r="E18" i="25"/>
  <c r="G18" i="25" s="1"/>
  <c r="D17" i="25"/>
  <c r="E17" i="25"/>
  <c r="G17" i="25" s="1"/>
  <c r="E14" i="25"/>
  <c r="G14" i="25" s="1"/>
  <c r="D14" i="25"/>
  <c r="D19" i="25"/>
  <c r="E19" i="25"/>
  <c r="G19" i="25" s="1"/>
  <c r="D14" i="27" l="1"/>
  <c r="D22" i="27" s="1"/>
  <c r="D25" i="27" s="1"/>
  <c r="D15" i="25"/>
  <c r="D22" i="25" s="1"/>
  <c r="D25" i="25" s="1"/>
  <c r="E26" i="27"/>
  <c r="G26" i="27" s="1"/>
  <c r="H26" i="27" s="1"/>
  <c r="I26" i="27" s="1"/>
  <c r="E24" i="27"/>
  <c r="G24" i="27" s="1"/>
  <c r="H24" i="27" s="1"/>
  <c r="I24" i="27" s="1"/>
  <c r="E15" i="27"/>
  <c r="G15" i="27" s="1"/>
  <c r="H15" i="27" s="1"/>
  <c r="I15" i="27" s="1"/>
  <c r="D27" i="27"/>
  <c r="H27" i="27" s="1"/>
  <c r="I27" i="27" s="1"/>
  <c r="H17" i="25"/>
  <c r="I17" i="25" s="1"/>
  <c r="H29" i="27"/>
  <c r="I29" i="27" s="1"/>
  <c r="H13" i="27"/>
  <c r="I13" i="27" s="1"/>
  <c r="G14" i="27"/>
  <c r="H23" i="27"/>
  <c r="I23" i="27" s="1"/>
  <c r="D30" i="25"/>
  <c r="E30" i="25"/>
  <c r="G30" i="25" s="1"/>
  <c r="H20" i="25"/>
  <c r="I20" i="25" s="1"/>
  <c r="H18" i="25"/>
  <c r="I18" i="25" s="1"/>
  <c r="D27" i="25"/>
  <c r="E27" i="25"/>
  <c r="G27" i="25" s="1"/>
  <c r="H14" i="25"/>
  <c r="I14" i="25" s="1"/>
  <c r="E26" i="25"/>
  <c r="G26" i="25" s="1"/>
  <c r="D26" i="25"/>
  <c r="H19" i="25"/>
  <c r="I19" i="25" s="1"/>
  <c r="G15" i="25"/>
  <c r="E29" i="25"/>
  <c r="G29" i="25" s="1"/>
  <c r="D29" i="25"/>
  <c r="H14" i="27" l="1"/>
  <c r="F14" i="28" s="1"/>
  <c r="G22" i="27"/>
  <c r="H22" i="27" s="1"/>
  <c r="D31" i="27"/>
  <c r="D32" i="27" s="1"/>
  <c r="H30" i="25"/>
  <c r="I30" i="25" s="1"/>
  <c r="D32" i="25"/>
  <c r="H27" i="25"/>
  <c r="I27" i="25" s="1"/>
  <c r="G22" i="25"/>
  <c r="H15" i="25"/>
  <c r="H29" i="25"/>
  <c r="I29" i="25" s="1"/>
  <c r="H26" i="25"/>
  <c r="I26" i="25" s="1"/>
  <c r="G25" i="27" l="1"/>
  <c r="G31" i="27" s="1"/>
  <c r="I14" i="27"/>
  <c r="G14" i="28" s="1"/>
  <c r="D33" i="25"/>
  <c r="D34" i="25" s="1"/>
  <c r="D33" i="27"/>
  <c r="D34" i="27" s="1"/>
  <c r="I15" i="25"/>
  <c r="G12" i="28" s="1"/>
  <c r="F12" i="28"/>
  <c r="I22" i="27"/>
  <c r="I14" i="28" s="1"/>
  <c r="H14" i="28"/>
  <c r="H22" i="25"/>
  <c r="G25" i="25"/>
  <c r="G32" i="25" s="1"/>
  <c r="H25" i="27" l="1"/>
  <c r="J14" i="28" s="1"/>
  <c r="I22" i="25"/>
  <c r="I12" i="28" s="1"/>
  <c r="H12" i="28"/>
  <c r="H31" i="27"/>
  <c r="I31" i="27" s="1"/>
  <c r="G33" i="27"/>
  <c r="H33" i="27" s="1"/>
  <c r="I33" i="27" s="1"/>
  <c r="G32" i="27"/>
  <c r="H32" i="27" s="1"/>
  <c r="I32" i="27" s="1"/>
  <c r="H25" i="25"/>
  <c r="I25" i="27" l="1"/>
  <c r="K14" i="28" s="1"/>
  <c r="I25" i="25"/>
  <c r="K12" i="28" s="1"/>
  <c r="J12" i="28"/>
  <c r="G34" i="27"/>
  <c r="H34" i="27" s="1"/>
  <c r="H32" i="25"/>
  <c r="I32" i="25" s="1"/>
  <c r="G33" i="25"/>
  <c r="H33" i="25" l="1"/>
  <c r="I33" i="25" s="1"/>
  <c r="G34" i="25"/>
  <c r="H34" i="25" s="1"/>
  <c r="I34" i="25" s="1"/>
  <c r="I34" i="27"/>
  <c r="M14" i="28" s="1"/>
  <c r="L14" i="28"/>
  <c r="M12" i="28" l="1"/>
  <c r="L12" i="28"/>
  <c r="B4" i="24"/>
  <c r="B17" i="24" s="1"/>
  <c r="E17" i="24" s="1"/>
  <c r="F30" i="24"/>
  <c r="F29" i="24"/>
  <c r="E28" i="24"/>
  <c r="G28" i="24" s="1"/>
  <c r="D28" i="24"/>
  <c r="F24" i="24"/>
  <c r="C24" i="24"/>
  <c r="F23" i="24"/>
  <c r="C23" i="24"/>
  <c r="E21" i="24"/>
  <c r="C21" i="24"/>
  <c r="F21" i="24" s="1"/>
  <c r="F20" i="24"/>
  <c r="C20" i="24"/>
  <c r="F19" i="24"/>
  <c r="C19" i="24"/>
  <c r="F18" i="24"/>
  <c r="C18" i="24"/>
  <c r="F17" i="24"/>
  <c r="C17" i="24"/>
  <c r="F16" i="24"/>
  <c r="E16" i="24"/>
  <c r="C16" i="24"/>
  <c r="D16" i="24" s="1"/>
  <c r="F13" i="24"/>
  <c r="C13" i="24"/>
  <c r="F12" i="24"/>
  <c r="E12" i="24"/>
  <c r="C12" i="24"/>
  <c r="D12" i="24" s="1"/>
  <c r="F11" i="24"/>
  <c r="C11" i="24"/>
  <c r="F10" i="24"/>
  <c r="E10" i="24"/>
  <c r="C10" i="24"/>
  <c r="D10" i="24" s="1"/>
  <c r="B5" i="24"/>
  <c r="B4" i="22"/>
  <c r="F29" i="22"/>
  <c r="E28" i="22"/>
  <c r="G28" i="22" s="1"/>
  <c r="D28" i="22"/>
  <c r="F24" i="22"/>
  <c r="C24" i="22"/>
  <c r="F23" i="22"/>
  <c r="C23" i="22"/>
  <c r="E21" i="22"/>
  <c r="C21" i="22"/>
  <c r="F21" i="22" s="1"/>
  <c r="F20" i="22"/>
  <c r="C20" i="22"/>
  <c r="F19" i="22"/>
  <c r="C19" i="22"/>
  <c r="F18" i="22"/>
  <c r="C18" i="22"/>
  <c r="F17" i="22"/>
  <c r="C17" i="22"/>
  <c r="F16" i="22"/>
  <c r="E16" i="22"/>
  <c r="C16" i="22"/>
  <c r="D16" i="22" s="1"/>
  <c r="F14" i="22"/>
  <c r="C14" i="22"/>
  <c r="F13" i="22"/>
  <c r="E13" i="22"/>
  <c r="C13" i="22"/>
  <c r="D13" i="22" s="1"/>
  <c r="F12" i="22"/>
  <c r="C12" i="22"/>
  <c r="F11" i="22"/>
  <c r="E11" i="22"/>
  <c r="C11" i="22"/>
  <c r="D11" i="22" s="1"/>
  <c r="B6" i="22"/>
  <c r="F31" i="20"/>
  <c r="B31" i="20"/>
  <c r="D31" i="20" s="1"/>
  <c r="F30" i="20"/>
  <c r="B30" i="20"/>
  <c r="E30" i="20" s="1"/>
  <c r="G30" i="20" s="1"/>
  <c r="F29" i="20"/>
  <c r="B29" i="20"/>
  <c r="E28" i="20"/>
  <c r="G28" i="20" s="1"/>
  <c r="H28" i="20" s="1"/>
  <c r="I28" i="20" s="1"/>
  <c r="D28" i="20"/>
  <c r="F24" i="20"/>
  <c r="C24" i="20"/>
  <c r="F23" i="20"/>
  <c r="C23" i="20"/>
  <c r="E21" i="20"/>
  <c r="C21" i="20"/>
  <c r="F21" i="20" s="1"/>
  <c r="G21" i="20" s="1"/>
  <c r="F20" i="20"/>
  <c r="C20" i="20"/>
  <c r="B20" i="20"/>
  <c r="F19" i="20"/>
  <c r="C19" i="20"/>
  <c r="B19" i="20"/>
  <c r="F18" i="20"/>
  <c r="C18" i="20"/>
  <c r="B18" i="20"/>
  <c r="F17" i="20"/>
  <c r="C17" i="20"/>
  <c r="B17" i="20"/>
  <c r="F16" i="20"/>
  <c r="E16" i="20"/>
  <c r="C16" i="20"/>
  <c r="D16" i="20" s="1"/>
  <c r="C15" i="20"/>
  <c r="F15" i="20" s="1"/>
  <c r="F13" i="20"/>
  <c r="C13" i="20"/>
  <c r="B13" i="20"/>
  <c r="F12" i="20"/>
  <c r="E12" i="20"/>
  <c r="C12" i="20"/>
  <c r="D12" i="20" s="1"/>
  <c r="F11" i="20"/>
  <c r="C11" i="20"/>
  <c r="B11" i="20"/>
  <c r="E11" i="20" s="1"/>
  <c r="F10" i="20"/>
  <c r="E10" i="20"/>
  <c r="C10" i="20"/>
  <c r="D10" i="20" s="1"/>
  <c r="B5" i="20"/>
  <c r="B6" i="20" s="1"/>
  <c r="E28" i="19"/>
  <c r="G28" i="19" s="1"/>
  <c r="D28" i="19"/>
  <c r="E21" i="19"/>
  <c r="C21" i="19"/>
  <c r="F21" i="19" s="1"/>
  <c r="G21" i="19" s="1"/>
  <c r="B20" i="19"/>
  <c r="F19" i="19"/>
  <c r="C19" i="19"/>
  <c r="B19" i="19"/>
  <c r="F18" i="19"/>
  <c r="B18" i="19"/>
  <c r="F17" i="19"/>
  <c r="B17" i="19"/>
  <c r="E17" i="19" s="1"/>
  <c r="F16" i="19"/>
  <c r="E16" i="19"/>
  <c r="F15" i="19"/>
  <c r="B13" i="19"/>
  <c r="E13" i="19" s="1"/>
  <c r="E12" i="19"/>
  <c r="B11" i="19"/>
  <c r="E11" i="19" s="1"/>
  <c r="E10" i="19"/>
  <c r="B5" i="19"/>
  <c r="B6" i="19" s="1"/>
  <c r="F31" i="18"/>
  <c r="B31" i="18"/>
  <c r="E31" i="18" s="1"/>
  <c r="G31" i="18" s="1"/>
  <c r="F30" i="18"/>
  <c r="E30" i="18"/>
  <c r="G30" i="18" s="1"/>
  <c r="H30" i="18" s="1"/>
  <c r="I30" i="18" s="1"/>
  <c r="B30" i="18"/>
  <c r="D30" i="18" s="1"/>
  <c r="F29" i="18"/>
  <c r="D29" i="18"/>
  <c r="B29" i="18"/>
  <c r="E29" i="18" s="1"/>
  <c r="G29" i="18" s="1"/>
  <c r="H29" i="18" s="1"/>
  <c r="I29" i="18" s="1"/>
  <c r="G28" i="18"/>
  <c r="H28" i="18" s="1"/>
  <c r="I28" i="18" s="1"/>
  <c r="E28" i="18"/>
  <c r="D28" i="18"/>
  <c r="F24" i="18"/>
  <c r="C24" i="18"/>
  <c r="F23" i="18"/>
  <c r="C23" i="18"/>
  <c r="E21" i="18"/>
  <c r="C21" i="18"/>
  <c r="F21" i="18" s="1"/>
  <c r="F20" i="18"/>
  <c r="C20" i="18"/>
  <c r="B20" i="18"/>
  <c r="E20" i="18" s="1"/>
  <c r="F19" i="18"/>
  <c r="C19" i="18"/>
  <c r="D19" i="18" s="1"/>
  <c r="B19" i="18"/>
  <c r="E19" i="18" s="1"/>
  <c r="F18" i="18"/>
  <c r="C18" i="18"/>
  <c r="B18" i="18"/>
  <c r="E18" i="18" s="1"/>
  <c r="F17" i="18"/>
  <c r="C17" i="18"/>
  <c r="D17" i="18" s="1"/>
  <c r="B17" i="18"/>
  <c r="E17" i="18" s="1"/>
  <c r="F16" i="18"/>
  <c r="E16" i="18"/>
  <c r="C16" i="18"/>
  <c r="D16" i="18" s="1"/>
  <c r="C15" i="18"/>
  <c r="F15" i="18" s="1"/>
  <c r="F13" i="18"/>
  <c r="C13" i="18"/>
  <c r="B13" i="18"/>
  <c r="E13" i="18" s="1"/>
  <c r="F12" i="18"/>
  <c r="G12" i="18" s="1"/>
  <c r="E12" i="18"/>
  <c r="C12" i="18"/>
  <c r="D12" i="18" s="1"/>
  <c r="F11" i="18"/>
  <c r="E11" i="18"/>
  <c r="C11" i="18"/>
  <c r="B11" i="18"/>
  <c r="F10" i="18"/>
  <c r="E10" i="18"/>
  <c r="C10" i="18"/>
  <c r="D10" i="18" s="1"/>
  <c r="B5" i="18"/>
  <c r="B6" i="18" s="1"/>
  <c r="F31" i="17"/>
  <c r="B31" i="17"/>
  <c r="D31" i="17" s="1"/>
  <c r="F30" i="17"/>
  <c r="B30" i="17"/>
  <c r="E30" i="17" s="1"/>
  <c r="G30" i="17" s="1"/>
  <c r="F29" i="17"/>
  <c r="D29" i="17"/>
  <c r="B29" i="17"/>
  <c r="E29" i="17" s="1"/>
  <c r="G29" i="17" s="1"/>
  <c r="G28" i="17"/>
  <c r="H28" i="17" s="1"/>
  <c r="I28" i="17" s="1"/>
  <c r="E28" i="17"/>
  <c r="D28" i="17"/>
  <c r="F24" i="17"/>
  <c r="C24" i="17"/>
  <c r="F23" i="17"/>
  <c r="C23" i="17"/>
  <c r="E21" i="17"/>
  <c r="C21" i="17"/>
  <c r="F21" i="17" s="1"/>
  <c r="G21" i="17" s="1"/>
  <c r="F20" i="17"/>
  <c r="C20" i="17"/>
  <c r="B20" i="17"/>
  <c r="E20" i="17" s="1"/>
  <c r="F19" i="17"/>
  <c r="C19" i="17"/>
  <c r="B19" i="17"/>
  <c r="E19" i="17" s="1"/>
  <c r="F18" i="17"/>
  <c r="C18" i="17"/>
  <c r="B18" i="17"/>
  <c r="E18" i="17" s="1"/>
  <c r="F17" i="17"/>
  <c r="C17" i="17"/>
  <c r="B17" i="17"/>
  <c r="E17" i="17" s="1"/>
  <c r="F16" i="17"/>
  <c r="E16" i="17"/>
  <c r="C16" i="17"/>
  <c r="D16" i="17" s="1"/>
  <c r="C15" i="17"/>
  <c r="F15" i="17" s="1"/>
  <c r="F13" i="17"/>
  <c r="C13" i="17"/>
  <c r="B13" i="17"/>
  <c r="E13" i="17" s="1"/>
  <c r="F12" i="17"/>
  <c r="G12" i="17" s="1"/>
  <c r="E12" i="17"/>
  <c r="C12" i="17"/>
  <c r="D12" i="17" s="1"/>
  <c r="F11" i="17"/>
  <c r="C11" i="17"/>
  <c r="B11" i="17"/>
  <c r="F10" i="17"/>
  <c r="E10" i="17"/>
  <c r="C10" i="17"/>
  <c r="D10" i="17" s="1"/>
  <c r="B5" i="17"/>
  <c r="B6" i="17" s="1"/>
  <c r="H28" i="1"/>
  <c r="I28" i="1" s="1"/>
  <c r="F20" i="1"/>
  <c r="F19" i="1"/>
  <c r="F18" i="1"/>
  <c r="C21" i="1"/>
  <c r="F21" i="1" s="1"/>
  <c r="C20" i="1"/>
  <c r="C19" i="1"/>
  <c r="C18" i="1"/>
  <c r="C15" i="1"/>
  <c r="B20" i="1"/>
  <c r="E20" i="1" s="1"/>
  <c r="B19" i="1"/>
  <c r="E19" i="1" s="1"/>
  <c r="F30" i="1"/>
  <c r="F31" i="1"/>
  <c r="F29" i="1"/>
  <c r="B31" i="1"/>
  <c r="D31" i="1" s="1"/>
  <c r="B30" i="1"/>
  <c r="D30" i="1" s="1"/>
  <c r="B29" i="1"/>
  <c r="E29" i="1" s="1"/>
  <c r="G16" i="19" l="1"/>
  <c r="H28" i="19"/>
  <c r="I28" i="19" s="1"/>
  <c r="D19" i="1"/>
  <c r="G16" i="17"/>
  <c r="G16" i="20"/>
  <c r="H16" i="20" s="1"/>
  <c r="I16" i="20" s="1"/>
  <c r="G16" i="18"/>
  <c r="H16" i="18" s="1"/>
  <c r="I16" i="18" s="1"/>
  <c r="B20" i="24"/>
  <c r="E20" i="24" s="1"/>
  <c r="G20" i="24" s="1"/>
  <c r="C15" i="24"/>
  <c r="F15" i="24" s="1"/>
  <c r="B30" i="24"/>
  <c r="B29" i="24"/>
  <c r="B14" i="22"/>
  <c r="D14" i="22" s="1"/>
  <c r="E9" i="28"/>
  <c r="B18" i="24"/>
  <c r="E18" i="24" s="1"/>
  <c r="G18" i="24" s="1"/>
  <c r="D11" i="28"/>
  <c r="B19" i="22"/>
  <c r="E19" i="22" s="1"/>
  <c r="G19" i="22" s="1"/>
  <c r="D9" i="28"/>
  <c r="D20" i="1"/>
  <c r="G20" i="1"/>
  <c r="G19" i="1"/>
  <c r="H19" i="1" s="1"/>
  <c r="I19" i="1" s="1"/>
  <c r="G10" i="17"/>
  <c r="H10" i="17" s="1"/>
  <c r="I10" i="17" s="1"/>
  <c r="G13" i="17"/>
  <c r="G20" i="17"/>
  <c r="G10" i="18"/>
  <c r="H10" i="18" s="1"/>
  <c r="I10" i="18" s="1"/>
  <c r="G11" i="18"/>
  <c r="D19" i="19"/>
  <c r="D30" i="20"/>
  <c r="H30" i="20" s="1"/>
  <c r="I30" i="20" s="1"/>
  <c r="D21" i="18"/>
  <c r="G17" i="17"/>
  <c r="D11" i="18"/>
  <c r="D13" i="20"/>
  <c r="B6" i="24"/>
  <c r="B11" i="24"/>
  <c r="E11" i="24" s="1"/>
  <c r="G11" i="24" s="1"/>
  <c r="H12" i="18"/>
  <c r="I12" i="18" s="1"/>
  <c r="G18" i="18"/>
  <c r="G17" i="19"/>
  <c r="D11" i="17"/>
  <c r="G13" i="18"/>
  <c r="G17" i="18"/>
  <c r="H17" i="18" s="1"/>
  <c r="I17" i="18" s="1"/>
  <c r="G12" i="20"/>
  <c r="H12" i="20" s="1"/>
  <c r="I12" i="20" s="1"/>
  <c r="G19" i="17"/>
  <c r="G20" i="18"/>
  <c r="H12" i="17"/>
  <c r="I12" i="17" s="1"/>
  <c r="G18" i="17"/>
  <c r="G19" i="18"/>
  <c r="H19" i="18" s="1"/>
  <c r="I19" i="18" s="1"/>
  <c r="G10" i="20"/>
  <c r="H10" i="20" s="1"/>
  <c r="I10" i="20" s="1"/>
  <c r="D11" i="20"/>
  <c r="D21" i="17"/>
  <c r="H21" i="17" s="1"/>
  <c r="I21" i="17" s="1"/>
  <c r="G11" i="20"/>
  <c r="E31" i="20"/>
  <c r="G31" i="20" s="1"/>
  <c r="H31" i="20" s="1"/>
  <c r="I31" i="20" s="1"/>
  <c r="E18" i="19"/>
  <c r="E19" i="19"/>
  <c r="E20" i="19"/>
  <c r="B13" i="24"/>
  <c r="E13" i="24" s="1"/>
  <c r="G13" i="24" s="1"/>
  <c r="B19" i="24"/>
  <c r="E19" i="24" s="1"/>
  <c r="G19" i="24" s="1"/>
  <c r="G12" i="24"/>
  <c r="H12" i="24" s="1"/>
  <c r="I12" i="24" s="1"/>
  <c r="G16" i="24"/>
  <c r="H16" i="24" s="1"/>
  <c r="I16" i="24" s="1"/>
  <c r="G17" i="24"/>
  <c r="G21" i="24"/>
  <c r="H28" i="24"/>
  <c r="I28" i="24" s="1"/>
  <c r="G10" i="24"/>
  <c r="H10" i="24" s="1"/>
  <c r="I10" i="24" s="1"/>
  <c r="D21" i="24"/>
  <c r="D17" i="24"/>
  <c r="B20" i="22"/>
  <c r="E20" i="22" s="1"/>
  <c r="G20" i="22" s="1"/>
  <c r="B17" i="22"/>
  <c r="E17" i="22" s="1"/>
  <c r="G17" i="22" s="1"/>
  <c r="B23" i="22"/>
  <c r="B7" i="22"/>
  <c r="G16" i="22"/>
  <c r="H16" i="22" s="1"/>
  <c r="I16" i="22" s="1"/>
  <c r="B18" i="22"/>
  <c r="E18" i="22" s="1"/>
  <c r="G18" i="22" s="1"/>
  <c r="B24" i="22"/>
  <c r="G13" i="22"/>
  <c r="H13" i="22" s="1"/>
  <c r="I13" i="22" s="1"/>
  <c r="H28" i="22"/>
  <c r="I28" i="22" s="1"/>
  <c r="B12" i="22"/>
  <c r="E12" i="22" s="1"/>
  <c r="G12" i="22" s="1"/>
  <c r="G21" i="22"/>
  <c r="G11" i="22"/>
  <c r="H11" i="22" s="1"/>
  <c r="I11" i="22" s="1"/>
  <c r="D21" i="22"/>
  <c r="E17" i="20"/>
  <c r="G17" i="20" s="1"/>
  <c r="D17" i="20"/>
  <c r="E18" i="20"/>
  <c r="G18" i="20" s="1"/>
  <c r="D18" i="20"/>
  <c r="E19" i="20"/>
  <c r="G19" i="20" s="1"/>
  <c r="D19" i="20"/>
  <c r="E20" i="20"/>
  <c r="G20" i="20" s="1"/>
  <c r="D20" i="20"/>
  <c r="D21" i="20"/>
  <c r="H21" i="20" s="1"/>
  <c r="I21" i="20" s="1"/>
  <c r="E29" i="20"/>
  <c r="G29" i="20" s="1"/>
  <c r="D29" i="20"/>
  <c r="B26" i="20"/>
  <c r="B24" i="20"/>
  <c r="B23" i="20"/>
  <c r="B27" i="20"/>
  <c r="E13" i="20"/>
  <c r="G13" i="20" s="1"/>
  <c r="B15" i="20"/>
  <c r="D21" i="19"/>
  <c r="H21" i="19" s="1"/>
  <c r="I21" i="19" s="1"/>
  <c r="G18" i="19"/>
  <c r="G19" i="19"/>
  <c r="B26" i="19"/>
  <c r="B24" i="19"/>
  <c r="B23" i="19"/>
  <c r="B27" i="19"/>
  <c r="B15" i="19"/>
  <c r="D18" i="18"/>
  <c r="D20" i="18"/>
  <c r="B27" i="18"/>
  <c r="B15" i="18"/>
  <c r="B26" i="18"/>
  <c r="B24" i="18"/>
  <c r="B23" i="18"/>
  <c r="G21" i="18"/>
  <c r="D13" i="18"/>
  <c r="D31" i="18"/>
  <c r="H31" i="18" s="1"/>
  <c r="I31" i="18" s="1"/>
  <c r="H29" i="17"/>
  <c r="I29" i="17" s="1"/>
  <c r="D30" i="17"/>
  <c r="H30" i="17" s="1"/>
  <c r="I30" i="17" s="1"/>
  <c r="E31" i="17"/>
  <c r="G31" i="17" s="1"/>
  <c r="H31" i="17" s="1"/>
  <c r="I31" i="17" s="1"/>
  <c r="E11" i="17"/>
  <c r="G11" i="17" s="1"/>
  <c r="B26" i="17"/>
  <c r="B24" i="17"/>
  <c r="B23" i="17"/>
  <c r="B15" i="17"/>
  <c r="B27" i="17"/>
  <c r="H16" i="17"/>
  <c r="I16" i="17" s="1"/>
  <c r="D17" i="17"/>
  <c r="D18" i="17"/>
  <c r="D19" i="17"/>
  <c r="D20" i="17"/>
  <c r="D13" i="17"/>
  <c r="D21" i="1"/>
  <c r="G29" i="1"/>
  <c r="E30" i="1"/>
  <c r="G30" i="1" s="1"/>
  <c r="H30" i="1" s="1"/>
  <c r="I30" i="1" s="1"/>
  <c r="E31" i="1"/>
  <c r="G31" i="1" s="1"/>
  <c r="H31" i="1" s="1"/>
  <c r="I31" i="1" s="1"/>
  <c r="D29" i="1"/>
  <c r="D20" i="24" l="1"/>
  <c r="H20" i="24" s="1"/>
  <c r="I20" i="24" s="1"/>
  <c r="E14" i="22"/>
  <c r="G14" i="22" s="1"/>
  <c r="H14" i="22" s="1"/>
  <c r="I14" i="22" s="1"/>
  <c r="H18" i="17"/>
  <c r="I18" i="17" s="1"/>
  <c r="H20" i="1"/>
  <c r="I20" i="1" s="1"/>
  <c r="B26" i="24"/>
  <c r="D26" i="24" s="1"/>
  <c r="B15" i="24"/>
  <c r="D11" i="24"/>
  <c r="D18" i="24"/>
  <c r="H18" i="24" s="1"/>
  <c r="I18" i="24" s="1"/>
  <c r="H13" i="17"/>
  <c r="I13" i="17" s="1"/>
  <c r="H29" i="1"/>
  <c r="I29" i="1" s="1"/>
  <c r="H11" i="17"/>
  <c r="I11" i="17" s="1"/>
  <c r="D20" i="22"/>
  <c r="H20" i="22" s="1"/>
  <c r="I20" i="22" s="1"/>
  <c r="H19" i="17"/>
  <c r="I19" i="17" s="1"/>
  <c r="H21" i="22"/>
  <c r="I21" i="22" s="1"/>
  <c r="D14" i="20"/>
  <c r="H13" i="20"/>
  <c r="I13" i="20" s="1"/>
  <c r="G14" i="18"/>
  <c r="H21" i="18"/>
  <c r="I21" i="18" s="1"/>
  <c r="H18" i="18"/>
  <c r="I18" i="18" s="1"/>
  <c r="H11" i="20"/>
  <c r="I11" i="20" s="1"/>
  <c r="H19" i="19"/>
  <c r="I19" i="19" s="1"/>
  <c r="H20" i="18"/>
  <c r="I20" i="18" s="1"/>
  <c r="H20" i="17"/>
  <c r="I20" i="17" s="1"/>
  <c r="H11" i="18"/>
  <c r="I11" i="18" s="1"/>
  <c r="H17" i="17"/>
  <c r="I17" i="17" s="1"/>
  <c r="E30" i="24"/>
  <c r="G30" i="24" s="1"/>
  <c r="B23" i="24"/>
  <c r="D23" i="24" s="1"/>
  <c r="B24" i="24"/>
  <c r="D24" i="24" s="1"/>
  <c r="B27" i="24"/>
  <c r="D27" i="24" s="1"/>
  <c r="G14" i="17"/>
  <c r="H13" i="18"/>
  <c r="I13" i="18" s="1"/>
  <c r="D13" i="24"/>
  <c r="H13" i="24" s="1"/>
  <c r="I13" i="24" s="1"/>
  <c r="D19" i="24"/>
  <c r="H19" i="24" s="1"/>
  <c r="I19" i="24" s="1"/>
  <c r="H17" i="24"/>
  <c r="I17" i="24" s="1"/>
  <c r="H11" i="24"/>
  <c r="I11" i="24" s="1"/>
  <c r="G14" i="24"/>
  <c r="H21" i="24"/>
  <c r="I21" i="24" s="1"/>
  <c r="B26" i="22"/>
  <c r="B29" i="22"/>
  <c r="B27" i="22"/>
  <c r="D27" i="22" s="1"/>
  <c r="D19" i="22"/>
  <c r="H19" i="22" s="1"/>
  <c r="I19" i="22" s="1"/>
  <c r="D18" i="22"/>
  <c r="H18" i="22" s="1"/>
  <c r="I18" i="22" s="1"/>
  <c r="D12" i="22"/>
  <c r="D15" i="22" s="1"/>
  <c r="D17" i="22"/>
  <c r="H17" i="22" s="1"/>
  <c r="I17" i="22" s="1"/>
  <c r="E24" i="22"/>
  <c r="G24" i="22" s="1"/>
  <c r="D24" i="22"/>
  <c r="E23" i="22"/>
  <c r="G23" i="22" s="1"/>
  <c r="D23" i="22"/>
  <c r="H20" i="20"/>
  <c r="I20" i="20" s="1"/>
  <c r="H18" i="20"/>
  <c r="I18" i="20" s="1"/>
  <c r="E24" i="20"/>
  <c r="G24" i="20" s="1"/>
  <c r="D24" i="20"/>
  <c r="E26" i="20"/>
  <c r="G26" i="20" s="1"/>
  <c r="D26" i="20"/>
  <c r="D15" i="20"/>
  <c r="E15" i="20"/>
  <c r="G15" i="20" s="1"/>
  <c r="E27" i="20"/>
  <c r="G27" i="20" s="1"/>
  <c r="D27" i="20"/>
  <c r="G14" i="20"/>
  <c r="H19" i="20"/>
  <c r="I19" i="20" s="1"/>
  <c r="H17" i="20"/>
  <c r="I17" i="20" s="1"/>
  <c r="E23" i="20"/>
  <c r="G23" i="20" s="1"/>
  <c r="D23" i="20"/>
  <c r="H29" i="20"/>
  <c r="I29" i="20" s="1"/>
  <c r="E23" i="19"/>
  <c r="E24" i="19"/>
  <c r="E27" i="19"/>
  <c r="G27" i="19" s="1"/>
  <c r="D27" i="19"/>
  <c r="E15" i="19"/>
  <c r="G15" i="19" s="1"/>
  <c r="D15" i="19"/>
  <c r="D26" i="19"/>
  <c r="E26" i="19"/>
  <c r="G26" i="19" s="1"/>
  <c r="D14" i="18"/>
  <c r="E15" i="18"/>
  <c r="G15" i="18" s="1"/>
  <c r="D15" i="18"/>
  <c r="E27" i="18"/>
  <c r="G27" i="18" s="1"/>
  <c r="D27" i="18"/>
  <c r="D24" i="18"/>
  <c r="E24" i="18"/>
  <c r="G24" i="18" s="1"/>
  <c r="E23" i="18"/>
  <c r="G23" i="18" s="1"/>
  <c r="D23" i="18"/>
  <c r="D26" i="18"/>
  <c r="E26" i="18"/>
  <c r="G26" i="18" s="1"/>
  <c r="D14" i="17"/>
  <c r="E27" i="17"/>
  <c r="G27" i="17" s="1"/>
  <c r="D27" i="17"/>
  <c r="E15" i="17"/>
  <c r="G15" i="17" s="1"/>
  <c r="D15" i="17"/>
  <c r="E23" i="17"/>
  <c r="G23" i="17" s="1"/>
  <c r="D23" i="17"/>
  <c r="D26" i="17"/>
  <c r="E26" i="17"/>
  <c r="G26" i="17" s="1"/>
  <c r="E24" i="17"/>
  <c r="G24" i="17" s="1"/>
  <c r="D24" i="17"/>
  <c r="F24" i="19"/>
  <c r="F23" i="19"/>
  <c r="F13" i="19"/>
  <c r="G13" i="19" s="1"/>
  <c r="F12" i="19"/>
  <c r="G12" i="19" s="1"/>
  <c r="C24" i="19"/>
  <c r="D24" i="19" s="1"/>
  <c r="C23" i="19"/>
  <c r="D23" i="19" s="1"/>
  <c r="C11" i="19"/>
  <c r="D11" i="19" s="1"/>
  <c r="C20" i="19"/>
  <c r="D20" i="19" s="1"/>
  <c r="C12" i="19"/>
  <c r="D12" i="19" s="1"/>
  <c r="C16" i="19"/>
  <c r="D16" i="19" s="1"/>
  <c r="H16" i="19" s="1"/>
  <c r="I16" i="19" s="1"/>
  <c r="C17" i="19"/>
  <c r="D17" i="19" s="1"/>
  <c r="H17" i="19" s="1"/>
  <c r="I17" i="19" s="1"/>
  <c r="C18" i="19"/>
  <c r="D18" i="19" s="1"/>
  <c r="H18" i="19" s="1"/>
  <c r="I18" i="19" s="1"/>
  <c r="C10" i="19"/>
  <c r="D10" i="19" s="1"/>
  <c r="F11" i="19"/>
  <c r="G11" i="19" s="1"/>
  <c r="F10" i="19"/>
  <c r="G10" i="19" s="1"/>
  <c r="F20" i="19"/>
  <c r="G20" i="19" s="1"/>
  <c r="G15" i="22" l="1"/>
  <c r="G22" i="22" s="1"/>
  <c r="G25" i="22" s="1"/>
  <c r="E26" i="24"/>
  <c r="G26" i="24" s="1"/>
  <c r="H26" i="24" s="1"/>
  <c r="I26" i="24" s="1"/>
  <c r="E27" i="22"/>
  <c r="G27" i="22" s="1"/>
  <c r="H27" i="22" s="1"/>
  <c r="I27" i="22" s="1"/>
  <c r="H14" i="18"/>
  <c r="I14" i="18" s="1"/>
  <c r="G7" i="28" s="1"/>
  <c r="D15" i="24"/>
  <c r="E15" i="24"/>
  <c r="G15" i="24" s="1"/>
  <c r="H11" i="19"/>
  <c r="I11" i="19" s="1"/>
  <c r="E24" i="24"/>
  <c r="G24" i="24" s="1"/>
  <c r="H24" i="24" s="1"/>
  <c r="I24" i="24" s="1"/>
  <c r="E23" i="24"/>
  <c r="G23" i="24" s="1"/>
  <c r="H23" i="24" s="1"/>
  <c r="I23" i="24" s="1"/>
  <c r="H12" i="19"/>
  <c r="I12" i="19" s="1"/>
  <c r="H10" i="19"/>
  <c r="I10" i="19" s="1"/>
  <c r="D22" i="20"/>
  <c r="D25" i="20" s="1"/>
  <c r="D33" i="20" s="1"/>
  <c r="E27" i="24"/>
  <c r="G27" i="24" s="1"/>
  <c r="H27" i="24" s="1"/>
  <c r="I27" i="24" s="1"/>
  <c r="H20" i="19"/>
  <c r="I20" i="19" s="1"/>
  <c r="G14" i="19"/>
  <c r="G22" i="19" s="1"/>
  <c r="G24" i="19"/>
  <c r="H24" i="19" s="1"/>
  <c r="I24" i="19" s="1"/>
  <c r="G23" i="19"/>
  <c r="H23" i="19" s="1"/>
  <c r="I23" i="19" s="1"/>
  <c r="H15" i="18"/>
  <c r="I15" i="18" s="1"/>
  <c r="D14" i="24"/>
  <c r="D30" i="24"/>
  <c r="H30" i="24" s="1"/>
  <c r="I30" i="24" s="1"/>
  <c r="H14" i="17"/>
  <c r="I14" i="17" s="1"/>
  <c r="G6" i="28" s="1"/>
  <c r="E29" i="24"/>
  <c r="G29" i="24" s="1"/>
  <c r="D29" i="24"/>
  <c r="H15" i="17"/>
  <c r="I15" i="17" s="1"/>
  <c r="D22" i="18"/>
  <c r="D25" i="18" s="1"/>
  <c r="D33" i="18" s="1"/>
  <c r="D22" i="17"/>
  <c r="D25" i="17" s="1"/>
  <c r="D33" i="17" s="1"/>
  <c r="E29" i="22"/>
  <c r="G29" i="22" s="1"/>
  <c r="D29" i="22"/>
  <c r="H15" i="22"/>
  <c r="E26" i="22"/>
  <c r="G26" i="22" s="1"/>
  <c r="D26" i="22"/>
  <c r="H12" i="22"/>
  <c r="I12" i="22" s="1"/>
  <c r="D22" i="22"/>
  <c r="D25" i="22" s="1"/>
  <c r="H24" i="22"/>
  <c r="I24" i="22" s="1"/>
  <c r="H23" i="22"/>
  <c r="I23" i="22" s="1"/>
  <c r="H24" i="20"/>
  <c r="I24" i="20" s="1"/>
  <c r="H14" i="20"/>
  <c r="G22" i="20"/>
  <c r="H23" i="20"/>
  <c r="I23" i="20" s="1"/>
  <c r="H27" i="20"/>
  <c r="I27" i="20" s="1"/>
  <c r="H26" i="20"/>
  <c r="I26" i="20" s="1"/>
  <c r="H15" i="20"/>
  <c r="I15" i="20" s="1"/>
  <c r="H27" i="19"/>
  <c r="I27" i="19" s="1"/>
  <c r="H15" i="19"/>
  <c r="I15" i="19" s="1"/>
  <c r="H26" i="19"/>
  <c r="I26" i="19" s="1"/>
  <c r="G22" i="18"/>
  <c r="G25" i="18" s="1"/>
  <c r="H27" i="18"/>
  <c r="I27" i="18" s="1"/>
  <c r="H23" i="18"/>
  <c r="I23" i="18" s="1"/>
  <c r="H24" i="18"/>
  <c r="I24" i="18" s="1"/>
  <c r="H26" i="18"/>
  <c r="I26" i="18" s="1"/>
  <c r="H27" i="17"/>
  <c r="I27" i="17" s="1"/>
  <c r="H23" i="17"/>
  <c r="I23" i="17" s="1"/>
  <c r="G22" i="17"/>
  <c r="H24" i="17"/>
  <c r="I24" i="17" s="1"/>
  <c r="H26" i="17"/>
  <c r="I26" i="17" s="1"/>
  <c r="F7" i="28" l="1"/>
  <c r="H15" i="24"/>
  <c r="I15" i="24" s="1"/>
  <c r="G22" i="24"/>
  <c r="G25" i="24" s="1"/>
  <c r="D22" i="24"/>
  <c r="F6" i="28"/>
  <c r="H14" i="24"/>
  <c r="F11" i="28" s="1"/>
  <c r="H29" i="24"/>
  <c r="I29" i="24" s="1"/>
  <c r="H26" i="22"/>
  <c r="I26" i="22" s="1"/>
  <c r="I15" i="22"/>
  <c r="G9" i="28" s="1"/>
  <c r="F9" i="28"/>
  <c r="H29" i="22"/>
  <c r="I29" i="22" s="1"/>
  <c r="I14" i="20"/>
  <c r="G8" i="28" s="1"/>
  <c r="F8" i="28"/>
  <c r="D31" i="22"/>
  <c r="H22" i="22"/>
  <c r="G31" i="22"/>
  <c r="H25" i="22"/>
  <c r="D35" i="20"/>
  <c r="D34" i="20"/>
  <c r="H22" i="20"/>
  <c r="G25" i="20"/>
  <c r="G25" i="19"/>
  <c r="H22" i="18"/>
  <c r="D35" i="18"/>
  <c r="D34" i="18"/>
  <c r="G33" i="18"/>
  <c r="H25" i="18"/>
  <c r="D35" i="17"/>
  <c r="D34" i="17"/>
  <c r="G25" i="17"/>
  <c r="H22" i="17"/>
  <c r="I14" i="24" l="1"/>
  <c r="G11" i="28" s="1"/>
  <c r="H22" i="24"/>
  <c r="H11" i="28" s="1"/>
  <c r="D25" i="24"/>
  <c r="D32" i="24" s="1"/>
  <c r="D36" i="17"/>
  <c r="D36" i="18"/>
  <c r="I22" i="17"/>
  <c r="I6" i="28" s="1"/>
  <c r="H6" i="28"/>
  <c r="I25" i="18"/>
  <c r="K7" i="28" s="1"/>
  <c r="J7" i="28"/>
  <c r="I22" i="18"/>
  <c r="I7" i="28" s="1"/>
  <c r="H7" i="28"/>
  <c r="I22" i="20"/>
  <c r="I8" i="28" s="1"/>
  <c r="H8" i="28"/>
  <c r="I22" i="22"/>
  <c r="I9" i="28" s="1"/>
  <c r="H9" i="28"/>
  <c r="D32" i="22"/>
  <c r="D33" i="22" s="1"/>
  <c r="I25" i="22"/>
  <c r="K9" i="28" s="1"/>
  <c r="J9" i="28"/>
  <c r="D36" i="20"/>
  <c r="G32" i="24"/>
  <c r="H31" i="22"/>
  <c r="I31" i="22" s="1"/>
  <c r="G32" i="22"/>
  <c r="G33" i="20"/>
  <c r="H25" i="20"/>
  <c r="G31" i="19"/>
  <c r="G35" i="18"/>
  <c r="H35" i="18" s="1"/>
  <c r="I35" i="18" s="1"/>
  <c r="H33" i="18"/>
  <c r="I33" i="18" s="1"/>
  <c r="G34" i="18"/>
  <c r="H34" i="18" s="1"/>
  <c r="I34" i="18" s="1"/>
  <c r="G33" i="17"/>
  <c r="H25" i="17"/>
  <c r="C13" i="19"/>
  <c r="D13" i="19" s="1"/>
  <c r="I22" i="24" l="1"/>
  <c r="I11" i="28" s="1"/>
  <c r="D33" i="24"/>
  <c r="D34" i="24"/>
  <c r="H25" i="24"/>
  <c r="J11" i="28" s="1"/>
  <c r="G34" i="24"/>
  <c r="D14" i="19"/>
  <c r="H13" i="19"/>
  <c r="I13" i="19" s="1"/>
  <c r="H32" i="22"/>
  <c r="I32" i="22" s="1"/>
  <c r="I25" i="17"/>
  <c r="K6" i="28" s="1"/>
  <c r="J6" i="28"/>
  <c r="I25" i="20"/>
  <c r="K8" i="28" s="1"/>
  <c r="J8" i="28"/>
  <c r="H32" i="24"/>
  <c r="I32" i="24" s="1"/>
  <c r="G33" i="24"/>
  <c r="G33" i="22"/>
  <c r="H33" i="22" s="1"/>
  <c r="H33" i="20"/>
  <c r="I33" i="20" s="1"/>
  <c r="G35" i="20"/>
  <c r="H35" i="20" s="1"/>
  <c r="I35" i="20" s="1"/>
  <c r="G34" i="20"/>
  <c r="H34" i="20" s="1"/>
  <c r="I34" i="20" s="1"/>
  <c r="G33" i="19"/>
  <c r="G32" i="19"/>
  <c r="G36" i="18"/>
  <c r="H36" i="18" s="1"/>
  <c r="H33" i="17"/>
  <c r="I33" i="17" s="1"/>
  <c r="G35" i="17"/>
  <c r="H35" i="17" s="1"/>
  <c r="I35" i="17" s="1"/>
  <c r="G34" i="17"/>
  <c r="H34" i="17" s="1"/>
  <c r="I34" i="17" s="1"/>
  <c r="F24" i="1"/>
  <c r="F23" i="1"/>
  <c r="F17" i="1"/>
  <c r="F16" i="1"/>
  <c r="F13" i="1"/>
  <c r="F12" i="1"/>
  <c r="F11" i="1"/>
  <c r="F10" i="1"/>
  <c r="C24" i="1"/>
  <c r="C23" i="1"/>
  <c r="C17" i="1"/>
  <c r="C16" i="1"/>
  <c r="D16" i="1" s="1"/>
  <c r="C13" i="1"/>
  <c r="C12" i="1"/>
  <c r="D12" i="1" s="1"/>
  <c r="C11" i="1"/>
  <c r="C10" i="1"/>
  <c r="D10" i="1" s="1"/>
  <c r="E16" i="1"/>
  <c r="B5" i="1"/>
  <c r="B17" i="1"/>
  <c r="E28" i="1"/>
  <c r="G28" i="1" s="1"/>
  <c r="E12" i="1"/>
  <c r="E10" i="1"/>
  <c r="D28" i="1"/>
  <c r="D35" i="24" l="1"/>
  <c r="I25" i="24"/>
  <c r="K11" i="28" s="1"/>
  <c r="H34" i="24"/>
  <c r="I34" i="24" s="1"/>
  <c r="G35" i="24"/>
  <c r="H33" i="24"/>
  <c r="I33" i="24" s="1"/>
  <c r="D22" i="19"/>
  <c r="H14" i="19"/>
  <c r="I36" i="18"/>
  <c r="M7" i="28" s="1"/>
  <c r="L7" i="28"/>
  <c r="I33" i="22"/>
  <c r="M9" i="28" s="1"/>
  <c r="L9" i="28"/>
  <c r="G36" i="20"/>
  <c r="H36" i="20" s="1"/>
  <c r="G34" i="19"/>
  <c r="G36" i="17"/>
  <c r="H36" i="17" s="1"/>
  <c r="G16" i="1"/>
  <c r="H16" i="1" s="1"/>
  <c r="I16" i="1" s="1"/>
  <c r="G12" i="1"/>
  <c r="H12" i="1" s="1"/>
  <c r="I12" i="1" s="1"/>
  <c r="G10" i="1"/>
  <c r="D17" i="1"/>
  <c r="B13" i="1"/>
  <c r="E13" i="1" s="1"/>
  <c r="G13" i="1" s="1"/>
  <c r="E17" i="1"/>
  <c r="G17" i="1" s="1"/>
  <c r="E21" i="1"/>
  <c r="G21" i="1" s="1"/>
  <c r="H21" i="1" s="1"/>
  <c r="I21" i="1" s="1"/>
  <c r="B18" i="1"/>
  <c r="D18" i="1" s="1"/>
  <c r="B6" i="1"/>
  <c r="F15" i="1" s="1"/>
  <c r="B11" i="1"/>
  <c r="E11" i="1" s="1"/>
  <c r="G11" i="1" s="1"/>
  <c r="H35" i="24" l="1"/>
  <c r="I35" i="24" s="1"/>
  <c r="M11" i="28" s="1"/>
  <c r="F13" i="28"/>
  <c r="I14" i="19"/>
  <c r="G13" i="28" s="1"/>
  <c r="D25" i="19"/>
  <c r="H22" i="19"/>
  <c r="I36" i="17"/>
  <c r="M6" i="28" s="1"/>
  <c r="L6" i="28"/>
  <c r="H17" i="1"/>
  <c r="I17" i="1" s="1"/>
  <c r="I36" i="20"/>
  <c r="M8" i="28" s="1"/>
  <c r="L8" i="28"/>
  <c r="G14" i="1"/>
  <c r="H10" i="1"/>
  <c r="I10" i="1" s="1"/>
  <c r="D13" i="1"/>
  <c r="H13" i="1" s="1"/>
  <c r="I13" i="1" s="1"/>
  <c r="B27" i="1"/>
  <c r="D27" i="1" s="1"/>
  <c r="B24" i="1"/>
  <c r="B23" i="1"/>
  <c r="D23" i="1" s="1"/>
  <c r="B26" i="1"/>
  <c r="D26" i="1" s="1"/>
  <c r="E18" i="1"/>
  <c r="G18" i="1" s="1"/>
  <c r="H18" i="1" s="1"/>
  <c r="I18" i="1" s="1"/>
  <c r="D11" i="1"/>
  <c r="H11" i="1" s="1"/>
  <c r="I11" i="1" s="1"/>
  <c r="B15" i="1"/>
  <c r="L11" i="28" l="1"/>
  <c r="H13" i="28"/>
  <c r="I22" i="19"/>
  <c r="I13" i="28" s="1"/>
  <c r="D31" i="19"/>
  <c r="H25" i="19"/>
  <c r="D14" i="1"/>
  <c r="H14" i="1" s="1"/>
  <c r="E27" i="1"/>
  <c r="G27" i="1" s="1"/>
  <c r="H27" i="1" s="1"/>
  <c r="I27" i="1" s="1"/>
  <c r="E23" i="1"/>
  <c r="G23" i="1" s="1"/>
  <c r="H23" i="1" s="1"/>
  <c r="I23" i="1" s="1"/>
  <c r="E26" i="1"/>
  <c r="G26" i="1" s="1"/>
  <c r="H26" i="1" s="1"/>
  <c r="I26" i="1" s="1"/>
  <c r="D24" i="1"/>
  <c r="E24" i="1"/>
  <c r="G24" i="1" s="1"/>
  <c r="D15" i="1"/>
  <c r="E15" i="1"/>
  <c r="G15" i="1" s="1"/>
  <c r="H24" i="1" l="1"/>
  <c r="I24" i="1" s="1"/>
  <c r="J13" i="28"/>
  <c r="I25" i="19"/>
  <c r="K13" i="28" s="1"/>
  <c r="D33" i="19"/>
  <c r="H33" i="19" s="1"/>
  <c r="I33" i="19" s="1"/>
  <c r="D32" i="19"/>
  <c r="H31" i="19"/>
  <c r="I31" i="19" s="1"/>
  <c r="I14" i="1"/>
  <c r="G5" i="28" s="1"/>
  <c r="F5" i="28"/>
  <c r="D22" i="1"/>
  <c r="D25" i="1" s="1"/>
  <c r="D33" i="1" s="1"/>
  <c r="H15" i="1"/>
  <c r="I15" i="1" s="1"/>
  <c r="G22" i="1"/>
  <c r="D34" i="19" l="1"/>
  <c r="H34" i="19" s="1"/>
  <c r="H32" i="19"/>
  <c r="I32" i="19" s="1"/>
  <c r="D35" i="1"/>
  <c r="D34" i="1"/>
  <c r="H22" i="1"/>
  <c r="G25" i="1"/>
  <c r="I34" i="19" l="1"/>
  <c r="M13" i="28" s="1"/>
  <c r="L13" i="28"/>
  <c r="I22" i="1"/>
  <c r="I5" i="28" s="1"/>
  <c r="H5" i="28"/>
  <c r="D36" i="1"/>
  <c r="H25" i="1"/>
  <c r="G33" i="1"/>
  <c r="I25" i="1" l="1"/>
  <c r="K5" i="28" s="1"/>
  <c r="J5" i="28"/>
  <c r="H33" i="1"/>
  <c r="I33" i="1" s="1"/>
  <c r="G35" i="1"/>
  <c r="H35" i="1" s="1"/>
  <c r="I35" i="1" s="1"/>
  <c r="G34" i="1"/>
  <c r="H34" i="1" s="1"/>
  <c r="I34" i="1" s="1"/>
  <c r="G36" i="1" l="1"/>
  <c r="H36" i="1" s="1"/>
  <c r="I36" i="1" l="1"/>
  <c r="M5" i="28" s="1"/>
  <c r="L5" i="28"/>
</calcChain>
</file>

<file path=xl/sharedStrings.xml><?xml version="1.0" encoding="utf-8"?>
<sst xmlns="http://schemas.openxmlformats.org/spreadsheetml/2006/main" count="495" uniqueCount="100">
  <si>
    <t>Rates</t>
  </si>
  <si>
    <t>Volume</t>
  </si>
  <si>
    <t>Charge</t>
  </si>
  <si>
    <t>Peak</t>
  </si>
  <si>
    <t>Loss Factor</t>
  </si>
  <si>
    <t>HST</t>
  </si>
  <si>
    <t>SME Charge</t>
  </si>
  <si>
    <t>TOU On-peak</t>
  </si>
  <si>
    <t>TOU Mid-peak</t>
  </si>
  <si>
    <t>TOU Off-peak</t>
  </si>
  <si>
    <t>Consumption</t>
  </si>
  <si>
    <t>Service Area</t>
  </si>
  <si>
    <t>Rate Class</t>
  </si>
  <si>
    <t>Current DX Fix</t>
  </si>
  <si>
    <t>Current DX Vol</t>
  </si>
  <si>
    <t>Current GA Rider</t>
  </si>
  <si>
    <t>Proposed DX Fix</t>
  </si>
  <si>
    <t>Proposed DX Vol</t>
  </si>
  <si>
    <t>Proposed GA Rider</t>
  </si>
  <si>
    <t>Current RTSR-N</t>
  </si>
  <si>
    <t>Current RTSR-C</t>
  </si>
  <si>
    <t>Proposed RTSR-N</t>
  </si>
  <si>
    <t>Proposed RTSR-C</t>
  </si>
  <si>
    <t>USL</t>
  </si>
  <si>
    <t>StLgt</t>
  </si>
  <si>
    <t>Connections</t>
  </si>
  <si>
    <t>Uplifted Consumption</t>
  </si>
  <si>
    <t>DVA Rate Rider-Fixed</t>
  </si>
  <si>
    <t>DVA Rate Rider-Vol</t>
  </si>
  <si>
    <t>Current LV Charge</t>
  </si>
  <si>
    <t>Current Rate Riders-Fixed</t>
  </si>
  <si>
    <t>Current Rate Riders-Vol</t>
  </si>
  <si>
    <t>CBR Class B Rider</t>
  </si>
  <si>
    <t>Proposed LV Charge</t>
  </si>
  <si>
    <t>Proposed Rate Riders-Fixed</t>
  </si>
  <si>
    <t>Proposed Rate Riders-Vol</t>
  </si>
  <si>
    <t>Current-OEB Approved</t>
  </si>
  <si>
    <t>Impact</t>
  </si>
  <si>
    <t>$ Change</t>
  </si>
  <si>
    <t>% Change</t>
  </si>
  <si>
    <t>Residential_RPP</t>
  </si>
  <si>
    <t>Monthly Service Charge</t>
  </si>
  <si>
    <t>Distribution Volumetric Rate</t>
  </si>
  <si>
    <t>Fixed Rate Riders</t>
  </si>
  <si>
    <t>Volumetric Rate Riders</t>
  </si>
  <si>
    <t>Sub-Total A (excluding pass through)</t>
  </si>
  <si>
    <t>Line Loss on Cost of Power</t>
  </si>
  <si>
    <t>CBR Class B Rate Riders</t>
  </si>
  <si>
    <t>GA Rate Riders</t>
  </si>
  <si>
    <t>Low Voltage Service Charge</t>
  </si>
  <si>
    <t>Smart Meter Entity Charge (if applicable)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</si>
  <si>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</si>
  <si>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</si>
  <si>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</si>
  <si>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</si>
  <si>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</si>
  <si>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</si>
  <si>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</si>
  <si>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Total Bill on TOU (before Taxes)</t>
  </si>
  <si>
    <t>8% Rebate</t>
  </si>
  <si>
    <t>Total Bill on TOU</t>
  </si>
  <si>
    <t>Residential_NonRPP</t>
  </si>
  <si>
    <t>Monthly Peak (kW)</t>
  </si>
  <si>
    <t>Monthly Consumption (kWh)</t>
  </si>
  <si>
    <t>Average IESO Wholesale Market Price</t>
  </si>
  <si>
    <t>Uplifted Consumption (kWh)</t>
  </si>
  <si>
    <t>Energy First Tier</t>
  </si>
  <si>
    <t>Energy Second Tier</t>
  </si>
  <si>
    <t>Units</t>
  </si>
  <si>
    <t>Sub-Total</t>
  </si>
  <si>
    <t>Total Bill</t>
  </si>
  <si>
    <t>$</t>
  </si>
  <si>
    <t>%</t>
  </si>
  <si>
    <t>HCHI</t>
  </si>
  <si>
    <t xml:space="preserve">RATE CLASSES </t>
  </si>
  <si>
    <t>Charge Determinants</t>
  </si>
  <si>
    <t>A (DX-Excl Pass Through)</t>
  </si>
  <si>
    <t>B (DX-Incl Pass Through)</t>
  </si>
  <si>
    <t>C (Total Delivery)</t>
  </si>
  <si>
    <t>kWh</t>
  </si>
  <si>
    <t>kW</t>
  </si>
  <si>
    <t>RESIDENTIAL - RPP</t>
  </si>
  <si>
    <t>GENERAL SERVICE LESS THAN 50 kW - RPP</t>
  </si>
  <si>
    <t>UNMETERED SCATTERED LOAD - RPP</t>
  </si>
  <si>
    <t>RESIDENTIAL - Non-RPP (Retailer)</t>
  </si>
  <si>
    <t>GENERAL SERVICE LESS THAN 50 kW - Non-RPP (Retailer)</t>
  </si>
  <si>
    <t>STREET LIGHTING - RPP</t>
  </si>
  <si>
    <t>.</t>
  </si>
  <si>
    <t>GENERAL SERVICE GREATER THAN 1,000 KW SERVICE CLASSIFICATION</t>
  </si>
  <si>
    <t>GS 50-999kW</t>
  </si>
  <si>
    <t>GS&gt;1,000kW</t>
  </si>
  <si>
    <t>GS&lt;50kW_RPP</t>
  </si>
  <si>
    <t>GS&lt;50kW_NonRPP</t>
  </si>
  <si>
    <t>Non-RPP Retailer Avg. Price</t>
  </si>
  <si>
    <t>Woodstock</t>
  </si>
  <si>
    <t>GENERAL SERVICE 50 TO 999 KW - Non-RPP (Other)</t>
  </si>
  <si>
    <t>Bill Impacts - Woodstock Hydro Services Inc.</t>
  </si>
  <si>
    <t>Proposed 2019</t>
  </si>
  <si>
    <t>Deferral/Variance Account Rate Rider - Fixed</t>
  </si>
  <si>
    <t>Deferral/Variance Account Rate Rider - Volumetric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</si>
</sst>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"/>
    <numFmt numFmtId="166" formatCode="0.0000"/>
    <numFmt numFmtId="167" formatCode="&quot;$&quot;#,##0.000"/>
    <numFmt numFmtId="168" formatCode="&quot;$&quot;#,##0.0000"/>
    <numFmt numFmtId="169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5" fontId="0" fillId="0" borderId="0" xfId="0" applyNumberFormat="1" applyAlignment="1">
      <alignment horizontal="center"/>
    </xf>
    <xf numFmtId="165" fontId="2" fillId="0" borderId="0" xfId="0" applyNumberFormat="1" applyFont="1" applyAlignment="1">
      <alignment horizontal="center"/>
    </xf>
    <xf numFmtId="9" fontId="0" fillId="0" borderId="0" xfId="1" applyFont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4" borderId="0" xfId="0" applyFill="1"/>
    <xf numFmtId="0" fontId="2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165" fontId="2" fillId="5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left"/>
    </xf>
    <xf numFmtId="0" fontId="2" fillId="4" borderId="0" xfId="0" applyFont="1" applyFill="1"/>
    <xf numFmtId="165" fontId="0" fillId="4" borderId="0" xfId="0" applyNumberFormat="1" applyFill="1" applyAlignment="1">
      <alignment horizontal="center"/>
    </xf>
    <xf numFmtId="165" fontId="0" fillId="5" borderId="0" xfId="0" applyNumberFormat="1" applyFill="1" applyAlignment="1">
      <alignment horizontal="center"/>
    </xf>
    <xf numFmtId="165" fontId="0" fillId="0" borderId="0" xfId="0" applyNumberFormat="1"/>
    <xf numFmtId="165" fontId="0" fillId="4" borderId="0" xfId="0" applyNumberFormat="1" applyFill="1"/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1" applyNumberFormat="1" applyFont="1" applyAlignment="1">
      <alignment horizontal="center"/>
    </xf>
    <xf numFmtId="169" fontId="2" fillId="5" borderId="0" xfId="1" applyNumberFormat="1" applyFont="1" applyFill="1" applyAlignment="1">
      <alignment horizontal="center"/>
    </xf>
    <xf numFmtId="169" fontId="2" fillId="0" borderId="0" xfId="1" applyNumberFormat="1" applyFont="1" applyAlignment="1">
      <alignment horizontal="center"/>
    </xf>
    <xf numFmtId="169" fontId="0" fillId="4" borderId="0" xfId="1" applyNumberFormat="1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3" fontId="0" fillId="5" borderId="0" xfId="0" applyNumberFormat="1" applyFill="1" applyAlignment="1">
      <alignment horizontal="center"/>
    </xf>
    <xf numFmtId="0" fontId="5" fillId="0" borderId="3" xfId="4" applyFont="1" applyBorder="1" applyAlignment="1" applyProtection="1">
      <alignment horizontal="center" vertical="center"/>
    </xf>
    <xf numFmtId="0" fontId="5" fillId="2" borderId="3" xfId="4" applyFont="1" applyFill="1" applyBorder="1" applyAlignment="1" applyProtection="1">
      <alignment horizontal="center" vertical="center"/>
    </xf>
    <xf numFmtId="169" fontId="5" fillId="2" borderId="3" xfId="1" applyNumberFormat="1" applyFont="1" applyFill="1" applyBorder="1" applyAlignment="1" applyProtection="1">
      <alignment horizontal="center" vertical="center"/>
    </xf>
    <xf numFmtId="0" fontId="6" fillId="0" borderId="3" xfId="4" applyFont="1" applyBorder="1" applyAlignment="1" applyProtection="1">
      <alignment horizontal="center" vertical="center"/>
    </xf>
    <xf numFmtId="37" fontId="6" fillId="0" borderId="3" xfId="3" applyNumberFormat="1" applyFont="1" applyBorder="1" applyAlignment="1" applyProtection="1">
      <alignment horizontal="center" vertical="center"/>
    </xf>
    <xf numFmtId="3" fontId="6" fillId="0" borderId="3" xfId="4" applyNumberFormat="1" applyFont="1" applyBorder="1" applyAlignment="1" applyProtection="1">
      <alignment horizontal="center" vertical="center"/>
    </xf>
    <xf numFmtId="165" fontId="7" fillId="0" borderId="3" xfId="5" applyNumberFormat="1" applyFont="1" applyBorder="1" applyAlignment="1" applyProtection="1">
      <alignment horizontal="center" vertical="center"/>
    </xf>
    <xf numFmtId="169" fontId="7" fillId="0" borderId="3" xfId="1" applyNumberFormat="1" applyFont="1" applyBorder="1" applyAlignment="1" applyProtection="1">
      <alignment horizontal="center" vertical="center"/>
    </xf>
    <xf numFmtId="0" fontId="6" fillId="0" borderId="3" xfId="4" applyFont="1" applyFill="1" applyBorder="1" applyAlignment="1" applyProtection="1">
      <alignment horizontal="center" vertical="center"/>
    </xf>
    <xf numFmtId="37" fontId="6" fillId="0" borderId="3" xfId="3" applyNumberFormat="1" applyFont="1" applyFill="1" applyBorder="1" applyAlignment="1" applyProtection="1">
      <alignment horizontal="center" vertical="center"/>
    </xf>
    <xf numFmtId="3" fontId="6" fillId="0" borderId="3" xfId="4" applyNumberFormat="1" applyFont="1" applyFill="1" applyBorder="1" applyAlignment="1" applyProtection="1">
      <alignment horizontal="center" vertical="center"/>
    </xf>
    <xf numFmtId="165" fontId="7" fillId="0" borderId="3" xfId="5" applyNumberFormat="1" applyFont="1" applyFill="1" applyBorder="1" applyAlignment="1" applyProtection="1">
      <alignment horizontal="center" vertical="center"/>
    </xf>
    <xf numFmtId="169" fontId="7" fillId="0" borderId="3" xfId="1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left"/>
    </xf>
    <xf numFmtId="165" fontId="0" fillId="0" borderId="0" xfId="0" applyNumberFormat="1" applyFont="1" applyFill="1" applyAlignment="1">
      <alignment horizontal="center"/>
    </xf>
    <xf numFmtId="169" fontId="1" fillId="0" borderId="0" xfId="1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67" fontId="0" fillId="0" borderId="0" xfId="0" applyNumberFormat="1" applyFont="1" applyFill="1" applyAlignment="1">
      <alignment horizontal="center"/>
    </xf>
    <xf numFmtId="0" fontId="2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6" borderId="3" xfId="4" applyFont="1" applyFill="1" applyBorder="1" applyAlignment="1" applyProtection="1">
      <alignment horizontal="left" vertical="center"/>
    </xf>
    <xf numFmtId="0" fontId="5" fillId="0" borderId="1" xfId="4" applyFont="1" applyBorder="1" applyAlignment="1" applyProtection="1">
      <alignment horizontal="center" vertical="center" wrapText="1"/>
    </xf>
    <xf numFmtId="0" fontId="5" fillId="0" borderId="2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 vertical="center" wrapText="1"/>
    </xf>
    <xf numFmtId="0" fontId="5" fillId="0" borderId="5" xfId="4" applyFont="1" applyBorder="1" applyAlignment="1" applyProtection="1">
      <alignment horizontal="center" vertical="center" wrapText="1"/>
    </xf>
    <xf numFmtId="0" fontId="5" fillId="0" borderId="6" xfId="4" applyFont="1" applyBorder="1" applyAlignment="1" applyProtection="1">
      <alignment horizontal="center" vertical="center" wrapText="1"/>
    </xf>
    <xf numFmtId="0" fontId="5" fillId="0" borderId="7" xfId="4" applyFont="1" applyBorder="1" applyAlignment="1" applyProtection="1">
      <alignment horizontal="center" vertical="center" wrapText="1"/>
    </xf>
    <xf numFmtId="0" fontId="6" fillId="6" borderId="8" xfId="4" applyFont="1" applyFill="1" applyBorder="1" applyAlignment="1" applyProtection="1">
      <alignment horizontal="left" vertical="center"/>
    </xf>
    <xf numFmtId="0" fontId="6" fillId="6" borderId="9" xfId="4" applyFont="1" applyFill="1" applyBorder="1" applyAlignment="1" applyProtection="1">
      <alignment horizontal="left" vertical="center"/>
    </xf>
    <xf numFmtId="0" fontId="6" fillId="6" borderId="10" xfId="4" applyFont="1" applyFill="1" applyBorder="1" applyAlignment="1" applyProtection="1">
      <alignment horizontal="left" vertical="center"/>
    </xf>
    <xf numFmtId="0" fontId="4" fillId="0" borderId="3" xfId="0" applyFont="1" applyBorder="1" applyAlignment="1">
      <alignment horizontal="center"/>
    </xf>
    <xf numFmtId="0" fontId="5" fillId="0" borderId="3" xfId="4" applyFont="1" applyBorder="1" applyAlignment="1" applyProtection="1">
      <alignment horizontal="center" vertical="center"/>
    </xf>
    <xf numFmtId="0" fontId="5" fillId="0" borderId="1" xfId="4" applyFont="1" applyBorder="1" applyAlignment="1" applyProtection="1">
      <alignment horizontal="center" vertical="center"/>
    </xf>
    <xf numFmtId="0" fontId="5" fillId="0" borderId="2" xfId="4" applyFont="1" applyBorder="1" applyAlignment="1" applyProtection="1">
      <alignment horizontal="center" vertical="center"/>
    </xf>
    <xf numFmtId="0" fontId="5" fillId="0" borderId="6" xfId="4" applyFont="1" applyBorder="1" applyAlignment="1" applyProtection="1">
      <alignment horizontal="center" vertical="center"/>
    </xf>
    <xf numFmtId="0" fontId="5" fillId="0" borderId="7" xfId="4" applyFont="1" applyBorder="1" applyAlignment="1" applyProtection="1">
      <alignment horizontal="center" vertical="center"/>
    </xf>
    <xf numFmtId="0" fontId="5" fillId="3" borderId="3" xfId="4" applyFont="1" applyFill="1" applyBorder="1" applyAlignment="1" applyProtection="1">
      <alignment horizontal="center" vertical="center"/>
    </xf>
    <xf numFmtId="0" fontId="5" fillId="3" borderId="1" xfId="4" applyFont="1" applyFill="1" applyBorder="1" applyAlignment="1" applyProtection="1">
      <alignment horizontal="center" vertical="center"/>
    </xf>
    <xf numFmtId="0" fontId="5" fillId="3" borderId="2" xfId="4" applyFont="1" applyFill="1" applyBorder="1" applyAlignment="1" applyProtection="1">
      <alignment horizontal="center" vertical="center"/>
    </xf>
    <xf numFmtId="0" fontId="5" fillId="3" borderId="6" xfId="4" applyFont="1" applyFill="1" applyBorder="1" applyAlignment="1" applyProtection="1">
      <alignment horizontal="center" vertical="center"/>
    </xf>
    <xf numFmtId="0" fontId="5" fillId="3" borderId="7" xfId="4" applyFont="1" applyFill="1" applyBorder="1" applyAlignment="1" applyProtection="1">
      <alignment horizontal="center" vertical="center"/>
    </xf>
    <xf numFmtId="0" fontId="5" fillId="5" borderId="3" xfId="4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9" fillId="0" borderId="0" xfId="0" applyFont="1" applyAlignment="1">
      <alignment horizontal="center"/>
    </xf>
    <xf numFmtId="0" fontId="9" fillId="0" borderId="0" xfId="0" applyFont="1" applyAlignment="1"/>
  </cellXfs>
  <cellStyles count="7">
    <cellStyle name="Comma" xfId="3" builtinId="3"/>
    <cellStyle name="Comma 4" xfId="2"/>
    <cellStyle name="Currency 2" xfId="5"/>
    <cellStyle name="Normal" xfId="0" builtinId="0"/>
    <cellStyle name="Normal 2" xfId="4"/>
    <cellStyle name="Percent" xfId="1" builtinId="5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ONI_App%20D_RG_WDS_updated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for Tabs 3 to 7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7">
          <cell r="J37">
            <v>7.2960366117903125E-3</v>
          </cell>
        </row>
        <row r="38">
          <cell r="J38">
            <v>6.5767090416181907E-3</v>
          </cell>
        </row>
        <row r="39">
          <cell r="J39">
            <v>2.8287042453205555</v>
          </cell>
        </row>
        <row r="40">
          <cell r="J40">
            <v>2.828704257751316</v>
          </cell>
        </row>
        <row r="41">
          <cell r="J41">
            <v>6.5766963843673148E-3</v>
          </cell>
        </row>
        <row r="42">
          <cell r="J42">
            <v>2.087692884372458</v>
          </cell>
        </row>
        <row r="47">
          <cell r="J47">
            <v>6.1958776114266634E-3</v>
          </cell>
        </row>
        <row r="48">
          <cell r="J48">
            <v>5.8086351933841268E-3</v>
          </cell>
        </row>
        <row r="49">
          <cell r="J49">
            <v>2.4698317305563191</v>
          </cell>
        </row>
        <row r="50">
          <cell r="J50">
            <v>2.4698317038466677</v>
          </cell>
        </row>
        <row r="51">
          <cell r="J51">
            <v>5.8086361796851893E-3</v>
          </cell>
        </row>
        <row r="52">
          <cell r="J52">
            <v>1.8229428392196694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opLeftCell="I1" zoomScale="80" zoomScaleNormal="80" workbookViewId="0">
      <selection activeCell="AB5" sqref="AB5"/>
    </sheetView>
  </sheetViews>
  <sheetFormatPr defaultRowHeight="14.4" x14ac:dyDescent="0.3"/>
  <cols>
    <col min="1" max="1" width="14.5546875" customWidth="1"/>
    <col min="2" max="2" width="19.6640625" bestFit="1" customWidth="1"/>
    <col min="3" max="3" width="12.88671875" bestFit="1" customWidth="1"/>
    <col min="4" max="4" width="11.109375" customWidth="1"/>
    <col min="5" max="5" width="12" customWidth="1"/>
    <col min="6" max="6" width="12.6640625" customWidth="1"/>
    <col min="7" max="7" width="11.44140625" bestFit="1" customWidth="1"/>
    <col min="8" max="8" width="13.6640625" bestFit="1" customWidth="1"/>
    <col min="9" max="9" width="14.109375" bestFit="1" customWidth="1"/>
    <col min="10" max="10" width="16.33203125" customWidth="1"/>
    <col min="11" max="11" width="16.88671875" bestFit="1" customWidth="1"/>
    <col min="12" max="12" width="18.5546875" customWidth="1"/>
    <col min="13" max="13" width="15.88671875" customWidth="1"/>
    <col min="14" max="14" width="16.109375" customWidth="1"/>
    <col min="15" max="15" width="11.88671875" customWidth="1"/>
    <col min="16" max="16" width="12.44140625" customWidth="1"/>
    <col min="17" max="17" width="9.109375" customWidth="1"/>
    <col min="18" max="18" width="11" customWidth="1"/>
    <col min="19" max="19" width="12.109375" customWidth="1"/>
    <col min="20" max="21" width="12" customWidth="1"/>
    <col min="22" max="22" width="13" customWidth="1"/>
    <col min="23" max="23" width="12.88671875" customWidth="1"/>
    <col min="24" max="24" width="12.5546875" customWidth="1"/>
    <col min="25" max="25" width="13.88671875" customWidth="1"/>
    <col min="26" max="26" width="10.5546875" customWidth="1"/>
    <col min="27" max="27" width="10.6640625" customWidth="1"/>
    <col min="28" max="29" width="11.33203125" customWidth="1"/>
  </cols>
  <sheetData>
    <row r="1" spans="1:29" ht="15" x14ac:dyDescent="0.25">
      <c r="B1" s="3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  <c r="L1" s="3">
        <v>11</v>
      </c>
      <c r="M1" s="3">
        <v>12</v>
      </c>
      <c r="N1" s="3">
        <v>13</v>
      </c>
      <c r="O1" s="3">
        <v>14</v>
      </c>
      <c r="P1" s="3">
        <v>15</v>
      </c>
      <c r="Q1" s="3">
        <v>16</v>
      </c>
      <c r="R1" s="3">
        <v>17</v>
      </c>
      <c r="S1" s="3">
        <v>18</v>
      </c>
      <c r="T1" s="3">
        <v>19</v>
      </c>
      <c r="U1" s="3">
        <v>20</v>
      </c>
      <c r="V1" s="3">
        <v>21</v>
      </c>
      <c r="W1" s="3">
        <v>22</v>
      </c>
      <c r="X1" s="3">
        <v>23</v>
      </c>
      <c r="Y1" s="3">
        <v>24</v>
      </c>
      <c r="Z1" s="3">
        <v>25</v>
      </c>
      <c r="AA1" s="3">
        <v>26</v>
      </c>
      <c r="AB1" s="3">
        <v>27</v>
      </c>
      <c r="AC1" s="3">
        <v>28</v>
      </c>
    </row>
    <row r="2" spans="1:29" s="12" customFormat="1" ht="45" x14ac:dyDescent="0.25">
      <c r="A2" s="12" t="s">
        <v>11</v>
      </c>
      <c r="B2" s="12" t="s">
        <v>12</v>
      </c>
      <c r="C2" s="12" t="s">
        <v>10</v>
      </c>
      <c r="D2" s="12" t="s">
        <v>3</v>
      </c>
      <c r="E2" s="12" t="s">
        <v>25</v>
      </c>
      <c r="F2" s="12" t="s">
        <v>4</v>
      </c>
      <c r="G2" s="12" t="s">
        <v>6</v>
      </c>
      <c r="H2" s="12" t="s">
        <v>13</v>
      </c>
      <c r="I2" s="12" t="s">
        <v>14</v>
      </c>
      <c r="J2" s="12" t="s">
        <v>29</v>
      </c>
      <c r="K2" s="12" t="s">
        <v>30</v>
      </c>
      <c r="L2" s="12" t="s">
        <v>31</v>
      </c>
      <c r="M2" s="12" t="s">
        <v>27</v>
      </c>
      <c r="N2" s="12" t="s">
        <v>28</v>
      </c>
      <c r="O2" s="12" t="s">
        <v>32</v>
      </c>
      <c r="P2" s="12" t="s">
        <v>15</v>
      </c>
      <c r="Q2" s="12" t="s">
        <v>19</v>
      </c>
      <c r="R2" s="12" t="s">
        <v>20</v>
      </c>
      <c r="S2" s="12" t="s">
        <v>16</v>
      </c>
      <c r="T2" s="12" t="s">
        <v>17</v>
      </c>
      <c r="U2" s="12" t="s">
        <v>33</v>
      </c>
      <c r="V2" s="12" t="s">
        <v>34</v>
      </c>
      <c r="W2" s="12" t="s">
        <v>35</v>
      </c>
      <c r="X2" s="12" t="s">
        <v>27</v>
      </c>
      <c r="Y2" s="12" t="s">
        <v>28</v>
      </c>
      <c r="Z2" s="12" t="s">
        <v>32</v>
      </c>
      <c r="AA2" s="12" t="s">
        <v>18</v>
      </c>
      <c r="AB2" s="12" t="s">
        <v>21</v>
      </c>
      <c r="AC2" s="12" t="s">
        <v>22</v>
      </c>
    </row>
    <row r="3" spans="1:29" s="1" customFormat="1" x14ac:dyDescent="0.3">
      <c r="A3" s="53" t="s">
        <v>94</v>
      </c>
      <c r="B3" s="3" t="s">
        <v>40</v>
      </c>
      <c r="C3" s="11">
        <v>750</v>
      </c>
      <c r="F3" s="1">
        <v>1.0430999999999999</v>
      </c>
      <c r="G3" s="1">
        <v>0.56999999999999995</v>
      </c>
      <c r="H3" s="1">
        <v>23.16</v>
      </c>
      <c r="I3" s="1">
        <v>8.8999999999999999E-3</v>
      </c>
      <c r="J3" s="9">
        <v>0</v>
      </c>
      <c r="K3" s="1">
        <f>0.64-0.23</f>
        <v>0.41000000000000003</v>
      </c>
      <c r="L3" s="1">
        <f>0.0008-0.0001</f>
        <v>6.9999999999999999E-4</v>
      </c>
      <c r="M3" s="51">
        <v>0</v>
      </c>
      <c r="N3" s="1">
        <v>-2.5999999999999999E-3</v>
      </c>
      <c r="O3" s="1">
        <v>2.9999999999999997E-4</v>
      </c>
      <c r="P3" s="9">
        <v>0</v>
      </c>
      <c r="Q3" s="1">
        <v>7.1000000000000004E-3</v>
      </c>
      <c r="R3" s="9">
        <v>6.4000000000000003E-3</v>
      </c>
      <c r="S3" s="1">
        <v>26.57</v>
      </c>
      <c r="T3" s="1">
        <v>4.4999999999999997E-3</v>
      </c>
      <c r="U3" s="9">
        <v>0</v>
      </c>
      <c r="V3" s="1">
        <f>-0.27+0.64</f>
        <v>0.37</v>
      </c>
      <c r="W3" s="1">
        <f>-0.00005+0.0008</f>
        <v>7.5000000000000002E-4</v>
      </c>
      <c r="X3" s="1">
        <v>0</v>
      </c>
      <c r="Y3" s="1">
        <v>0</v>
      </c>
      <c r="Z3" s="1">
        <v>0</v>
      </c>
      <c r="AA3" s="1">
        <v>0</v>
      </c>
      <c r="AB3" s="1">
        <f>ROUND('[1]15. RTSR Rates to Forecast'!J37,4)</f>
        <v>7.3000000000000001E-3</v>
      </c>
      <c r="AC3" s="9">
        <f>ROUND('[1]15. RTSR Rates to Forecast'!J47,4)</f>
        <v>6.1999999999999998E-3</v>
      </c>
    </row>
    <row r="4" spans="1:29" s="1" customFormat="1" x14ac:dyDescent="0.3">
      <c r="A4" s="54"/>
      <c r="B4" s="3" t="s">
        <v>61</v>
      </c>
      <c r="C4" s="11">
        <v>750</v>
      </c>
      <c r="F4" s="1">
        <f>F3</f>
        <v>1.0430999999999999</v>
      </c>
      <c r="G4" s="1">
        <f t="shared" ref="G4:O4" si="0">G3</f>
        <v>0.56999999999999995</v>
      </c>
      <c r="H4" s="1">
        <f t="shared" si="0"/>
        <v>23.16</v>
      </c>
      <c r="I4" s="1">
        <f t="shared" si="0"/>
        <v>8.8999999999999999E-3</v>
      </c>
      <c r="J4" s="9">
        <f t="shared" si="0"/>
        <v>0</v>
      </c>
      <c r="K4" s="1">
        <f t="shared" si="0"/>
        <v>0.41000000000000003</v>
      </c>
      <c r="L4" s="1">
        <f t="shared" si="0"/>
        <v>6.9999999999999999E-4</v>
      </c>
      <c r="M4" s="51">
        <f t="shared" si="0"/>
        <v>0</v>
      </c>
      <c r="N4" s="1">
        <f t="shared" si="0"/>
        <v>-2.5999999999999999E-3</v>
      </c>
      <c r="O4" s="1">
        <f t="shared" si="0"/>
        <v>2.9999999999999997E-4</v>
      </c>
      <c r="P4" s="1">
        <v>3.5999999999999999E-3</v>
      </c>
      <c r="Q4" s="1">
        <v>7.1000000000000004E-3</v>
      </c>
      <c r="R4" s="9">
        <v>6.4000000000000003E-3</v>
      </c>
      <c r="S4" s="1">
        <v>26.57</v>
      </c>
      <c r="T4" s="1">
        <v>4.4999999999999997E-3</v>
      </c>
      <c r="U4" s="9">
        <v>0</v>
      </c>
      <c r="V4" s="1">
        <v>0.37</v>
      </c>
      <c r="W4" s="1">
        <v>7.5000000000000002E-4</v>
      </c>
      <c r="X4" s="1">
        <v>0</v>
      </c>
      <c r="Y4" s="1">
        <v>0</v>
      </c>
      <c r="Z4" s="1">
        <v>0</v>
      </c>
      <c r="AA4" s="1">
        <v>0</v>
      </c>
      <c r="AB4" s="1">
        <f>AB3</f>
        <v>7.3000000000000001E-3</v>
      </c>
      <c r="AC4" s="9">
        <f>AC3</f>
        <v>6.1999999999999998E-3</v>
      </c>
    </row>
    <row r="5" spans="1:29" s="1" customFormat="1" x14ac:dyDescent="0.3">
      <c r="A5" s="54"/>
      <c r="B5" s="3" t="s">
        <v>91</v>
      </c>
      <c r="C5" s="11">
        <v>2000</v>
      </c>
      <c r="F5" s="1">
        <v>1.0430999999999999</v>
      </c>
      <c r="G5" s="1">
        <v>0.56999999999999995</v>
      </c>
      <c r="H5" s="1">
        <v>25.19</v>
      </c>
      <c r="I5" s="9">
        <v>1.4500000000000001E-2</v>
      </c>
      <c r="J5" s="9">
        <v>0</v>
      </c>
      <c r="K5" s="1">
        <f>4.24-0.25</f>
        <v>3.99</v>
      </c>
      <c r="L5" s="9">
        <f>0.0007-0.0002</f>
        <v>5.0000000000000001E-4</v>
      </c>
      <c r="M5" s="51">
        <v>0</v>
      </c>
      <c r="N5" s="1">
        <v>-2.5999999999999999E-3</v>
      </c>
      <c r="O5" s="1">
        <v>2.9999999999999997E-4</v>
      </c>
      <c r="P5" s="9">
        <v>0</v>
      </c>
      <c r="Q5" s="1">
        <v>6.4000000000000003E-3</v>
      </c>
      <c r="R5" s="9">
        <v>6.0000000000000001E-3</v>
      </c>
      <c r="S5" s="1">
        <f>H5</f>
        <v>25.19</v>
      </c>
      <c r="T5" s="1">
        <f>I5</f>
        <v>1.4500000000000001E-2</v>
      </c>
      <c r="U5" s="9">
        <f t="shared" ref="U5" si="1">J5</f>
        <v>0</v>
      </c>
      <c r="V5" s="1">
        <f>K5</f>
        <v>3.99</v>
      </c>
      <c r="W5" s="1">
        <f>L5</f>
        <v>5.0000000000000001E-4</v>
      </c>
      <c r="X5" s="1">
        <v>0</v>
      </c>
      <c r="Y5" s="1">
        <v>0</v>
      </c>
      <c r="Z5" s="1">
        <v>0</v>
      </c>
      <c r="AA5" s="1">
        <v>0</v>
      </c>
      <c r="AB5" s="1">
        <f>ROUND('[1]15. RTSR Rates to Forecast'!J38,4)</f>
        <v>6.6E-3</v>
      </c>
      <c r="AC5" s="9">
        <f>ROUND('[1]15. RTSR Rates to Forecast'!J48,4)</f>
        <v>5.7999999999999996E-3</v>
      </c>
    </row>
    <row r="6" spans="1:29" s="1" customFormat="1" x14ac:dyDescent="0.3">
      <c r="A6" s="54"/>
      <c r="B6" s="3" t="s">
        <v>92</v>
      </c>
      <c r="C6" s="11">
        <v>2000</v>
      </c>
      <c r="F6" s="1">
        <v>1.0430999999999999</v>
      </c>
      <c r="G6" s="1">
        <v>0.56999999999999995</v>
      </c>
      <c r="H6" s="1">
        <f t="shared" ref="H6:O6" si="2">H5</f>
        <v>25.19</v>
      </c>
      <c r="I6" s="9">
        <f t="shared" si="2"/>
        <v>1.4500000000000001E-2</v>
      </c>
      <c r="J6" s="9">
        <f t="shared" si="2"/>
        <v>0</v>
      </c>
      <c r="K6" s="1">
        <f t="shared" si="2"/>
        <v>3.99</v>
      </c>
      <c r="L6" s="9">
        <f t="shared" si="2"/>
        <v>5.0000000000000001E-4</v>
      </c>
      <c r="M6" s="51">
        <f t="shared" si="2"/>
        <v>0</v>
      </c>
      <c r="N6" s="1">
        <f t="shared" si="2"/>
        <v>-2.5999999999999999E-3</v>
      </c>
      <c r="O6" s="1">
        <f t="shared" si="2"/>
        <v>2.9999999999999997E-4</v>
      </c>
      <c r="P6" s="1">
        <v>3.5999999999999999E-3</v>
      </c>
      <c r="Q6" s="1">
        <f t="shared" ref="Q6:W6" si="3">Q5</f>
        <v>6.4000000000000003E-3</v>
      </c>
      <c r="R6" s="9">
        <f t="shared" si="3"/>
        <v>6.0000000000000001E-3</v>
      </c>
      <c r="S6" s="1">
        <f t="shared" si="3"/>
        <v>25.19</v>
      </c>
      <c r="T6" s="1">
        <f t="shared" si="3"/>
        <v>1.4500000000000001E-2</v>
      </c>
      <c r="U6" s="9">
        <f t="shared" si="3"/>
        <v>0</v>
      </c>
      <c r="V6" s="1">
        <f t="shared" si="3"/>
        <v>3.99</v>
      </c>
      <c r="W6" s="1">
        <f t="shared" si="3"/>
        <v>5.0000000000000001E-4</v>
      </c>
      <c r="X6" s="1">
        <v>0</v>
      </c>
      <c r="Y6" s="1">
        <v>0</v>
      </c>
      <c r="Z6" s="1">
        <v>0</v>
      </c>
      <c r="AA6" s="1">
        <v>0</v>
      </c>
      <c r="AB6" s="1">
        <f>AB5</f>
        <v>6.6E-3</v>
      </c>
      <c r="AC6" s="9">
        <f>AC5</f>
        <v>5.7999999999999996E-3</v>
      </c>
    </row>
    <row r="7" spans="1:29" s="1" customFormat="1" x14ac:dyDescent="0.3">
      <c r="A7" s="54"/>
      <c r="B7" s="3" t="s">
        <v>89</v>
      </c>
      <c r="C7" s="11">
        <v>219000</v>
      </c>
      <c r="D7" s="11">
        <v>500</v>
      </c>
      <c r="E7" s="11"/>
      <c r="F7" s="1">
        <v>1.0430999999999999</v>
      </c>
      <c r="G7" s="1">
        <v>0</v>
      </c>
      <c r="H7" s="1">
        <v>139.96</v>
      </c>
      <c r="I7" s="1">
        <v>2.5777000000000001</v>
      </c>
      <c r="J7" s="9">
        <v>0</v>
      </c>
      <c r="K7" s="51">
        <v>-1.4</v>
      </c>
      <c r="L7" s="1">
        <f>-0.0258+0.3251</f>
        <v>0.29930000000000001</v>
      </c>
      <c r="M7" s="51">
        <v>0</v>
      </c>
      <c r="N7" s="1">
        <f>0.6362-1.5735</f>
        <v>-0.93729999999999991</v>
      </c>
      <c r="O7" s="1">
        <v>9.3899999999999997E-2</v>
      </c>
      <c r="P7" s="1">
        <v>3.5999999999999999E-3</v>
      </c>
      <c r="Q7" s="1">
        <v>2.7526999999999999</v>
      </c>
      <c r="R7" s="1">
        <v>2.5512000000000001</v>
      </c>
      <c r="S7" s="1">
        <f t="shared" ref="S7:W8" si="4">H7</f>
        <v>139.96</v>
      </c>
      <c r="T7" s="1">
        <f t="shared" si="4"/>
        <v>2.5777000000000001</v>
      </c>
      <c r="U7" s="9">
        <f t="shared" si="4"/>
        <v>0</v>
      </c>
      <c r="V7" s="51">
        <f t="shared" si="4"/>
        <v>-1.4</v>
      </c>
      <c r="W7" s="1">
        <f t="shared" si="4"/>
        <v>0.29930000000000001</v>
      </c>
      <c r="X7" s="1">
        <v>0</v>
      </c>
      <c r="Y7" s="1">
        <v>0</v>
      </c>
      <c r="Z7" s="1">
        <v>0</v>
      </c>
      <c r="AA7" s="1">
        <v>0</v>
      </c>
      <c r="AB7" s="1">
        <f>ROUND('[1]15. RTSR Rates to Forecast'!J39,4)</f>
        <v>2.8287</v>
      </c>
      <c r="AC7" s="1">
        <f>ROUND('[1]15. RTSR Rates to Forecast'!J49,4)</f>
        <v>2.4698000000000002</v>
      </c>
    </row>
    <row r="8" spans="1:29" s="1" customFormat="1" x14ac:dyDescent="0.3">
      <c r="A8" s="54"/>
      <c r="B8" s="3" t="s">
        <v>90</v>
      </c>
      <c r="C8" s="11">
        <v>1095000</v>
      </c>
      <c r="D8" s="11">
        <v>2500</v>
      </c>
      <c r="E8" s="11"/>
      <c r="F8" s="1">
        <v>1.0430999999999999</v>
      </c>
      <c r="G8" s="1">
        <v>0</v>
      </c>
      <c r="H8" s="1">
        <v>518.85</v>
      </c>
      <c r="I8" s="1">
        <v>2.7397999999999998</v>
      </c>
      <c r="J8" s="9">
        <v>0</v>
      </c>
      <c r="K8" s="1">
        <v>-5.19</v>
      </c>
      <c r="L8" s="1">
        <f>-0.0274+0.4795</f>
        <v>0.4521</v>
      </c>
      <c r="M8" s="51">
        <v>0</v>
      </c>
      <c r="N8" s="1">
        <v>-1.1587000000000001</v>
      </c>
      <c r="O8" s="1">
        <v>0.1021</v>
      </c>
      <c r="P8" s="1">
        <v>3.5999999999999999E-3</v>
      </c>
      <c r="Q8" s="1">
        <f>Q7</f>
        <v>2.7526999999999999</v>
      </c>
      <c r="R8" s="1">
        <f>R7</f>
        <v>2.5512000000000001</v>
      </c>
      <c r="S8" s="1">
        <f t="shared" si="4"/>
        <v>518.85</v>
      </c>
      <c r="T8" s="1">
        <f t="shared" si="4"/>
        <v>2.7397999999999998</v>
      </c>
      <c r="U8" s="9">
        <v>0</v>
      </c>
      <c r="V8" s="1">
        <f t="shared" si="4"/>
        <v>-5.19</v>
      </c>
      <c r="W8" s="1">
        <f t="shared" si="4"/>
        <v>0.4521</v>
      </c>
      <c r="X8" s="1">
        <v>0</v>
      </c>
      <c r="Y8" s="1">
        <v>0</v>
      </c>
      <c r="Z8" s="1">
        <v>0</v>
      </c>
      <c r="AA8" s="1">
        <v>0</v>
      </c>
      <c r="AB8" s="1">
        <f>ROUND('[1]15. RTSR Rates to Forecast'!J40,4)</f>
        <v>2.8287</v>
      </c>
      <c r="AC8" s="1">
        <f>ROUND('[1]15. RTSR Rates to Forecast'!J50,4)</f>
        <v>2.4698000000000002</v>
      </c>
    </row>
    <row r="9" spans="1:29" s="1" customFormat="1" x14ac:dyDescent="0.3">
      <c r="A9" s="54"/>
      <c r="B9" s="50" t="s">
        <v>23</v>
      </c>
      <c r="C9" s="11">
        <v>150</v>
      </c>
      <c r="D9" s="11"/>
      <c r="E9" s="11">
        <v>1</v>
      </c>
      <c r="F9" s="1">
        <v>1.0430999999999999</v>
      </c>
      <c r="G9" s="1">
        <v>0</v>
      </c>
      <c r="H9" s="1">
        <v>10.53</v>
      </c>
      <c r="I9" s="1">
        <v>1.2200000000000001E-2</v>
      </c>
      <c r="J9" s="9">
        <v>0</v>
      </c>
      <c r="K9" s="1">
        <v>-0.11</v>
      </c>
      <c r="L9" s="1">
        <f>-0.0001+0.0008</f>
        <v>6.9999999999999999E-4</v>
      </c>
      <c r="M9" s="51">
        <v>0</v>
      </c>
      <c r="N9" s="1">
        <v>-2.5999999999999999E-3</v>
      </c>
      <c r="O9" s="1">
        <v>2.9999999999999997E-4</v>
      </c>
      <c r="P9" s="9">
        <v>0</v>
      </c>
      <c r="Q9" s="1">
        <v>6.4000000000000003E-3</v>
      </c>
      <c r="R9" s="9">
        <v>6.0000000000000001E-3</v>
      </c>
      <c r="S9" s="1">
        <f t="shared" ref="S9:T10" si="5">H9</f>
        <v>10.53</v>
      </c>
      <c r="T9" s="1">
        <f t="shared" si="5"/>
        <v>1.2200000000000001E-2</v>
      </c>
      <c r="U9" s="9">
        <f>J9</f>
        <v>0</v>
      </c>
      <c r="V9" s="1">
        <f t="shared" ref="V9:W10" si="6">K9</f>
        <v>-0.11</v>
      </c>
      <c r="W9" s="1">
        <f t="shared" si="6"/>
        <v>6.9999999999999999E-4</v>
      </c>
      <c r="X9" s="1">
        <v>0</v>
      </c>
      <c r="Y9" s="1">
        <v>0</v>
      </c>
      <c r="Z9" s="1">
        <v>0</v>
      </c>
      <c r="AA9" s="1">
        <v>0</v>
      </c>
      <c r="AB9" s="1">
        <f>ROUND('[1]15. RTSR Rates to Forecast'!J41,4)</f>
        <v>6.6E-3</v>
      </c>
      <c r="AC9" s="1">
        <f>ROUND('[1]15. RTSR Rates to Forecast'!J51,4)</f>
        <v>5.7999999999999996E-3</v>
      </c>
    </row>
    <row r="10" spans="1:29" s="1" customFormat="1" x14ac:dyDescent="0.3">
      <c r="A10" s="54"/>
      <c r="B10" s="3" t="s">
        <v>24</v>
      </c>
      <c r="C10" s="11">
        <v>245280</v>
      </c>
      <c r="D10" s="11">
        <v>560</v>
      </c>
      <c r="E10" s="11">
        <v>4000</v>
      </c>
      <c r="F10" s="1">
        <v>1.0430999999999999</v>
      </c>
      <c r="G10" s="1">
        <v>0</v>
      </c>
      <c r="H10" s="51">
        <v>3.09</v>
      </c>
      <c r="I10" s="1">
        <v>12.4552</v>
      </c>
      <c r="J10" s="9">
        <v>0</v>
      </c>
      <c r="K10" s="1">
        <v>-0.03</v>
      </c>
      <c r="L10" s="1">
        <f>-0.1246+0.2187</f>
        <v>9.4100000000000003E-2</v>
      </c>
      <c r="M10" s="51">
        <v>0</v>
      </c>
      <c r="N10" s="9">
        <v>-0.91900000000000004</v>
      </c>
      <c r="O10" s="1">
        <v>9.1499999999999998E-2</v>
      </c>
      <c r="P10" s="9">
        <v>0</v>
      </c>
      <c r="Q10" s="1">
        <v>2.0316000000000001</v>
      </c>
      <c r="R10" s="9">
        <v>1.883</v>
      </c>
      <c r="S10" s="1">
        <f t="shared" si="5"/>
        <v>3.09</v>
      </c>
      <c r="T10" s="1">
        <f t="shared" si="5"/>
        <v>12.4552</v>
      </c>
      <c r="U10" s="9">
        <f>J10</f>
        <v>0</v>
      </c>
      <c r="V10" s="1">
        <f t="shared" si="6"/>
        <v>-0.03</v>
      </c>
      <c r="W10" s="1">
        <f t="shared" si="6"/>
        <v>9.4100000000000003E-2</v>
      </c>
      <c r="X10" s="1">
        <v>0</v>
      </c>
      <c r="Y10" s="1">
        <v>0</v>
      </c>
      <c r="Z10" s="1">
        <v>0</v>
      </c>
      <c r="AA10" s="1">
        <v>0</v>
      </c>
      <c r="AB10" s="1">
        <f>ROUND('[1]15. RTSR Rates to Forecast'!J42,4)</f>
        <v>2.0876999999999999</v>
      </c>
      <c r="AC10" s="1">
        <f>ROUND('[1]15. RTSR Rates to Forecast'!J52,4)</f>
        <v>1.8229</v>
      </c>
    </row>
  </sheetData>
  <mergeCells count="1">
    <mergeCell ref="A3:A10"/>
  </mergeCells>
  <pageMargins left="0.7" right="0.7" top="0.75" bottom="0.75" header="0.3" footer="0.3"/>
  <ignoredErrors>
    <ignoredError sqref="K5:L5 S6:W6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F26" sqref="F26:F27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3.33203125" customWidth="1"/>
    <col min="5" max="5" width="11" customWidth="1"/>
    <col min="6" max="6" width="11" style="22" customWidth="1"/>
    <col min="7" max="7" width="13.5546875" customWidth="1"/>
    <col min="8" max="8" width="12.44140625" customWidth="1"/>
    <col min="9" max="9" width="11.88671875" style="26" customWidth="1"/>
  </cols>
  <sheetData>
    <row r="1" spans="1:9" ht="15.6" x14ac:dyDescent="0.3">
      <c r="A1" s="80" t="s">
        <v>96</v>
      </c>
      <c r="B1" s="81"/>
      <c r="C1" s="81"/>
      <c r="D1" s="81"/>
      <c r="E1" s="81"/>
      <c r="F1" s="81"/>
      <c r="G1" s="81"/>
      <c r="H1" s="81"/>
      <c r="I1" s="81"/>
    </row>
    <row r="3" spans="1:9" ht="15" x14ac:dyDescent="0.25">
      <c r="A3" s="2" t="s">
        <v>12</v>
      </c>
      <c r="B3" s="10" t="s">
        <v>24</v>
      </c>
    </row>
    <row r="4" spans="1:9" ht="15" x14ac:dyDescent="0.25">
      <c r="A4" s="2" t="s">
        <v>63</v>
      </c>
      <c r="B4" s="30">
        <f>VLOOKUP($B$3,'Data-DO NOT PRINT'!$B$3:$AC$10,2,0)</f>
        <v>245280</v>
      </c>
    </row>
    <row r="5" spans="1:9" ht="15" x14ac:dyDescent="0.25">
      <c r="A5" s="2" t="s">
        <v>62</v>
      </c>
      <c r="B5" s="10">
        <f>VLOOKUP($B$3,'Data-DO NOT PRINT'!$B$3:$AC$10,3,0)</f>
        <v>560</v>
      </c>
    </row>
    <row r="6" spans="1:9" ht="15" x14ac:dyDescent="0.25">
      <c r="A6" s="2" t="s">
        <v>4</v>
      </c>
      <c r="B6" s="10">
        <f>VLOOKUP(B3,'Data-DO NOT PRINT'!B3:Y10,5,0)</f>
        <v>1.0430999999999999</v>
      </c>
    </row>
    <row r="7" spans="1:9" ht="15" x14ac:dyDescent="0.25">
      <c r="A7" s="2" t="s">
        <v>26</v>
      </c>
      <c r="B7" s="30">
        <f>B4*B6</f>
        <v>255851.56799999997</v>
      </c>
    </row>
    <row r="8" spans="1:9" ht="15" x14ac:dyDescent="0.25">
      <c r="A8" s="2"/>
      <c r="B8" s="10"/>
    </row>
    <row r="9" spans="1:9" ht="15" x14ac:dyDescent="0.25">
      <c r="B9" s="77" t="s">
        <v>36</v>
      </c>
      <c r="C9" s="77"/>
      <c r="D9" s="77"/>
      <c r="E9" s="77" t="s">
        <v>97</v>
      </c>
      <c r="F9" s="77"/>
      <c r="G9" s="77"/>
      <c r="H9" s="77" t="s">
        <v>37</v>
      </c>
      <c r="I9" s="77"/>
    </row>
    <row r="10" spans="1:9" ht="15" x14ac:dyDescent="0.25">
      <c r="A10"/>
      <c r="B10" s="10" t="s">
        <v>1</v>
      </c>
      <c r="C10" s="6" t="s">
        <v>0</v>
      </c>
      <c r="D10" s="10" t="s">
        <v>2</v>
      </c>
      <c r="E10" s="10" t="s">
        <v>1</v>
      </c>
      <c r="F10" s="6" t="s">
        <v>0</v>
      </c>
      <c r="G10" s="10" t="s">
        <v>2</v>
      </c>
      <c r="H10" s="10" t="s">
        <v>38</v>
      </c>
      <c r="I10" s="28" t="s">
        <v>39</v>
      </c>
    </row>
    <row r="11" spans="1:9" ht="15" x14ac:dyDescent="0.25">
      <c r="A11" s="2" t="s">
        <v>41</v>
      </c>
      <c r="B11" s="11">
        <f>VLOOKUP($B$3,'Data-DO NOT PRINT'!$B$3:$AC$10,4,0)</f>
        <v>4000</v>
      </c>
      <c r="C11" s="5">
        <f>VLOOKUP($B$3,'Data-DO NOT PRINT'!$B$3:$AC$10,7,0)</f>
        <v>3.09</v>
      </c>
      <c r="D11" s="5">
        <f t="shared" ref="D11:D14" si="0">B11*C11</f>
        <v>12360</v>
      </c>
      <c r="E11" s="11">
        <f t="shared" ref="E11:E14" si="1">B11</f>
        <v>4000</v>
      </c>
      <c r="F11" s="5">
        <f>VLOOKUP($B$3,'Data-DO NOT PRINT'!$B$3:$AC$10,18,0)</f>
        <v>3.09</v>
      </c>
      <c r="G11" s="5">
        <f t="shared" ref="G11:G14" si="2">E11*F11</f>
        <v>12360</v>
      </c>
      <c r="H11" s="5">
        <f t="shared" ref="H11:H14" si="3">G11-D11</f>
        <v>0</v>
      </c>
      <c r="I11" s="26">
        <f>IF(ISERROR(H11/D11), "",H11/D11)</f>
        <v>0</v>
      </c>
    </row>
    <row r="12" spans="1:9" ht="15" x14ac:dyDescent="0.25">
      <c r="A12" s="2" t="s">
        <v>42</v>
      </c>
      <c r="B12" s="11">
        <f>B5</f>
        <v>560</v>
      </c>
      <c r="C12" s="25">
        <f>VLOOKUP($B$3,'Data-DO NOT PRINT'!$B$3:$AC$10,8,0)</f>
        <v>12.4552</v>
      </c>
      <c r="D12" s="5">
        <f t="shared" si="0"/>
        <v>6974.9119999999994</v>
      </c>
      <c r="E12" s="11">
        <f t="shared" si="1"/>
        <v>560</v>
      </c>
      <c r="F12" s="25">
        <f>VLOOKUP($B$3,'Data-DO NOT PRINT'!$B$3:$AC$10,19,0)</f>
        <v>12.4552</v>
      </c>
      <c r="G12" s="5">
        <f t="shared" si="2"/>
        <v>6974.9119999999994</v>
      </c>
      <c r="H12" s="5">
        <f t="shared" si="3"/>
        <v>0</v>
      </c>
      <c r="I12" s="26">
        <f t="shared" ref="I12:I14" si="4">IF(ISERROR(H12/D12), "",H12/D12)</f>
        <v>0</v>
      </c>
    </row>
    <row r="13" spans="1:9" ht="15" x14ac:dyDescent="0.25">
      <c r="A13" s="2" t="s">
        <v>43</v>
      </c>
      <c r="B13" s="1">
        <v>1</v>
      </c>
      <c r="C13" s="5">
        <f>VLOOKUP($B$3,'Data-DO NOT PRINT'!$B$3:$AC$10,10,0)</f>
        <v>-0.03</v>
      </c>
      <c r="D13" s="5">
        <f t="shared" si="0"/>
        <v>-0.03</v>
      </c>
      <c r="E13" s="1">
        <f t="shared" si="1"/>
        <v>1</v>
      </c>
      <c r="F13" s="5">
        <f>VLOOKUP($B$3,'Data-DO NOT PRINT'!$B$3:$AC$10,21,0)</f>
        <v>-0.03</v>
      </c>
      <c r="G13" s="5">
        <f t="shared" si="2"/>
        <v>-0.03</v>
      </c>
      <c r="H13" s="5">
        <f t="shared" si="3"/>
        <v>0</v>
      </c>
      <c r="I13" s="26">
        <f t="shared" si="4"/>
        <v>0</v>
      </c>
    </row>
    <row r="14" spans="1:9" ht="15" x14ac:dyDescent="0.25">
      <c r="A14" s="2" t="s">
        <v>44</v>
      </c>
      <c r="B14" s="11">
        <f>B5</f>
        <v>560</v>
      </c>
      <c r="C14" s="25">
        <f>VLOOKUP($B$3,'Data-DO NOT PRINT'!$B$3:$AC$10,11,0)</f>
        <v>9.4100000000000003E-2</v>
      </c>
      <c r="D14" s="5">
        <f t="shared" si="0"/>
        <v>52.696000000000005</v>
      </c>
      <c r="E14" s="11">
        <f t="shared" si="1"/>
        <v>560</v>
      </c>
      <c r="F14" s="25">
        <f>VLOOKUP($B$3,'Data-DO NOT PRINT'!$B$3:$AC$10,22,0)</f>
        <v>9.4100000000000003E-2</v>
      </c>
      <c r="G14" s="5">
        <f t="shared" si="2"/>
        <v>52.696000000000005</v>
      </c>
      <c r="H14" s="5">
        <f t="shared" si="3"/>
        <v>0</v>
      </c>
      <c r="I14" s="26">
        <f t="shared" si="4"/>
        <v>0</v>
      </c>
    </row>
    <row r="15" spans="1:9" ht="15" x14ac:dyDescent="0.25">
      <c r="A15" s="18" t="s">
        <v>45</v>
      </c>
      <c r="B15" s="16"/>
      <c r="C15" s="21"/>
      <c r="D15" s="17">
        <f>SUM(D11:D14)</f>
        <v>19387.578000000001</v>
      </c>
      <c r="E15" s="15"/>
      <c r="F15" s="17"/>
      <c r="G15" s="17">
        <f>SUM(G11:G14)</f>
        <v>19387.578000000001</v>
      </c>
      <c r="H15" s="17">
        <f>G15-D15</f>
        <v>0</v>
      </c>
      <c r="I15" s="27">
        <f>H15/D15</f>
        <v>0</v>
      </c>
    </row>
    <row r="16" spans="1:9" ht="15" x14ac:dyDescent="0.25">
      <c r="A16" s="2" t="s">
        <v>98</v>
      </c>
      <c r="B16" s="1">
        <v>1</v>
      </c>
      <c r="C16" s="5">
        <f>VLOOKUP($B$3,'Data-DO NOT PRINT'!$B$3:$AC$10,12,0)</f>
        <v>0</v>
      </c>
      <c r="D16" s="5">
        <f>B16*C16</f>
        <v>0</v>
      </c>
      <c r="E16" s="1">
        <f>B16</f>
        <v>1</v>
      </c>
      <c r="F16" s="5">
        <f>VLOOKUP($B$3,'Data-DO NOT PRINT'!$B$3:$AC$10,23,0)</f>
        <v>0</v>
      </c>
      <c r="G16" s="5">
        <f>E16*F16</f>
        <v>0</v>
      </c>
      <c r="H16" s="5">
        <f t="shared" ref="H16:H29" si="5">G16-D16</f>
        <v>0</v>
      </c>
      <c r="I16" s="26" t="str">
        <f t="shared" ref="I16:I21" si="6">IF(ISERROR(H16/D16), "",H16/D16)</f>
        <v/>
      </c>
    </row>
    <row r="17" spans="1:9" ht="15" x14ac:dyDescent="0.25">
      <c r="A17" s="2" t="s">
        <v>99</v>
      </c>
      <c r="B17" s="11">
        <f>B5</f>
        <v>560</v>
      </c>
      <c r="C17" s="25">
        <f>VLOOKUP($B$3,'Data-DO NOT PRINT'!$B$3:$AC$10,13,0)</f>
        <v>-0.91900000000000004</v>
      </c>
      <c r="D17" s="5">
        <f>B17*C17</f>
        <v>-514.64</v>
      </c>
      <c r="E17" s="11">
        <f>B17</f>
        <v>560</v>
      </c>
      <c r="F17" s="25">
        <f>VLOOKUP($B$3,'Data-DO NOT PRINT'!$B$3:$AC$10,24,0)</f>
        <v>0</v>
      </c>
      <c r="G17" s="5">
        <f>E17*F17</f>
        <v>0</v>
      </c>
      <c r="H17" s="5">
        <f t="shared" si="5"/>
        <v>514.64</v>
      </c>
      <c r="I17" s="26">
        <f t="shared" si="6"/>
        <v>-1</v>
      </c>
    </row>
    <row r="18" spans="1:9" ht="15" x14ac:dyDescent="0.25">
      <c r="A18" s="4" t="s">
        <v>47</v>
      </c>
      <c r="B18" s="11">
        <f>B5</f>
        <v>560</v>
      </c>
      <c r="C18" s="25">
        <f>VLOOKUP($B$3,'Data-DO NOT PRINT'!$B$3:$AC$10,14,0)</f>
        <v>9.1499999999999998E-2</v>
      </c>
      <c r="D18" s="5">
        <f t="shared" ref="D18:D21" si="7">B18*C18</f>
        <v>51.24</v>
      </c>
      <c r="E18" s="11">
        <f t="shared" ref="E18:E21" si="8">B18</f>
        <v>560</v>
      </c>
      <c r="F18" s="25">
        <f>VLOOKUP($B$3,'Data-DO NOT PRINT'!$B$3:$AC$10,25,0)</f>
        <v>0</v>
      </c>
      <c r="G18" s="5">
        <f t="shared" ref="G18:G21" si="9">E18*F18</f>
        <v>0</v>
      </c>
      <c r="H18" s="5">
        <f t="shared" si="5"/>
        <v>-51.24</v>
      </c>
      <c r="I18" s="26">
        <f t="shared" si="6"/>
        <v>-1</v>
      </c>
    </row>
    <row r="19" spans="1:9" ht="15" x14ac:dyDescent="0.25">
      <c r="A19" s="4" t="s">
        <v>48</v>
      </c>
      <c r="B19" s="11">
        <f>B4</f>
        <v>245280</v>
      </c>
      <c r="C19" s="25">
        <f>VLOOKUP($B$3,'Data-DO NOT PRINT'!$B$3:$AC$10,15,0)</f>
        <v>0</v>
      </c>
      <c r="D19" s="5">
        <f t="shared" si="7"/>
        <v>0</v>
      </c>
      <c r="E19" s="11">
        <f>B19</f>
        <v>245280</v>
      </c>
      <c r="F19" s="25">
        <f>VLOOKUP($B$3,'Data-DO NOT PRINT'!$B$3:$AC$10,26,0)</f>
        <v>0</v>
      </c>
      <c r="G19" s="5">
        <f t="shared" si="9"/>
        <v>0</v>
      </c>
      <c r="H19" s="5">
        <f t="shared" si="5"/>
        <v>0</v>
      </c>
      <c r="I19" s="26" t="str">
        <f t="shared" si="6"/>
        <v/>
      </c>
    </row>
    <row r="20" spans="1:9" ht="15" x14ac:dyDescent="0.25">
      <c r="A20" s="4" t="s">
        <v>49</v>
      </c>
      <c r="B20" s="11">
        <f>B5</f>
        <v>560</v>
      </c>
      <c r="C20" s="25">
        <f>VLOOKUP($B$3,'Data-DO NOT PRINT'!$B$3:$AC$10,9,0)</f>
        <v>0</v>
      </c>
      <c r="D20" s="5">
        <f t="shared" si="7"/>
        <v>0</v>
      </c>
      <c r="E20" s="11">
        <f>B20</f>
        <v>560</v>
      </c>
      <c r="F20" s="25">
        <f>VLOOKUP($B$3,'Data-DO NOT PRINT'!$B$3:$AC$10,20,0)</f>
        <v>0</v>
      </c>
      <c r="G20" s="5">
        <f t="shared" si="9"/>
        <v>0</v>
      </c>
      <c r="H20" s="5">
        <f t="shared" si="5"/>
        <v>0</v>
      </c>
      <c r="I20" s="26" t="str">
        <f t="shared" si="6"/>
        <v/>
      </c>
    </row>
    <row r="21" spans="1:9" ht="15" x14ac:dyDescent="0.25">
      <c r="A21" s="2" t="s">
        <v>50</v>
      </c>
      <c r="B21" s="1">
        <v>1</v>
      </c>
      <c r="C21" s="5">
        <f>VLOOKUP($B$3,'Data-DO NOT PRINT'!$B$3:$AC$10,6,0)</f>
        <v>0</v>
      </c>
      <c r="D21" s="5">
        <f t="shared" si="7"/>
        <v>0</v>
      </c>
      <c r="E21" s="1">
        <f t="shared" si="8"/>
        <v>1</v>
      </c>
      <c r="F21" s="5">
        <f>C21</f>
        <v>0</v>
      </c>
      <c r="G21" s="5">
        <f t="shared" si="9"/>
        <v>0</v>
      </c>
      <c r="H21" s="5">
        <f t="shared" si="5"/>
        <v>0</v>
      </c>
      <c r="I21" s="26" t="str">
        <f t="shared" si="6"/>
        <v/>
      </c>
    </row>
    <row r="22" spans="1:9" ht="15" x14ac:dyDescent="0.25">
      <c r="A22" s="18" t="s">
        <v>51</v>
      </c>
      <c r="B22" s="16"/>
      <c r="C22" s="21"/>
      <c r="D22" s="17">
        <f>SUM(D15:D21)</f>
        <v>18924.178000000004</v>
      </c>
      <c r="E22" s="16"/>
      <c r="F22" s="21"/>
      <c r="G22" s="17">
        <f>SUM(G15:G21)</f>
        <v>19387.578000000001</v>
      </c>
      <c r="H22" s="17">
        <f>G22-D22</f>
        <v>463.39999999999782</v>
      </c>
      <c r="I22" s="27">
        <f>H22/D22</f>
        <v>2.4487193050075819E-2</v>
      </c>
    </row>
    <row r="23" spans="1:9" ht="15" x14ac:dyDescent="0.25">
      <c r="A23" s="2" t="s">
        <v>52</v>
      </c>
      <c r="B23" s="11">
        <f>B5</f>
        <v>560</v>
      </c>
      <c r="C23" s="25">
        <f>VLOOKUP($B$3,'Data-DO NOT PRINT'!$B$3:$AC$10,16,0)</f>
        <v>2.0316000000000001</v>
      </c>
      <c r="D23" s="5">
        <f t="shared" ref="D23:D24" si="10">B23*C23</f>
        <v>1137.6960000000001</v>
      </c>
      <c r="E23" s="11">
        <f t="shared" ref="E23:E24" si="11">B23</f>
        <v>560</v>
      </c>
      <c r="F23" s="25">
        <f>VLOOKUP($B$3,'Data-DO NOT PRINT'!$B$3:$AC$10,27,0)</f>
        <v>2.0876999999999999</v>
      </c>
      <c r="G23" s="5">
        <f t="shared" ref="G23:G24" si="12">E23*F23</f>
        <v>1169.1119999999999</v>
      </c>
      <c r="H23" s="5">
        <f t="shared" si="5"/>
        <v>31.415999999999713</v>
      </c>
      <c r="I23" s="26">
        <f t="shared" ref="I23:I24" si="13">IF(ISERROR(H23/D23), "",H23/D23)</f>
        <v>2.7613703484937725E-2</v>
      </c>
    </row>
    <row r="24" spans="1:9" ht="15" x14ac:dyDescent="0.25">
      <c r="A24" s="2" t="s">
        <v>53</v>
      </c>
      <c r="B24" s="11">
        <f>B5</f>
        <v>560</v>
      </c>
      <c r="C24" s="25">
        <f>VLOOKUP($B$3,'Data-DO NOT PRINT'!$B$3:$AC$10,17,0)</f>
        <v>1.883</v>
      </c>
      <c r="D24" s="5">
        <f t="shared" si="10"/>
        <v>1054.48</v>
      </c>
      <c r="E24" s="11">
        <f t="shared" si="11"/>
        <v>560</v>
      </c>
      <c r="F24" s="25">
        <f>VLOOKUP($B$3,'Data-DO NOT PRINT'!$B$3:$AC$10,28,0)</f>
        <v>1.8229</v>
      </c>
      <c r="G24" s="5">
        <f t="shared" si="12"/>
        <v>1020.824</v>
      </c>
      <c r="H24" s="5">
        <f t="shared" si="5"/>
        <v>-33.656000000000063</v>
      </c>
      <c r="I24" s="26">
        <f t="shared" si="13"/>
        <v>-3.1917153478491826E-2</v>
      </c>
    </row>
    <row r="25" spans="1:9" ht="15" x14ac:dyDescent="0.25">
      <c r="A25" s="18" t="s">
        <v>54</v>
      </c>
      <c r="B25" s="16"/>
      <c r="C25" s="21"/>
      <c r="D25" s="17">
        <f>SUM(D22:D24)</f>
        <v>21116.354000000003</v>
      </c>
      <c r="E25" s="16"/>
      <c r="F25" s="21"/>
      <c r="G25" s="17">
        <f>SUM(G22:G24)</f>
        <v>21577.514000000003</v>
      </c>
      <c r="H25" s="17">
        <f>G25-D25</f>
        <v>461.15999999999985</v>
      </c>
      <c r="I25" s="27">
        <f>H25/D25</f>
        <v>2.1838997395099542E-2</v>
      </c>
    </row>
    <row r="26" spans="1:9" ht="15" x14ac:dyDescent="0.25">
      <c r="A26" s="2" t="s">
        <v>55</v>
      </c>
      <c r="B26" s="11">
        <f>B7</f>
        <v>255851.56799999997</v>
      </c>
      <c r="C26" s="25">
        <v>3.3999999999999998E-3</v>
      </c>
      <c r="D26" s="5">
        <f t="shared" ref="D26:D28" si="14">B26*C26</f>
        <v>869.89533119999987</v>
      </c>
      <c r="E26" s="11">
        <f t="shared" ref="E26:E28" si="15">B26</f>
        <v>255851.56799999997</v>
      </c>
      <c r="F26" s="25">
        <v>3.3999999999999998E-3</v>
      </c>
      <c r="G26" s="5">
        <f t="shared" ref="G26:G29" si="16">E26*F26</f>
        <v>869.89533119999987</v>
      </c>
      <c r="H26" s="5">
        <f t="shared" si="5"/>
        <v>0</v>
      </c>
      <c r="I26" s="26">
        <f t="shared" ref="I26:I29" si="17">IF(ISERROR(H26/D26), "",H26/D26)</f>
        <v>0</v>
      </c>
    </row>
    <row r="27" spans="1:9" ht="15" x14ac:dyDescent="0.25">
      <c r="A27" s="2" t="s">
        <v>56</v>
      </c>
      <c r="B27" s="11">
        <f>B7</f>
        <v>255851.56799999997</v>
      </c>
      <c r="C27" s="25">
        <v>5.0000000000000001E-4</v>
      </c>
      <c r="D27" s="5">
        <f t="shared" si="14"/>
        <v>127.92578399999999</v>
      </c>
      <c r="E27" s="11">
        <f t="shared" si="15"/>
        <v>255851.56799999997</v>
      </c>
      <c r="F27" s="25">
        <v>5.0000000000000001E-4</v>
      </c>
      <c r="G27" s="5">
        <f t="shared" si="16"/>
        <v>127.92578399999999</v>
      </c>
      <c r="H27" s="5">
        <f t="shared" si="5"/>
        <v>0</v>
      </c>
      <c r="I27" s="26">
        <f t="shared" si="17"/>
        <v>0</v>
      </c>
    </row>
    <row r="28" spans="1:9" ht="15" x14ac:dyDescent="0.25">
      <c r="A28" s="2" t="s">
        <v>57</v>
      </c>
      <c r="B28" s="1">
        <v>1</v>
      </c>
      <c r="C28" s="5">
        <v>0.25</v>
      </c>
      <c r="D28" s="5">
        <f t="shared" si="14"/>
        <v>0.25</v>
      </c>
      <c r="E28" s="1">
        <f t="shared" si="15"/>
        <v>1</v>
      </c>
      <c r="F28" s="5">
        <v>0.25</v>
      </c>
      <c r="G28" s="5">
        <f t="shared" si="16"/>
        <v>0.25</v>
      </c>
      <c r="H28" s="5">
        <f t="shared" si="5"/>
        <v>0</v>
      </c>
      <c r="I28" s="26">
        <f t="shared" si="17"/>
        <v>0</v>
      </c>
    </row>
    <row r="29" spans="1:9" ht="15" x14ac:dyDescent="0.25">
      <c r="A29" s="2" t="s">
        <v>66</v>
      </c>
      <c r="B29" s="11">
        <f>IF($B$4&gt;750,750,$B$4)</f>
        <v>750</v>
      </c>
      <c r="C29" s="24">
        <v>7.6999999999999999E-2</v>
      </c>
      <c r="D29" s="5">
        <f>B29*C29</f>
        <v>57.75</v>
      </c>
      <c r="E29" s="11">
        <f>B29</f>
        <v>750</v>
      </c>
      <c r="F29" s="24">
        <f>C29</f>
        <v>7.6999999999999999E-2</v>
      </c>
      <c r="G29" s="5">
        <f t="shared" si="16"/>
        <v>57.75</v>
      </c>
      <c r="H29" s="5">
        <f t="shared" si="5"/>
        <v>0</v>
      </c>
      <c r="I29" s="26">
        <f t="shared" si="17"/>
        <v>0</v>
      </c>
    </row>
    <row r="30" spans="1:9" ht="15" x14ac:dyDescent="0.25">
      <c r="A30" s="2" t="s">
        <v>67</v>
      </c>
      <c r="B30" s="11">
        <f>IF($B$4&gt;750,$B$4-750,0)</f>
        <v>244530</v>
      </c>
      <c r="C30" s="24">
        <v>8.8999999999999996E-2</v>
      </c>
      <c r="D30" s="5">
        <f>B30*C30</f>
        <v>21763.17</v>
      </c>
      <c r="E30" s="11">
        <f>B30</f>
        <v>244530</v>
      </c>
      <c r="F30" s="24">
        <v>8.8999999999999996E-2</v>
      </c>
      <c r="G30" s="5">
        <f t="shared" ref="G30" si="18">E30*F30</f>
        <v>21763.17</v>
      </c>
      <c r="H30" s="5">
        <f t="shared" ref="H30" si="19">G30-D30</f>
        <v>0</v>
      </c>
      <c r="I30" s="26">
        <f t="shared" ref="I30" si="20">IF(ISERROR(H30/D30), "",H30/D30)</f>
        <v>0</v>
      </c>
    </row>
    <row r="31" spans="1:9" x14ac:dyDescent="0.3">
      <c r="A31" s="19"/>
      <c r="B31" s="13"/>
      <c r="C31" s="20"/>
      <c r="D31" s="20"/>
      <c r="E31" s="13"/>
      <c r="F31" s="20"/>
      <c r="G31" s="20"/>
      <c r="H31" s="20"/>
      <c r="I31" s="29"/>
    </row>
    <row r="32" spans="1:9" x14ac:dyDescent="0.3">
      <c r="A32" s="2" t="s">
        <v>58</v>
      </c>
      <c r="D32" s="6">
        <f>SUM(D25:D30)</f>
        <v>43935.345115200005</v>
      </c>
      <c r="E32" s="1"/>
      <c r="F32" s="5"/>
      <c r="G32" s="6">
        <f>SUM(G25:G30)</f>
        <v>44396.505115200001</v>
      </c>
      <c r="H32" s="6">
        <f>G32-D32</f>
        <v>461.15999999999622</v>
      </c>
      <c r="I32" s="28">
        <f t="shared" ref="I32:I34" si="21">IF(ISERROR(H32/D32), "",H32/D32)</f>
        <v>1.049633270868406E-2</v>
      </c>
    </row>
    <row r="33" spans="1:9" x14ac:dyDescent="0.3">
      <c r="A33" s="2" t="s">
        <v>5</v>
      </c>
      <c r="C33" s="7">
        <v>0.13</v>
      </c>
      <c r="D33" s="5">
        <f>C33*D32</f>
        <v>5711.5948649760012</v>
      </c>
      <c r="E33" s="1"/>
      <c r="F33" s="7">
        <v>0.13</v>
      </c>
      <c r="G33" s="5">
        <f>F33*G32</f>
        <v>5771.5456649760008</v>
      </c>
      <c r="H33" s="5">
        <f t="shared" ref="H33" si="22">G33-D33</f>
        <v>59.950799999999617</v>
      </c>
      <c r="I33" s="26">
        <f t="shared" si="21"/>
        <v>1.0496332708684077E-2</v>
      </c>
    </row>
    <row r="34" spans="1:9" x14ac:dyDescent="0.3">
      <c r="A34" s="2" t="s">
        <v>60</v>
      </c>
      <c r="D34" s="6">
        <f>SUM(D32:D33)</f>
        <v>49646.939980176008</v>
      </c>
      <c r="E34" s="1"/>
      <c r="F34" s="5"/>
      <c r="G34" s="6">
        <f>SUM(G32:G33)</f>
        <v>50168.050780176003</v>
      </c>
      <c r="H34" s="6">
        <f>G34-D34</f>
        <v>521.11079999999492</v>
      </c>
      <c r="I34" s="28">
        <f t="shared" si="21"/>
        <v>1.0496332708684043E-2</v>
      </c>
    </row>
    <row r="35" spans="1:9" x14ac:dyDescent="0.3">
      <c r="A35" s="13"/>
      <c r="B35" s="13"/>
      <c r="C35" s="20"/>
      <c r="D35" s="14"/>
      <c r="E35" s="14"/>
      <c r="F35" s="23"/>
      <c r="G35" s="14"/>
      <c r="H35" s="20"/>
      <c r="I35" s="29"/>
    </row>
  </sheetData>
  <mergeCells count="4">
    <mergeCell ref="B9:D9"/>
    <mergeCell ref="E9:G9"/>
    <mergeCell ref="H9:I9"/>
    <mergeCell ref="A1:I1"/>
  </mergeCells>
  <pageMargins left="0.25" right="0.25" top="0.75" bottom="0.75" header="0.3" footer="0.3"/>
  <pageSetup scale="85" orientation="landscape" r:id="rId1"/>
  <ignoredErrors>
    <ignoredError sqref="D15:I2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PRINT'!$B$3:$B$10</xm:f>
          </x14:formula1>
          <xm:sqref>B3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F26" sqref="F26:F27"/>
    </sheetView>
  </sheetViews>
  <sheetFormatPr defaultRowHeight="14.4" x14ac:dyDescent="0.3"/>
  <cols>
    <col min="1" max="1" width="57.44140625" style="1" bestFit="1" customWidth="1"/>
    <col min="2" max="2" width="19.6640625" style="1" customWidth="1"/>
    <col min="3" max="3" width="11" style="5" customWidth="1"/>
    <col min="4" max="4" width="12.109375" customWidth="1"/>
    <col min="5" max="5" width="11" customWidth="1"/>
    <col min="6" max="6" width="11" style="22" customWidth="1"/>
    <col min="7" max="7" width="11" customWidth="1"/>
    <col min="8" max="8" width="10.88671875" bestFit="1" customWidth="1"/>
    <col min="9" max="9" width="9.109375" style="26"/>
  </cols>
  <sheetData>
    <row r="1" spans="1:9" ht="15.6" x14ac:dyDescent="0.3">
      <c r="A1" s="80" t="s">
        <v>96</v>
      </c>
      <c r="B1" s="81"/>
      <c r="C1" s="81"/>
      <c r="D1" s="81"/>
      <c r="E1" s="81"/>
      <c r="F1" s="81"/>
      <c r="G1" s="81"/>
      <c r="H1" s="81"/>
      <c r="I1" s="81"/>
    </row>
    <row r="3" spans="1:9" ht="15" x14ac:dyDescent="0.25">
      <c r="A3" s="2" t="s">
        <v>12</v>
      </c>
      <c r="B3" s="10" t="s">
        <v>61</v>
      </c>
    </row>
    <row r="4" spans="1:9" ht="15" x14ac:dyDescent="0.25">
      <c r="A4" s="2" t="s">
        <v>63</v>
      </c>
      <c r="B4" s="10">
        <v>750</v>
      </c>
    </row>
    <row r="5" spans="1:9" ht="15" x14ac:dyDescent="0.25">
      <c r="A5" s="2" t="s">
        <v>4</v>
      </c>
      <c r="B5" s="10">
        <f>VLOOKUP(B3,'Data-DO NOT PRINT'!B3:Y10,5,0)</f>
        <v>1.0430999999999999</v>
      </c>
    </row>
    <row r="6" spans="1:9" ht="15" x14ac:dyDescent="0.25">
      <c r="A6" s="2" t="s">
        <v>65</v>
      </c>
      <c r="B6" s="10">
        <f>B4*B5</f>
        <v>782.32499999999993</v>
      </c>
    </row>
    <row r="7" spans="1:9" ht="15" x14ac:dyDescent="0.25">
      <c r="A7" s="2"/>
      <c r="B7" s="10"/>
    </row>
    <row r="8" spans="1:9" ht="15" x14ac:dyDescent="0.25">
      <c r="B8" s="77" t="s">
        <v>36</v>
      </c>
      <c r="C8" s="77"/>
      <c r="D8" s="77"/>
      <c r="E8" s="77" t="s">
        <v>97</v>
      </c>
      <c r="F8" s="77"/>
      <c r="G8" s="77"/>
      <c r="H8" s="77" t="s">
        <v>37</v>
      </c>
      <c r="I8" s="77"/>
    </row>
    <row r="9" spans="1:9" ht="15" x14ac:dyDescent="0.25">
      <c r="A9"/>
      <c r="B9" s="10" t="s">
        <v>1</v>
      </c>
      <c r="C9" s="6" t="s">
        <v>0</v>
      </c>
      <c r="D9" s="10" t="s">
        <v>2</v>
      </c>
      <c r="E9" s="10" t="s">
        <v>1</v>
      </c>
      <c r="F9" s="6" t="s">
        <v>0</v>
      </c>
      <c r="G9" s="10" t="s">
        <v>2</v>
      </c>
      <c r="H9" s="10" t="s">
        <v>38</v>
      </c>
      <c r="I9" s="28" t="s">
        <v>39</v>
      </c>
    </row>
    <row r="10" spans="1:9" ht="15" x14ac:dyDescent="0.25">
      <c r="A10" s="2" t="s">
        <v>41</v>
      </c>
      <c r="B10" s="1">
        <v>1</v>
      </c>
      <c r="C10" s="5">
        <f>VLOOKUP($B$3,'Data-DO NOT PRINT'!$B$3:$AC$10,7,0)</f>
        <v>23.16</v>
      </c>
      <c r="D10" s="5">
        <f t="shared" ref="D10:D13" si="0">B10*C10</f>
        <v>23.16</v>
      </c>
      <c r="E10" s="1">
        <f t="shared" ref="E10:E13" si="1">B10</f>
        <v>1</v>
      </c>
      <c r="F10" s="5">
        <f>VLOOKUP($B$3,'Data-DO NOT PRINT'!$B$3:$AC$10,18,0)</f>
        <v>26.57</v>
      </c>
      <c r="G10" s="5">
        <f t="shared" ref="G10:G13" si="2">E10*F10</f>
        <v>26.57</v>
      </c>
      <c r="H10" s="5">
        <f t="shared" ref="H10:H13" si="3">G10-D10</f>
        <v>3.41</v>
      </c>
      <c r="I10" s="26">
        <f>IF(ISERROR(H10/D10), "",H10/D10)</f>
        <v>0.14723661485319517</v>
      </c>
    </row>
    <row r="11" spans="1:9" ht="15" x14ac:dyDescent="0.25">
      <c r="A11" s="2" t="s">
        <v>42</v>
      </c>
      <c r="B11" s="1">
        <f>B4</f>
        <v>750</v>
      </c>
      <c r="C11" s="25">
        <f>VLOOKUP($B$3,'Data-DO NOT PRINT'!$B$3:$AC$10,8,0)</f>
        <v>8.8999999999999999E-3</v>
      </c>
      <c r="D11" s="5">
        <f t="shared" si="0"/>
        <v>6.6749999999999998</v>
      </c>
      <c r="E11" s="1">
        <f t="shared" si="1"/>
        <v>750</v>
      </c>
      <c r="F11" s="25">
        <f>VLOOKUP($B$3,'Data-DO NOT PRINT'!$B$3:$AC$10,19,0)</f>
        <v>4.4999999999999997E-3</v>
      </c>
      <c r="G11" s="5">
        <f t="shared" si="2"/>
        <v>3.3749999999999996</v>
      </c>
      <c r="H11" s="5">
        <f t="shared" si="3"/>
        <v>-3.3000000000000003</v>
      </c>
      <c r="I11" s="26">
        <f t="shared" ref="I11:I13" si="4">IF(ISERROR(H11/D11), "",H11/D11)</f>
        <v>-0.49438202247191015</v>
      </c>
    </row>
    <row r="12" spans="1:9" ht="15" x14ac:dyDescent="0.25">
      <c r="A12" s="2" t="s">
        <v>43</v>
      </c>
      <c r="B12" s="1">
        <v>1</v>
      </c>
      <c r="C12" s="5">
        <f>VLOOKUP($B$3,'Data-DO NOT PRINT'!$B$3:$AC$10,10,0)</f>
        <v>0.41000000000000003</v>
      </c>
      <c r="D12" s="5">
        <f t="shared" si="0"/>
        <v>0.41000000000000003</v>
      </c>
      <c r="E12" s="1">
        <f t="shared" si="1"/>
        <v>1</v>
      </c>
      <c r="F12" s="5">
        <f>VLOOKUP($B$3,'Data-DO NOT PRINT'!$B$3:$AC$10,21,0)</f>
        <v>0.37</v>
      </c>
      <c r="G12" s="5">
        <f t="shared" si="2"/>
        <v>0.37</v>
      </c>
      <c r="H12" s="5">
        <f t="shared" si="3"/>
        <v>-4.0000000000000036E-2</v>
      </c>
      <c r="I12" s="26">
        <f t="shared" si="4"/>
        <v>-9.756097560975617E-2</v>
      </c>
    </row>
    <row r="13" spans="1:9" ht="15" x14ac:dyDescent="0.25">
      <c r="A13" s="2" t="s">
        <v>44</v>
      </c>
      <c r="B13" s="1">
        <f>B4</f>
        <v>750</v>
      </c>
      <c r="C13" s="25">
        <f>VLOOKUP($B$3,'Data-DO NOT PRINT'!$B$3:$AC$10,11,0)</f>
        <v>6.9999999999999999E-4</v>
      </c>
      <c r="D13" s="5">
        <f t="shared" si="0"/>
        <v>0.52500000000000002</v>
      </c>
      <c r="E13" s="1">
        <f t="shared" si="1"/>
        <v>750</v>
      </c>
      <c r="F13" s="25">
        <f>VLOOKUP($B$3,'Data-DO NOT PRINT'!$B$3:$AC$10,22,0)</f>
        <v>7.5000000000000002E-4</v>
      </c>
      <c r="G13" s="5">
        <f t="shared" si="2"/>
        <v>0.5625</v>
      </c>
      <c r="H13" s="5">
        <f t="shared" si="3"/>
        <v>3.7499999999999978E-2</v>
      </c>
      <c r="I13" s="26">
        <f t="shared" si="4"/>
        <v>7.1428571428571383E-2</v>
      </c>
    </row>
    <row r="14" spans="1:9" ht="15" x14ac:dyDescent="0.25">
      <c r="A14" s="18" t="s">
        <v>45</v>
      </c>
      <c r="B14" s="16"/>
      <c r="C14" s="21"/>
      <c r="D14" s="17">
        <f>SUM(D10:D13)</f>
        <v>30.77</v>
      </c>
      <c r="E14" s="15"/>
      <c r="F14" s="17"/>
      <c r="G14" s="17">
        <f>SUM(G10:G13)</f>
        <v>30.877500000000001</v>
      </c>
      <c r="H14" s="17">
        <f>G14-D14</f>
        <v>0.10750000000000171</v>
      </c>
      <c r="I14" s="27">
        <f>H14/D14</f>
        <v>3.4936626584335948E-3</v>
      </c>
    </row>
    <row r="15" spans="1:9" ht="15" x14ac:dyDescent="0.25">
      <c r="A15" s="2" t="s">
        <v>46</v>
      </c>
      <c r="B15" s="8">
        <f>B6-B4</f>
        <v>32.324999999999932</v>
      </c>
      <c r="C15" s="24">
        <f>C29</f>
        <v>0.1101</v>
      </c>
      <c r="D15" s="5">
        <f>B15*C15</f>
        <v>3.5589824999999924</v>
      </c>
      <c r="E15" s="8">
        <f>B15</f>
        <v>32.324999999999932</v>
      </c>
      <c r="F15" s="24">
        <f>C15</f>
        <v>0.1101</v>
      </c>
      <c r="G15" s="5">
        <f>E15*F15</f>
        <v>3.5589824999999924</v>
      </c>
      <c r="H15" s="5">
        <f t="shared" ref="H15:H29" si="5">G15-D15</f>
        <v>0</v>
      </c>
      <c r="I15" s="26">
        <f t="shared" ref="I15:I21" si="6">IF(ISERROR(H15/D15), "",H15/D15)</f>
        <v>0</v>
      </c>
    </row>
    <row r="16" spans="1:9" ht="15" x14ac:dyDescent="0.25">
      <c r="A16" s="2" t="s">
        <v>98</v>
      </c>
      <c r="B16" s="1">
        <v>1</v>
      </c>
      <c r="C16" s="5">
        <f>VLOOKUP($B$3,'Data-DO NOT PRINT'!$B$3:$AC$10,12,0)</f>
        <v>0</v>
      </c>
      <c r="D16" s="5">
        <f>B16*C16</f>
        <v>0</v>
      </c>
      <c r="E16" s="1">
        <f>B16</f>
        <v>1</v>
      </c>
      <c r="F16" s="5">
        <f>VLOOKUP($B$3,'Data-DO NOT PRINT'!$B$3:$AC$10,23,0)</f>
        <v>0</v>
      </c>
      <c r="G16" s="5">
        <f>E16*F16</f>
        <v>0</v>
      </c>
      <c r="H16" s="5">
        <f t="shared" si="5"/>
        <v>0</v>
      </c>
      <c r="I16" s="26" t="str">
        <f t="shared" si="6"/>
        <v/>
      </c>
    </row>
    <row r="17" spans="1:9" ht="15" x14ac:dyDescent="0.25">
      <c r="A17" s="2" t="s">
        <v>99</v>
      </c>
      <c r="B17" s="1">
        <f>B4</f>
        <v>750</v>
      </c>
      <c r="C17" s="25">
        <f>VLOOKUP($B$3,'Data-DO NOT PRINT'!$B$3:$AC$10,13,0)</f>
        <v>-2.5999999999999999E-3</v>
      </c>
      <c r="D17" s="5">
        <f>B17*C17</f>
        <v>-1.95</v>
      </c>
      <c r="E17" s="1">
        <f>B17</f>
        <v>750</v>
      </c>
      <c r="F17" s="25">
        <f>VLOOKUP($B$3,'Data-DO NOT PRINT'!$B$3:$AC$10,24,0)</f>
        <v>0</v>
      </c>
      <c r="G17" s="5">
        <f>E17*F17</f>
        <v>0</v>
      </c>
      <c r="H17" s="5">
        <f t="shared" si="5"/>
        <v>1.95</v>
      </c>
      <c r="I17" s="26">
        <f t="shared" si="6"/>
        <v>-1</v>
      </c>
    </row>
    <row r="18" spans="1:9" ht="15" x14ac:dyDescent="0.25">
      <c r="A18" s="4" t="s">
        <v>47</v>
      </c>
      <c r="B18" s="1">
        <f>B4</f>
        <v>750</v>
      </c>
      <c r="C18" s="25">
        <f>VLOOKUP($B$3,'Data-DO NOT PRINT'!$B$3:$AC$10,14,0)</f>
        <v>2.9999999999999997E-4</v>
      </c>
      <c r="D18" s="5">
        <f t="shared" ref="D18:D21" si="7">B18*C18</f>
        <v>0.22499999999999998</v>
      </c>
      <c r="E18" s="1">
        <f t="shared" ref="E18:E21" si="8">B18</f>
        <v>750</v>
      </c>
      <c r="F18" s="25">
        <f>VLOOKUP($B$3,'Data-DO NOT PRINT'!$B$3:$AC$10,25,0)</f>
        <v>0</v>
      </c>
      <c r="G18" s="5">
        <f t="shared" ref="G18:G21" si="9">E18*F18</f>
        <v>0</v>
      </c>
      <c r="H18" s="5">
        <f t="shared" si="5"/>
        <v>-0.22499999999999998</v>
      </c>
      <c r="I18" s="26">
        <f t="shared" si="6"/>
        <v>-1</v>
      </c>
    </row>
    <row r="19" spans="1:9" ht="15" x14ac:dyDescent="0.25">
      <c r="A19" s="4" t="s">
        <v>48</v>
      </c>
      <c r="B19" s="1">
        <f>B4</f>
        <v>750</v>
      </c>
      <c r="C19" s="25">
        <f>VLOOKUP($B$3,'Data-DO NOT PRINT'!$B$3:$AC$10,15,0)</f>
        <v>3.5999999999999999E-3</v>
      </c>
      <c r="D19" s="5">
        <f t="shared" si="7"/>
        <v>2.6999999999999997</v>
      </c>
      <c r="E19" s="1">
        <f>B19</f>
        <v>750</v>
      </c>
      <c r="F19" s="25">
        <f>VLOOKUP($B$3,'Data-DO NOT PRINT'!$B$3:$AC$10,26,0)</f>
        <v>0</v>
      </c>
      <c r="G19" s="5">
        <f t="shared" si="9"/>
        <v>0</v>
      </c>
      <c r="H19" s="5">
        <f t="shared" si="5"/>
        <v>-2.6999999999999997</v>
      </c>
      <c r="I19" s="26">
        <f t="shared" si="6"/>
        <v>-1</v>
      </c>
    </row>
    <row r="20" spans="1:9" ht="15" x14ac:dyDescent="0.25">
      <c r="A20" s="4" t="s">
        <v>49</v>
      </c>
      <c r="B20" s="1">
        <f>B4</f>
        <v>750</v>
      </c>
      <c r="C20" s="25">
        <f>VLOOKUP($B$3,'Data-DO NOT PRINT'!$B$3:$AC$10,9,0)</f>
        <v>0</v>
      </c>
      <c r="D20" s="5">
        <f t="shared" si="7"/>
        <v>0</v>
      </c>
      <c r="E20" s="1">
        <f>B20</f>
        <v>750</v>
      </c>
      <c r="F20" s="25">
        <f>VLOOKUP($B$3,'Data-DO NOT PRINT'!$B$3:$AC$10,20,0)</f>
        <v>0</v>
      </c>
      <c r="G20" s="5">
        <f t="shared" si="9"/>
        <v>0</v>
      </c>
      <c r="H20" s="5">
        <f t="shared" si="5"/>
        <v>0</v>
      </c>
      <c r="I20" s="26" t="str">
        <f t="shared" si="6"/>
        <v/>
      </c>
    </row>
    <row r="21" spans="1:9" ht="15" x14ac:dyDescent="0.25">
      <c r="A21" s="2" t="s">
        <v>50</v>
      </c>
      <c r="B21" s="1">
        <v>1</v>
      </c>
      <c r="C21" s="5">
        <f>VLOOKUP($B$3,'Data-DO NOT PRINT'!$B$3:$AC$10,6,0)</f>
        <v>0.56999999999999995</v>
      </c>
      <c r="D21" s="5">
        <f t="shared" si="7"/>
        <v>0.56999999999999995</v>
      </c>
      <c r="E21" s="1">
        <f t="shared" si="8"/>
        <v>1</v>
      </c>
      <c r="F21" s="5">
        <f>C21</f>
        <v>0.56999999999999995</v>
      </c>
      <c r="G21" s="5">
        <f t="shared" si="9"/>
        <v>0.56999999999999995</v>
      </c>
      <c r="H21" s="5">
        <f t="shared" si="5"/>
        <v>0</v>
      </c>
      <c r="I21" s="26">
        <f t="shared" si="6"/>
        <v>0</v>
      </c>
    </row>
    <row r="22" spans="1:9" ht="15" x14ac:dyDescent="0.25">
      <c r="A22" s="18" t="s">
        <v>51</v>
      </c>
      <c r="B22" s="16"/>
      <c r="C22" s="21"/>
      <c r="D22" s="17">
        <f>SUM(D14:D21)</f>
        <v>35.873982499999997</v>
      </c>
      <c r="E22" s="16"/>
      <c r="F22" s="21"/>
      <c r="G22" s="17">
        <f>SUM(G14:G21)</f>
        <v>35.006482499999997</v>
      </c>
      <c r="H22" s="17">
        <f>G22-D22</f>
        <v>-0.86749999999999972</v>
      </c>
      <c r="I22" s="27">
        <f>H22/D22</f>
        <v>-2.4181870524132631E-2</v>
      </c>
    </row>
    <row r="23" spans="1:9" ht="15" x14ac:dyDescent="0.25">
      <c r="A23" s="2" t="s">
        <v>52</v>
      </c>
      <c r="B23" s="8">
        <f>B6</f>
        <v>782.32499999999993</v>
      </c>
      <c r="C23" s="25">
        <f>VLOOKUP($B$3,'Data-DO NOT PRINT'!$B$3:$AC$10,16,0)</f>
        <v>7.1000000000000004E-3</v>
      </c>
      <c r="D23" s="5">
        <f t="shared" ref="D23:D24" si="10">B23*C23</f>
        <v>5.5545074999999997</v>
      </c>
      <c r="E23" s="8">
        <f t="shared" ref="E23:E24" si="11">B23</f>
        <v>782.32499999999993</v>
      </c>
      <c r="F23" s="25">
        <f>VLOOKUP($B$3,'Data-DO NOT PRINT'!$B$3:$AC$10,27,0)</f>
        <v>7.3000000000000001E-3</v>
      </c>
      <c r="G23" s="5">
        <f t="shared" ref="G23:G24" si="12">E23*F23</f>
        <v>5.7109724999999996</v>
      </c>
      <c r="H23" s="5">
        <f t="shared" si="5"/>
        <v>0.15646499999999985</v>
      </c>
      <c r="I23" s="26">
        <f t="shared" ref="I23:I24" si="13">IF(ISERROR(H23/D23), "",H23/D23)</f>
        <v>2.8169014084507019E-2</v>
      </c>
    </row>
    <row r="24" spans="1:9" ht="15" x14ac:dyDescent="0.25">
      <c r="A24" s="2" t="s">
        <v>53</v>
      </c>
      <c r="B24" s="8">
        <f>B6</f>
        <v>782.32499999999993</v>
      </c>
      <c r="C24" s="25">
        <f>VLOOKUP($B$3,'Data-DO NOT PRINT'!$B$3:$AC$10,17,0)</f>
        <v>6.4000000000000003E-3</v>
      </c>
      <c r="D24" s="5">
        <f t="shared" si="10"/>
        <v>5.0068799999999998</v>
      </c>
      <c r="E24" s="8">
        <f t="shared" si="11"/>
        <v>782.32499999999993</v>
      </c>
      <c r="F24" s="25">
        <f>VLOOKUP($B$3,'Data-DO NOT PRINT'!$B$3:$AC$10,28,0)</f>
        <v>6.1999999999999998E-3</v>
      </c>
      <c r="G24" s="5">
        <f t="shared" si="12"/>
        <v>4.850414999999999</v>
      </c>
      <c r="H24" s="5">
        <f t="shared" si="5"/>
        <v>-0.15646500000000074</v>
      </c>
      <c r="I24" s="26">
        <f t="shared" si="13"/>
        <v>-3.1250000000000153E-2</v>
      </c>
    </row>
    <row r="25" spans="1:9" ht="15" x14ac:dyDescent="0.25">
      <c r="A25" s="18" t="s">
        <v>54</v>
      </c>
      <c r="B25" s="16"/>
      <c r="C25" s="21"/>
      <c r="D25" s="17">
        <f>SUM(D22:D24)</f>
        <v>46.435369999999999</v>
      </c>
      <c r="E25" s="16"/>
      <c r="F25" s="21"/>
      <c r="G25" s="17">
        <f>SUM(G22:G24)</f>
        <v>45.567869999999992</v>
      </c>
      <c r="H25" s="17">
        <f>G25-D25</f>
        <v>-0.86750000000000682</v>
      </c>
      <c r="I25" s="27">
        <f>H25/D25</f>
        <v>-1.8681879782588291E-2</v>
      </c>
    </row>
    <row r="26" spans="1:9" ht="15" x14ac:dyDescent="0.25">
      <c r="A26" s="2" t="s">
        <v>55</v>
      </c>
      <c r="B26" s="8">
        <f>B6</f>
        <v>782.32499999999993</v>
      </c>
      <c r="C26" s="25">
        <v>3.3999999999999998E-3</v>
      </c>
      <c r="D26" s="5">
        <f t="shared" ref="D26:D28" si="14">B26*C26</f>
        <v>2.6599049999999997</v>
      </c>
      <c r="E26" s="8">
        <f t="shared" ref="E26:E28" si="15">B26</f>
        <v>782.32499999999993</v>
      </c>
      <c r="F26" s="25">
        <v>3.3999999999999998E-3</v>
      </c>
      <c r="G26" s="5">
        <f t="shared" ref="G26:G29" si="16">E26*F26</f>
        <v>2.6599049999999997</v>
      </c>
      <c r="H26" s="5">
        <f t="shared" si="5"/>
        <v>0</v>
      </c>
      <c r="I26" s="26">
        <f t="shared" ref="I26:I29" si="17">IF(ISERROR(H26/D26), "",H26/D26)</f>
        <v>0</v>
      </c>
    </row>
    <row r="27" spans="1:9" ht="15" x14ac:dyDescent="0.25">
      <c r="A27" s="2" t="s">
        <v>56</v>
      </c>
      <c r="B27" s="8">
        <f>B6</f>
        <v>782.32499999999993</v>
      </c>
      <c r="C27" s="25">
        <v>5.0000000000000001E-4</v>
      </c>
      <c r="D27" s="5">
        <f t="shared" si="14"/>
        <v>0.39116249999999997</v>
      </c>
      <c r="E27" s="8">
        <f t="shared" si="15"/>
        <v>782.32499999999993</v>
      </c>
      <c r="F27" s="25">
        <v>5.0000000000000001E-4</v>
      </c>
      <c r="G27" s="5">
        <f t="shared" si="16"/>
        <v>0.39116249999999997</v>
      </c>
      <c r="H27" s="5">
        <f t="shared" si="5"/>
        <v>0</v>
      </c>
      <c r="I27" s="26">
        <f t="shared" si="17"/>
        <v>0</v>
      </c>
    </row>
    <row r="28" spans="1:9" ht="15" x14ac:dyDescent="0.25">
      <c r="A28" s="2" t="s">
        <v>57</v>
      </c>
      <c r="B28" s="1">
        <v>1</v>
      </c>
      <c r="C28" s="5">
        <v>0</v>
      </c>
      <c r="D28" s="5">
        <f t="shared" si="14"/>
        <v>0</v>
      </c>
      <c r="E28" s="1">
        <f t="shared" si="15"/>
        <v>1</v>
      </c>
      <c r="F28" s="5">
        <f>C28</f>
        <v>0</v>
      </c>
      <c r="G28" s="5">
        <f t="shared" si="16"/>
        <v>0</v>
      </c>
      <c r="H28" s="5">
        <f t="shared" si="5"/>
        <v>0</v>
      </c>
      <c r="I28" s="26" t="str">
        <f t="shared" si="17"/>
        <v/>
      </c>
    </row>
    <row r="29" spans="1:9" ht="15" x14ac:dyDescent="0.25">
      <c r="A29" s="2" t="s">
        <v>93</v>
      </c>
      <c r="B29" s="1">
        <f>IF($B$4&gt;1000,1000,$B$4)</f>
        <v>750</v>
      </c>
      <c r="C29" s="25">
        <v>0.1101</v>
      </c>
      <c r="D29" s="5">
        <f>B29*C29</f>
        <v>82.575000000000003</v>
      </c>
      <c r="E29" s="1">
        <f>B29</f>
        <v>750</v>
      </c>
      <c r="F29" s="25">
        <f>C29</f>
        <v>0.1101</v>
      </c>
      <c r="G29" s="5">
        <f t="shared" si="16"/>
        <v>82.575000000000003</v>
      </c>
      <c r="H29" s="5">
        <f t="shared" si="5"/>
        <v>0</v>
      </c>
      <c r="I29" s="26">
        <f t="shared" si="17"/>
        <v>0</v>
      </c>
    </row>
    <row r="30" spans="1:9" ht="15" x14ac:dyDescent="0.25">
      <c r="A30" s="19"/>
      <c r="B30" s="13"/>
      <c r="C30" s="20"/>
      <c r="D30" s="20"/>
      <c r="E30" s="13"/>
      <c r="F30" s="20"/>
      <c r="G30" s="20"/>
      <c r="H30" s="20"/>
      <c r="I30" s="29"/>
    </row>
    <row r="31" spans="1:9" x14ac:dyDescent="0.3">
      <c r="A31" s="2" t="s">
        <v>58</v>
      </c>
      <c r="D31" s="6">
        <f>SUM(D25:D29)</f>
        <v>132.06143750000001</v>
      </c>
      <c r="E31" s="1"/>
      <c r="F31" s="5"/>
      <c r="G31" s="6">
        <f>SUM(G25:G29)</f>
        <v>131.1939375</v>
      </c>
      <c r="H31" s="6">
        <f>G31-D31</f>
        <v>-0.86750000000000682</v>
      </c>
      <c r="I31" s="28">
        <f t="shared" ref="I31:I34" si="18">IF(ISERROR(H31/D31), "",H31/D31)</f>
        <v>-6.5689122912962897E-3</v>
      </c>
    </row>
    <row r="32" spans="1:9" x14ac:dyDescent="0.3">
      <c r="A32" s="2" t="s">
        <v>5</v>
      </c>
      <c r="C32" s="7">
        <v>0.13</v>
      </c>
      <c r="D32" s="5">
        <f>C32*D31</f>
        <v>17.167986875</v>
      </c>
      <c r="E32" s="1"/>
      <c r="F32" s="7">
        <v>0.13</v>
      </c>
      <c r="G32" s="5">
        <f>F32*G31</f>
        <v>17.055211875000001</v>
      </c>
      <c r="H32" s="5">
        <f t="shared" ref="H32:H33" si="19">G32-D32</f>
        <v>-0.11277499999999918</v>
      </c>
      <c r="I32" s="26">
        <f t="shared" si="18"/>
        <v>-6.5689122912961908E-3</v>
      </c>
    </row>
    <row r="33" spans="1:9" x14ac:dyDescent="0.3">
      <c r="A33" s="2" t="s">
        <v>59</v>
      </c>
      <c r="C33" s="7">
        <v>-0.08</v>
      </c>
      <c r="D33" s="5">
        <f>C33*D31</f>
        <v>-10.564915000000001</v>
      </c>
      <c r="E33" s="1"/>
      <c r="F33" s="7">
        <v>-0.08</v>
      </c>
      <c r="G33" s="5">
        <f>F33*G31</f>
        <v>-10.495515000000001</v>
      </c>
      <c r="H33" s="5">
        <f t="shared" si="19"/>
        <v>6.9399999999999906E-2</v>
      </c>
      <c r="I33" s="26">
        <f t="shared" si="18"/>
        <v>-6.568912291296229E-3</v>
      </c>
    </row>
    <row r="34" spans="1:9" x14ac:dyDescent="0.3">
      <c r="A34" s="2" t="s">
        <v>60</v>
      </c>
      <c r="D34" s="6">
        <f>SUM(D31:D33)</f>
        <v>138.66450937499999</v>
      </c>
      <c r="E34" s="1"/>
      <c r="F34" s="5"/>
      <c r="G34" s="6">
        <f>SUM(G31:G33)</f>
        <v>137.75363437499999</v>
      </c>
      <c r="H34" s="6">
        <f>G34-D34</f>
        <v>-0.91087500000000432</v>
      </c>
      <c r="I34" s="28">
        <f t="shared" si="18"/>
        <v>-6.5689122912962698E-3</v>
      </c>
    </row>
    <row r="35" spans="1:9" x14ac:dyDescent="0.3">
      <c r="A35" s="13"/>
      <c r="B35" s="13"/>
      <c r="C35" s="20"/>
      <c r="D35" s="14"/>
      <c r="E35" s="14"/>
      <c r="F35" s="23"/>
      <c r="G35" s="14"/>
      <c r="H35" s="20"/>
      <c r="I35" s="29"/>
    </row>
  </sheetData>
  <mergeCells count="4">
    <mergeCell ref="B8:D8"/>
    <mergeCell ref="E8:G8"/>
    <mergeCell ref="H8:I8"/>
    <mergeCell ref="A1:I1"/>
  </mergeCells>
  <pageMargins left="0.25" right="0.25" top="0.75" bottom="0.75" header="0.3" footer="0.3"/>
  <pageSetup scale="85" orientation="landscape" r:id="rId1"/>
  <ignoredErrors>
    <ignoredError sqref="D14:I2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PRINT'!$B$3:$B$10</xm:f>
          </x14:formula1>
          <xm:sqref>B3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G17" sqref="G17"/>
    </sheetView>
  </sheetViews>
  <sheetFormatPr defaultRowHeight="14.4" x14ac:dyDescent="0.3"/>
  <cols>
    <col min="1" max="1" width="57.44140625" style="1" bestFit="1" customWidth="1"/>
    <col min="2" max="2" width="19.6640625" style="1" customWidth="1"/>
    <col min="3" max="3" width="11" style="5" customWidth="1"/>
    <col min="4" max="4" width="12.109375" customWidth="1"/>
    <col min="5" max="5" width="11" customWidth="1"/>
    <col min="6" max="6" width="11" style="22" customWidth="1"/>
    <col min="7" max="7" width="11" customWidth="1"/>
    <col min="9" max="9" width="9.109375" style="26"/>
  </cols>
  <sheetData>
    <row r="1" spans="1:9" ht="15.6" x14ac:dyDescent="0.3">
      <c r="A1" s="80" t="s">
        <v>96</v>
      </c>
      <c r="B1" s="81"/>
      <c r="C1" s="81"/>
      <c r="D1" s="81"/>
      <c r="E1" s="81"/>
      <c r="F1" s="81"/>
      <c r="G1" s="81"/>
      <c r="H1" s="81"/>
      <c r="I1" s="81"/>
    </row>
    <row r="3" spans="1:9" ht="15" x14ac:dyDescent="0.25">
      <c r="A3" s="2" t="s">
        <v>12</v>
      </c>
      <c r="B3" s="10" t="s">
        <v>92</v>
      </c>
    </row>
    <row r="4" spans="1:9" ht="15" x14ac:dyDescent="0.25">
      <c r="A4" s="2" t="s">
        <v>63</v>
      </c>
      <c r="B4" s="30">
        <f>VLOOKUP($B$3,'Data-DO NOT PRINT'!$B$3:$AC$10,2,0)</f>
        <v>2000</v>
      </c>
    </row>
    <row r="5" spans="1:9" ht="15" x14ac:dyDescent="0.25">
      <c r="A5" s="2" t="s">
        <v>4</v>
      </c>
      <c r="B5" s="10">
        <f>VLOOKUP(B3,'Data-DO NOT PRINT'!B3:Y10,5,0)</f>
        <v>1.0430999999999999</v>
      </c>
    </row>
    <row r="6" spans="1:9" ht="15" x14ac:dyDescent="0.25">
      <c r="A6" s="2" t="s">
        <v>65</v>
      </c>
      <c r="B6" s="30">
        <f>B4*B5</f>
        <v>2086.1999999999998</v>
      </c>
    </row>
    <row r="7" spans="1:9" ht="15" x14ac:dyDescent="0.25">
      <c r="A7" s="2"/>
      <c r="B7" s="10"/>
    </row>
    <row r="8" spans="1:9" ht="15" x14ac:dyDescent="0.25">
      <c r="B8" s="77" t="s">
        <v>36</v>
      </c>
      <c r="C8" s="77"/>
      <c r="D8" s="77"/>
      <c r="E8" s="77" t="s">
        <v>97</v>
      </c>
      <c r="F8" s="77"/>
      <c r="G8" s="77"/>
      <c r="H8" s="77" t="s">
        <v>37</v>
      </c>
      <c r="I8" s="77"/>
    </row>
    <row r="9" spans="1:9" ht="15" x14ac:dyDescent="0.25">
      <c r="A9"/>
      <c r="B9" s="10" t="s">
        <v>1</v>
      </c>
      <c r="C9" s="6" t="s">
        <v>0</v>
      </c>
      <c r="D9" s="10" t="s">
        <v>2</v>
      </c>
      <c r="E9" s="10" t="s">
        <v>1</v>
      </c>
      <c r="F9" s="6" t="s">
        <v>0</v>
      </c>
      <c r="G9" s="10" t="s">
        <v>2</v>
      </c>
      <c r="H9" s="10" t="s">
        <v>38</v>
      </c>
      <c r="I9" s="28" t="s">
        <v>39</v>
      </c>
    </row>
    <row r="10" spans="1:9" ht="15" x14ac:dyDescent="0.25">
      <c r="A10" s="2" t="s">
        <v>41</v>
      </c>
      <c r="B10" s="1">
        <v>1</v>
      </c>
      <c r="C10" s="5">
        <f>VLOOKUP($B$3,'Data-DO NOT PRINT'!$B$3:$AC$10,7,0)</f>
        <v>25.19</v>
      </c>
      <c r="D10" s="5">
        <f t="shared" ref="D10:D13" si="0">B10*C10</f>
        <v>25.19</v>
      </c>
      <c r="E10" s="1">
        <f t="shared" ref="E10:E13" si="1">B10</f>
        <v>1</v>
      </c>
      <c r="F10" s="5">
        <f>VLOOKUP($B$3,'Data-DO NOT PRINT'!$B$3:$AC$10,18,0)</f>
        <v>25.19</v>
      </c>
      <c r="G10" s="5">
        <f t="shared" ref="G10:G13" si="2">E10*F10</f>
        <v>25.19</v>
      </c>
      <c r="H10" s="5">
        <f t="shared" ref="H10:H13" si="3">G10-D10</f>
        <v>0</v>
      </c>
      <c r="I10" s="26">
        <f>IF(ISERROR(H10/D10), "",H10/D10)</f>
        <v>0</v>
      </c>
    </row>
    <row r="11" spans="1:9" ht="15" x14ac:dyDescent="0.25">
      <c r="A11" s="2" t="s">
        <v>42</v>
      </c>
      <c r="B11" s="11">
        <f>B4</f>
        <v>2000</v>
      </c>
      <c r="C11" s="25">
        <f>VLOOKUP($B$3,'Data-DO NOT PRINT'!$B$3:$AC$10,8,0)</f>
        <v>1.4500000000000001E-2</v>
      </c>
      <c r="D11" s="5">
        <f t="shared" si="0"/>
        <v>29</v>
      </c>
      <c r="E11" s="11">
        <f t="shared" si="1"/>
        <v>2000</v>
      </c>
      <c r="F11" s="25">
        <f>VLOOKUP($B$3,'Data-DO NOT PRINT'!$B$3:$AC$10,19,0)</f>
        <v>1.4500000000000001E-2</v>
      </c>
      <c r="G11" s="5">
        <f t="shared" si="2"/>
        <v>29</v>
      </c>
      <c r="H11" s="5">
        <f t="shared" si="3"/>
        <v>0</v>
      </c>
      <c r="I11" s="26">
        <f t="shared" ref="I11:I13" si="4">IF(ISERROR(H11/D11), "",H11/D11)</f>
        <v>0</v>
      </c>
    </row>
    <row r="12" spans="1:9" ht="15" x14ac:dyDescent="0.25">
      <c r="A12" s="2" t="s">
        <v>43</v>
      </c>
      <c r="B12" s="1">
        <v>1</v>
      </c>
      <c r="C12" s="5">
        <f>VLOOKUP($B$3,'Data-DO NOT PRINT'!$B$3:$AC$10,10,0)</f>
        <v>3.99</v>
      </c>
      <c r="D12" s="5">
        <f t="shared" si="0"/>
        <v>3.99</v>
      </c>
      <c r="E12" s="1">
        <f t="shared" si="1"/>
        <v>1</v>
      </c>
      <c r="F12" s="5">
        <f>VLOOKUP($B$3,'Data-DO NOT PRINT'!$B$3:$AC$10,21,0)</f>
        <v>3.99</v>
      </c>
      <c r="G12" s="5">
        <f t="shared" si="2"/>
        <v>3.99</v>
      </c>
      <c r="H12" s="5">
        <f t="shared" si="3"/>
        <v>0</v>
      </c>
      <c r="I12" s="26">
        <f t="shared" si="4"/>
        <v>0</v>
      </c>
    </row>
    <row r="13" spans="1:9" ht="15" x14ac:dyDescent="0.25">
      <c r="A13" s="2" t="s">
        <v>44</v>
      </c>
      <c r="B13" s="11">
        <f>B4</f>
        <v>2000</v>
      </c>
      <c r="C13" s="25">
        <f>VLOOKUP($B$3,'Data-DO NOT PRINT'!$B$3:$AC$10,11,0)</f>
        <v>5.0000000000000001E-4</v>
      </c>
      <c r="D13" s="5">
        <f t="shared" si="0"/>
        <v>1</v>
      </c>
      <c r="E13" s="11">
        <f t="shared" si="1"/>
        <v>2000</v>
      </c>
      <c r="F13" s="25">
        <f>VLOOKUP($B$3,'Data-DO NOT PRINT'!$B$3:$AC$10,22,0)</f>
        <v>5.0000000000000001E-4</v>
      </c>
      <c r="G13" s="5">
        <f t="shared" si="2"/>
        <v>1</v>
      </c>
      <c r="H13" s="5">
        <f t="shared" si="3"/>
        <v>0</v>
      </c>
      <c r="I13" s="26">
        <f t="shared" si="4"/>
        <v>0</v>
      </c>
    </row>
    <row r="14" spans="1:9" ht="15" x14ac:dyDescent="0.25">
      <c r="A14" s="18" t="s">
        <v>45</v>
      </c>
      <c r="B14" s="16"/>
      <c r="C14" s="21"/>
      <c r="D14" s="17">
        <f>SUM(D10:D13)</f>
        <v>59.18</v>
      </c>
      <c r="E14" s="15"/>
      <c r="F14" s="17"/>
      <c r="G14" s="17">
        <f>SUM(G10:G13)</f>
        <v>59.18</v>
      </c>
      <c r="H14" s="17">
        <f>G14-D14</f>
        <v>0</v>
      </c>
      <c r="I14" s="27">
        <f>H14/D14</f>
        <v>0</v>
      </c>
    </row>
    <row r="15" spans="1:9" ht="15" x14ac:dyDescent="0.25">
      <c r="A15" s="2" t="s">
        <v>46</v>
      </c>
      <c r="B15" s="11">
        <f>B6-B4</f>
        <v>86.199999999999818</v>
      </c>
      <c r="C15" s="24">
        <f>C29</f>
        <v>0.1101</v>
      </c>
      <c r="D15" s="5">
        <f>B15*C15</f>
        <v>9.4906199999999803</v>
      </c>
      <c r="E15" s="11">
        <f>B15</f>
        <v>86.199999999999818</v>
      </c>
      <c r="F15" s="24">
        <f>C15</f>
        <v>0.1101</v>
      </c>
      <c r="G15" s="5">
        <f>E15*F15</f>
        <v>9.4906199999999803</v>
      </c>
      <c r="H15" s="5">
        <f t="shared" ref="H15:H29" si="5">G15-D15</f>
        <v>0</v>
      </c>
      <c r="I15" s="26">
        <f t="shared" ref="I15:I21" si="6">IF(ISERROR(H15/D15), "",H15/D15)</f>
        <v>0</v>
      </c>
    </row>
    <row r="16" spans="1:9" ht="15" x14ac:dyDescent="0.25">
      <c r="A16" s="2" t="s">
        <v>98</v>
      </c>
      <c r="B16" s="1">
        <v>1</v>
      </c>
      <c r="C16" s="5">
        <f>VLOOKUP($B$3,'Data-DO NOT PRINT'!$B$3:$AC$10,12,0)</f>
        <v>0</v>
      </c>
      <c r="D16" s="5">
        <f>B16*C16</f>
        <v>0</v>
      </c>
      <c r="E16" s="1">
        <f>B16</f>
        <v>1</v>
      </c>
      <c r="F16" s="5">
        <f>VLOOKUP($B$3,'Data-DO NOT PRINT'!$B$3:$AC$10,23,0)</f>
        <v>0</v>
      </c>
      <c r="G16" s="5">
        <f>E16*F16</f>
        <v>0</v>
      </c>
      <c r="H16" s="5">
        <f t="shared" si="5"/>
        <v>0</v>
      </c>
      <c r="I16" s="26" t="str">
        <f t="shared" si="6"/>
        <v/>
      </c>
    </row>
    <row r="17" spans="1:9" ht="15" x14ac:dyDescent="0.25">
      <c r="A17" s="2" t="s">
        <v>99</v>
      </c>
      <c r="B17" s="11">
        <f>B4</f>
        <v>2000</v>
      </c>
      <c r="C17" s="25">
        <f>VLOOKUP($B$3,'Data-DO NOT PRINT'!$B$3:$AC$10,13,0)</f>
        <v>-2.5999999999999999E-3</v>
      </c>
      <c r="D17" s="5">
        <f>B17*C17</f>
        <v>-5.2</v>
      </c>
      <c r="E17" s="11">
        <f>B17</f>
        <v>2000</v>
      </c>
      <c r="F17" s="25">
        <f>VLOOKUP($B$3,'Data-DO NOT PRINT'!$B$3:$AC$10,24,0)</f>
        <v>0</v>
      </c>
      <c r="G17" s="5">
        <f>E17*F17</f>
        <v>0</v>
      </c>
      <c r="H17" s="5">
        <f t="shared" si="5"/>
        <v>5.2</v>
      </c>
      <c r="I17" s="26">
        <f t="shared" si="6"/>
        <v>-1</v>
      </c>
    </row>
    <row r="18" spans="1:9" ht="15" x14ac:dyDescent="0.25">
      <c r="A18" s="4" t="s">
        <v>47</v>
      </c>
      <c r="B18" s="11">
        <f>B4</f>
        <v>2000</v>
      </c>
      <c r="C18" s="25">
        <f>VLOOKUP($B$3,'Data-DO NOT PRINT'!$B$3:$AC$10,14,0)</f>
        <v>2.9999999999999997E-4</v>
      </c>
      <c r="D18" s="5">
        <f t="shared" ref="D18:D21" si="7">B18*C18</f>
        <v>0.6</v>
      </c>
      <c r="E18" s="11">
        <f t="shared" ref="E18:E21" si="8">B18</f>
        <v>2000</v>
      </c>
      <c r="F18" s="25">
        <f>VLOOKUP($B$3,'Data-DO NOT PRINT'!$B$3:$AC$10,25,0)</f>
        <v>0</v>
      </c>
      <c r="G18" s="5">
        <f t="shared" ref="G18:G21" si="9">E18*F18</f>
        <v>0</v>
      </c>
      <c r="H18" s="5">
        <f t="shared" si="5"/>
        <v>-0.6</v>
      </c>
      <c r="I18" s="26">
        <f t="shared" si="6"/>
        <v>-1</v>
      </c>
    </row>
    <row r="19" spans="1:9" ht="15" x14ac:dyDescent="0.25">
      <c r="A19" s="4" t="s">
        <v>48</v>
      </c>
      <c r="B19" s="11">
        <f>B4</f>
        <v>2000</v>
      </c>
      <c r="C19" s="25">
        <f>VLOOKUP($B$3,'Data-DO NOT PRINT'!$B$3:$AC$10,15,0)</f>
        <v>3.5999999999999999E-3</v>
      </c>
      <c r="D19" s="5">
        <f t="shared" si="7"/>
        <v>7.2</v>
      </c>
      <c r="E19" s="11">
        <f>B19</f>
        <v>2000</v>
      </c>
      <c r="F19" s="25">
        <f>VLOOKUP($B$3,'Data-DO NOT PRINT'!$B$3:$AC$10,26,0)</f>
        <v>0</v>
      </c>
      <c r="G19" s="5">
        <f t="shared" si="9"/>
        <v>0</v>
      </c>
      <c r="H19" s="5">
        <f t="shared" si="5"/>
        <v>-7.2</v>
      </c>
      <c r="I19" s="26">
        <f t="shared" si="6"/>
        <v>-1</v>
      </c>
    </row>
    <row r="20" spans="1:9" ht="15" x14ac:dyDescent="0.25">
      <c r="A20" s="4" t="s">
        <v>49</v>
      </c>
      <c r="B20" s="11">
        <f>B4</f>
        <v>2000</v>
      </c>
      <c r="C20" s="25">
        <f>VLOOKUP($B$3,'Data-DO NOT PRINT'!$B$3:$AC$10,9,0)</f>
        <v>0</v>
      </c>
      <c r="D20" s="5">
        <f t="shared" si="7"/>
        <v>0</v>
      </c>
      <c r="E20" s="11">
        <f>B20</f>
        <v>2000</v>
      </c>
      <c r="F20" s="25">
        <f>VLOOKUP($B$3,'Data-DO NOT PRINT'!$B$3:$AC$10,20,0)</f>
        <v>0</v>
      </c>
      <c r="G20" s="5">
        <f t="shared" si="9"/>
        <v>0</v>
      </c>
      <c r="H20" s="5">
        <f t="shared" si="5"/>
        <v>0</v>
      </c>
      <c r="I20" s="26" t="str">
        <f t="shared" si="6"/>
        <v/>
      </c>
    </row>
    <row r="21" spans="1:9" ht="15" x14ac:dyDescent="0.25">
      <c r="A21" s="2" t="s">
        <v>50</v>
      </c>
      <c r="B21" s="1">
        <v>1</v>
      </c>
      <c r="C21" s="5">
        <f>VLOOKUP($B$3,'Data-DO NOT PRINT'!$B$3:$AC$10,6,0)</f>
        <v>0.56999999999999995</v>
      </c>
      <c r="D21" s="5">
        <f t="shared" si="7"/>
        <v>0.56999999999999995</v>
      </c>
      <c r="E21" s="1">
        <f t="shared" si="8"/>
        <v>1</v>
      </c>
      <c r="F21" s="5">
        <f>C21</f>
        <v>0.56999999999999995</v>
      </c>
      <c r="G21" s="5">
        <f t="shared" si="9"/>
        <v>0.56999999999999995</v>
      </c>
      <c r="H21" s="5">
        <f t="shared" si="5"/>
        <v>0</v>
      </c>
      <c r="I21" s="26">
        <f t="shared" si="6"/>
        <v>0</v>
      </c>
    </row>
    <row r="22" spans="1:9" ht="15" x14ac:dyDescent="0.25">
      <c r="A22" s="18" t="s">
        <v>51</v>
      </c>
      <c r="B22" s="16"/>
      <c r="C22" s="21"/>
      <c r="D22" s="17">
        <f>SUM(D14:D21)</f>
        <v>71.840619999999973</v>
      </c>
      <c r="E22" s="16"/>
      <c r="F22" s="21"/>
      <c r="G22" s="17">
        <f>SUM(G14:G21)</f>
        <v>69.240619999999979</v>
      </c>
      <c r="H22" s="17">
        <f>G22-D22</f>
        <v>-2.5999999999999943</v>
      </c>
      <c r="I22" s="27">
        <f>H22/D22</f>
        <v>-3.6191224407584391E-2</v>
      </c>
    </row>
    <row r="23" spans="1:9" ht="15" x14ac:dyDescent="0.25">
      <c r="A23" s="2" t="s">
        <v>52</v>
      </c>
      <c r="B23" s="11">
        <f>B6</f>
        <v>2086.1999999999998</v>
      </c>
      <c r="C23" s="25">
        <f>VLOOKUP($B$3,'Data-DO NOT PRINT'!$B$3:$AC$10,16,0)</f>
        <v>6.4000000000000003E-3</v>
      </c>
      <c r="D23" s="5">
        <f t="shared" ref="D23:D24" si="10">B23*C23</f>
        <v>13.35168</v>
      </c>
      <c r="E23" s="11">
        <f t="shared" ref="E23:E24" si="11">B23</f>
        <v>2086.1999999999998</v>
      </c>
      <c r="F23" s="25">
        <f>VLOOKUP($B$3,'Data-DO NOT PRINT'!$B$3:$AC$10,27,0)</f>
        <v>6.6E-3</v>
      </c>
      <c r="G23" s="5">
        <f t="shared" ref="G23:G24" si="12">E23*F23</f>
        <v>13.76892</v>
      </c>
      <c r="H23" s="5">
        <f t="shared" si="5"/>
        <v>0.41723999999999961</v>
      </c>
      <c r="I23" s="26">
        <f t="shared" ref="I23:I24" si="13">IF(ISERROR(H23/D23), "",H23/D23)</f>
        <v>3.1249999999999972E-2</v>
      </c>
    </row>
    <row r="24" spans="1:9" ht="15" x14ac:dyDescent="0.25">
      <c r="A24" s="2" t="s">
        <v>53</v>
      </c>
      <c r="B24" s="11">
        <f>B6</f>
        <v>2086.1999999999998</v>
      </c>
      <c r="C24" s="25">
        <f>VLOOKUP($B$3,'Data-DO NOT PRINT'!$B$3:$AC$10,17,0)</f>
        <v>6.0000000000000001E-3</v>
      </c>
      <c r="D24" s="5">
        <f t="shared" si="10"/>
        <v>12.517199999999999</v>
      </c>
      <c r="E24" s="11">
        <f t="shared" si="11"/>
        <v>2086.1999999999998</v>
      </c>
      <c r="F24" s="25">
        <f>VLOOKUP($B$3,'Data-DO NOT PRINT'!$B$3:$AC$10,28,0)</f>
        <v>5.7999999999999996E-3</v>
      </c>
      <c r="G24" s="5">
        <f t="shared" si="12"/>
        <v>12.099959999999998</v>
      </c>
      <c r="H24" s="5">
        <f t="shared" si="5"/>
        <v>-0.41724000000000139</v>
      </c>
      <c r="I24" s="26">
        <f t="shared" si="13"/>
        <v>-3.3333333333333444E-2</v>
      </c>
    </row>
    <row r="25" spans="1:9" ht="15" x14ac:dyDescent="0.25">
      <c r="A25" s="18" t="s">
        <v>54</v>
      </c>
      <c r="B25" s="16"/>
      <c r="C25" s="21"/>
      <c r="D25" s="17">
        <f>SUM(D22:D24)</f>
        <v>97.709499999999977</v>
      </c>
      <c r="E25" s="16"/>
      <c r="F25" s="21"/>
      <c r="G25" s="17">
        <f>SUM(G22:G24)</f>
        <v>95.109499999999969</v>
      </c>
      <c r="H25" s="17">
        <f>G25-D25</f>
        <v>-2.6000000000000085</v>
      </c>
      <c r="I25" s="27">
        <f>H25/D25</f>
        <v>-2.6609490377087274E-2</v>
      </c>
    </row>
    <row r="26" spans="1:9" ht="15" x14ac:dyDescent="0.25">
      <c r="A26" s="2" t="s">
        <v>55</v>
      </c>
      <c r="B26" s="11">
        <f>B6</f>
        <v>2086.1999999999998</v>
      </c>
      <c r="C26" s="25">
        <v>3.3999999999999998E-3</v>
      </c>
      <c r="D26" s="5">
        <f t="shared" ref="D26:D28" si="14">B26*C26</f>
        <v>7.0930799999999987</v>
      </c>
      <c r="E26" s="11">
        <f t="shared" ref="E26:E28" si="15">B26</f>
        <v>2086.1999999999998</v>
      </c>
      <c r="F26" s="25">
        <v>3.3999999999999998E-3</v>
      </c>
      <c r="G26" s="5">
        <f t="shared" ref="G26:G29" si="16">E26*F26</f>
        <v>7.0930799999999987</v>
      </c>
      <c r="H26" s="5">
        <f t="shared" si="5"/>
        <v>0</v>
      </c>
      <c r="I26" s="26">
        <f t="shared" ref="I26:I29" si="17">IF(ISERROR(H26/D26), "",H26/D26)</f>
        <v>0</v>
      </c>
    </row>
    <row r="27" spans="1:9" ht="15" x14ac:dyDescent="0.25">
      <c r="A27" s="2" t="s">
        <v>56</v>
      </c>
      <c r="B27" s="11">
        <f>B6</f>
        <v>2086.1999999999998</v>
      </c>
      <c r="C27" s="25">
        <v>5.0000000000000001E-4</v>
      </c>
      <c r="D27" s="5">
        <f t="shared" si="14"/>
        <v>1.0430999999999999</v>
      </c>
      <c r="E27" s="11">
        <f t="shared" si="15"/>
        <v>2086.1999999999998</v>
      </c>
      <c r="F27" s="25">
        <v>5.0000000000000001E-4</v>
      </c>
      <c r="G27" s="5">
        <f t="shared" si="16"/>
        <v>1.0430999999999999</v>
      </c>
      <c r="H27" s="5">
        <f t="shared" si="5"/>
        <v>0</v>
      </c>
      <c r="I27" s="26">
        <f t="shared" si="17"/>
        <v>0</v>
      </c>
    </row>
    <row r="28" spans="1:9" ht="15" x14ac:dyDescent="0.25">
      <c r="A28" s="2" t="s">
        <v>57</v>
      </c>
      <c r="B28" s="11">
        <v>1</v>
      </c>
      <c r="C28" s="5">
        <v>0</v>
      </c>
      <c r="D28" s="5">
        <f t="shared" si="14"/>
        <v>0</v>
      </c>
      <c r="E28" s="1">
        <f t="shared" si="15"/>
        <v>1</v>
      </c>
      <c r="F28" s="5">
        <f>C28</f>
        <v>0</v>
      </c>
      <c r="G28" s="5">
        <f t="shared" si="16"/>
        <v>0</v>
      </c>
      <c r="H28" s="5">
        <f t="shared" si="5"/>
        <v>0</v>
      </c>
      <c r="I28" s="26" t="str">
        <f t="shared" si="17"/>
        <v/>
      </c>
    </row>
    <row r="29" spans="1:9" ht="15" x14ac:dyDescent="0.25">
      <c r="A29" s="2" t="s">
        <v>93</v>
      </c>
      <c r="B29" s="11">
        <f>IF($B$4&gt;750,750,$B$4)</f>
        <v>750</v>
      </c>
      <c r="C29" s="25">
        <v>0.1101</v>
      </c>
      <c r="D29" s="5">
        <f>B29*C29</f>
        <v>82.575000000000003</v>
      </c>
      <c r="E29" s="11">
        <f>B29</f>
        <v>750</v>
      </c>
      <c r="F29" s="25">
        <f>C29</f>
        <v>0.1101</v>
      </c>
      <c r="G29" s="5">
        <f t="shared" si="16"/>
        <v>82.575000000000003</v>
      </c>
      <c r="H29" s="5">
        <f t="shared" si="5"/>
        <v>0</v>
      </c>
      <c r="I29" s="26">
        <f t="shared" si="17"/>
        <v>0</v>
      </c>
    </row>
    <row r="30" spans="1:9" ht="15" x14ac:dyDescent="0.25">
      <c r="A30" s="19"/>
      <c r="B30" s="13"/>
      <c r="C30" s="20"/>
      <c r="D30" s="20"/>
      <c r="E30" s="13"/>
      <c r="F30" s="20"/>
      <c r="G30" s="20"/>
      <c r="H30" s="20"/>
      <c r="I30" s="29"/>
    </row>
    <row r="31" spans="1:9" x14ac:dyDescent="0.3">
      <c r="A31" s="2" t="s">
        <v>58</v>
      </c>
      <c r="D31" s="6">
        <f>SUM(D25:D29)</f>
        <v>188.42067999999998</v>
      </c>
      <c r="E31" s="1"/>
      <c r="F31" s="5"/>
      <c r="G31" s="6">
        <f>SUM(G25:G29)</f>
        <v>185.82067999999998</v>
      </c>
      <c r="H31" s="6">
        <f>G31-D31</f>
        <v>-2.5999999999999943</v>
      </c>
      <c r="I31" s="28">
        <f t="shared" ref="I31:I34" si="18">IF(ISERROR(H31/D31), "",H31/D31)</f>
        <v>-1.3798909971028629E-2</v>
      </c>
    </row>
    <row r="32" spans="1:9" x14ac:dyDescent="0.3">
      <c r="A32" s="2" t="s">
        <v>5</v>
      </c>
      <c r="C32" s="7">
        <v>0.13</v>
      </c>
      <c r="D32" s="5">
        <f>C32*D31</f>
        <v>24.494688399999998</v>
      </c>
      <c r="E32" s="1"/>
      <c r="F32" s="7">
        <v>0.13</v>
      </c>
      <c r="G32" s="5">
        <f>F32*G31</f>
        <v>24.1566884</v>
      </c>
      <c r="H32" s="5">
        <f t="shared" ref="H32:H33" si="19">G32-D32</f>
        <v>-0.33799999999999741</v>
      </c>
      <c r="I32" s="26">
        <f t="shared" si="18"/>
        <v>-1.3798909971028554E-2</v>
      </c>
    </row>
    <row r="33" spans="1:9" x14ac:dyDescent="0.3">
      <c r="A33" s="2" t="s">
        <v>59</v>
      </c>
      <c r="C33" s="7">
        <v>-0.08</v>
      </c>
      <c r="D33" s="5">
        <f>C33*D31</f>
        <v>-15.073654399999999</v>
      </c>
      <c r="E33" s="1"/>
      <c r="F33" s="7">
        <v>-0.08</v>
      </c>
      <c r="G33" s="5">
        <f>F33*G31</f>
        <v>-14.865654399999999</v>
      </c>
      <c r="H33" s="5">
        <f t="shared" si="19"/>
        <v>0.20800000000000018</v>
      </c>
      <c r="I33" s="26">
        <f t="shared" si="18"/>
        <v>-1.379890997102867E-2</v>
      </c>
    </row>
    <row r="34" spans="1:9" x14ac:dyDescent="0.3">
      <c r="A34" s="2" t="s">
        <v>60</v>
      </c>
      <c r="D34" s="6">
        <f>SUM(D31:D33)</f>
        <v>197.84171399999997</v>
      </c>
      <c r="E34" s="1"/>
      <c r="F34" s="5"/>
      <c r="G34" s="6">
        <f>SUM(G31:G33)</f>
        <v>195.11171399999998</v>
      </c>
      <c r="H34" s="6">
        <f>G34-D34</f>
        <v>-2.7299999999999898</v>
      </c>
      <c r="I34" s="28">
        <f t="shared" si="18"/>
        <v>-1.3798909971028608E-2</v>
      </c>
    </row>
    <row r="35" spans="1:9" x14ac:dyDescent="0.3">
      <c r="A35" s="13"/>
      <c r="B35" s="13"/>
      <c r="C35" s="20"/>
      <c r="D35" s="14"/>
      <c r="E35" s="14"/>
      <c r="F35" s="23"/>
      <c r="G35" s="14"/>
      <c r="H35" s="20"/>
      <c r="I35" s="29"/>
    </row>
  </sheetData>
  <mergeCells count="4">
    <mergeCell ref="B8:D8"/>
    <mergeCell ref="E8:G8"/>
    <mergeCell ref="H8:I8"/>
    <mergeCell ref="A1:I1"/>
  </mergeCells>
  <pageMargins left="0.25" right="0.25" top="0.75" bottom="0.75" header="0.3" footer="0.3"/>
  <pageSetup scale="85" orientation="landscape" r:id="rId1"/>
  <ignoredErrors>
    <ignoredError sqref="D14:I2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PRINT'!$B$3:$B$10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workbookViewId="0">
      <selection activeCell="B23" sqref="B23"/>
    </sheetView>
  </sheetViews>
  <sheetFormatPr defaultRowHeight="14.4" x14ac:dyDescent="0.3"/>
  <cols>
    <col min="1" max="1" width="24.5546875" customWidth="1"/>
    <col min="2" max="2" width="38.5546875" customWidth="1"/>
    <col min="4" max="4" width="9.5546875" bestFit="1" customWidth="1"/>
    <col min="6" max="6" width="11.33203125" customWidth="1"/>
    <col min="7" max="7" width="11" customWidth="1"/>
    <col min="8" max="8" width="12.109375" customWidth="1"/>
    <col min="9" max="9" width="11.33203125" customWidth="1"/>
  </cols>
  <sheetData>
    <row r="1" spans="1:13" ht="15" x14ac:dyDescent="0.25">
      <c r="A1" s="65" t="s">
        <v>73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x14ac:dyDescent="0.3">
      <c r="A2" s="56" t="s">
        <v>74</v>
      </c>
      <c r="B2" s="57"/>
      <c r="C2" s="66" t="s">
        <v>68</v>
      </c>
      <c r="D2" s="67" t="s">
        <v>75</v>
      </c>
      <c r="E2" s="68"/>
      <c r="F2" s="71" t="s">
        <v>69</v>
      </c>
      <c r="G2" s="71"/>
      <c r="H2" s="71"/>
      <c r="I2" s="71"/>
      <c r="J2" s="71"/>
      <c r="K2" s="71"/>
      <c r="L2" s="72" t="s">
        <v>70</v>
      </c>
      <c r="M2" s="73"/>
    </row>
    <row r="3" spans="1:13" x14ac:dyDescent="0.3">
      <c r="A3" s="58"/>
      <c r="B3" s="59"/>
      <c r="C3" s="66"/>
      <c r="D3" s="69"/>
      <c r="E3" s="70"/>
      <c r="F3" s="76" t="s">
        <v>76</v>
      </c>
      <c r="G3" s="76"/>
      <c r="H3" s="76" t="s">
        <v>77</v>
      </c>
      <c r="I3" s="76"/>
      <c r="J3" s="76" t="s">
        <v>78</v>
      </c>
      <c r="K3" s="76"/>
      <c r="L3" s="74"/>
      <c r="M3" s="75"/>
    </row>
    <row r="4" spans="1:13" x14ac:dyDescent="0.3">
      <c r="A4" s="60"/>
      <c r="B4" s="61"/>
      <c r="C4" s="66"/>
      <c r="D4" s="32" t="s">
        <v>79</v>
      </c>
      <c r="E4" s="32" t="s">
        <v>80</v>
      </c>
      <c r="F4" s="33" t="s">
        <v>71</v>
      </c>
      <c r="G4" s="34" t="s">
        <v>72</v>
      </c>
      <c r="H4" s="33" t="s">
        <v>71</v>
      </c>
      <c r="I4" s="33" t="s">
        <v>72</v>
      </c>
      <c r="J4" s="33" t="s">
        <v>71</v>
      </c>
      <c r="K4" s="33" t="s">
        <v>72</v>
      </c>
      <c r="L4" s="33" t="s">
        <v>71</v>
      </c>
      <c r="M4" s="33" t="s">
        <v>72</v>
      </c>
    </row>
    <row r="5" spans="1:13" ht="15" x14ac:dyDescent="0.25">
      <c r="A5" s="62" t="s">
        <v>81</v>
      </c>
      <c r="B5" s="63"/>
      <c r="C5" s="35" t="s">
        <v>79</v>
      </c>
      <c r="D5" s="36">
        <f>Res_RPP_Low!B4</f>
        <v>285</v>
      </c>
      <c r="E5" s="37"/>
      <c r="F5" s="38">
        <f>Res_RPP_Low!$H$14</f>
        <v>2.1302500000000002</v>
      </c>
      <c r="G5" s="39">
        <f>Res_RPP_Low!$I$14</f>
        <v>8.0979624420284349E-2</v>
      </c>
      <c r="H5" s="38">
        <f>Res_RPP_Low!$H$22</f>
        <v>2.7857500000000002</v>
      </c>
      <c r="I5" s="39">
        <f>Res_RPP_Low!$I$22</f>
        <v>0.10231337053568441</v>
      </c>
      <c r="J5" s="38">
        <f>Res_RPP_Low!$H$25</f>
        <v>2.7857499999999966</v>
      </c>
      <c r="K5" s="39">
        <f>Res_RPP_Low!$I$25</f>
        <v>8.9169819542129866E-2</v>
      </c>
      <c r="L5" s="38">
        <f>Res_RPP_Low!$H$36</f>
        <v>2.925037500000002</v>
      </c>
      <c r="M5" s="39">
        <f>Res_RPP_Low!$I$36</f>
        <v>4.9729988818808961E-2</v>
      </c>
    </row>
    <row r="6" spans="1:13" ht="15" x14ac:dyDescent="0.25">
      <c r="A6" s="62" t="s">
        <v>81</v>
      </c>
      <c r="B6" s="63"/>
      <c r="C6" s="35" t="s">
        <v>79</v>
      </c>
      <c r="D6" s="36">
        <f>Res_RPP_Typical!B4</f>
        <v>750</v>
      </c>
      <c r="E6" s="37"/>
      <c r="F6" s="38">
        <f>Res_RPP_Typical!$H$14</f>
        <v>0.10750000000000171</v>
      </c>
      <c r="G6" s="39">
        <f>Res_RPP_Typical!$I$14</f>
        <v>3.4936626584335948E-3</v>
      </c>
      <c r="H6" s="38">
        <f>Res_RPP_Typical!$H$22</f>
        <v>1.8325000000000031</v>
      </c>
      <c r="I6" s="39">
        <f>Res_RPP_Typical!$I$22</f>
        <v>5.6794713848667397E-2</v>
      </c>
      <c r="J6" s="38">
        <f>Res_RPP_Typical!$H$25</f>
        <v>1.832499999999996</v>
      </c>
      <c r="K6" s="39">
        <f>Res_RPP_Typical!$I$25</f>
        <v>4.2788713355472893E-2</v>
      </c>
      <c r="L6" s="38">
        <f>Res_RPP_Typical!$H$36</f>
        <v>1.9241249999999894</v>
      </c>
      <c r="M6" s="39">
        <f>Res_RPP_Typical!$I$36</f>
        <v>1.7027459603356689E-2</v>
      </c>
    </row>
    <row r="7" spans="1:13" ht="15" x14ac:dyDescent="0.25">
      <c r="A7" s="62" t="s">
        <v>81</v>
      </c>
      <c r="B7" s="63"/>
      <c r="C7" s="35" t="s">
        <v>79</v>
      </c>
      <c r="D7" s="36">
        <f>Res_RPP_High!B4</f>
        <v>1500</v>
      </c>
      <c r="E7" s="37"/>
      <c r="F7" s="38">
        <f>Res_RPP_High!$H$14</f>
        <v>-3.154999999999994</v>
      </c>
      <c r="G7" s="39">
        <f>Res_RPP_High!$I$14</f>
        <v>-8.3091914669475769E-2</v>
      </c>
      <c r="H7" s="38">
        <f>Res_RPP_High!$H$22</f>
        <v>0.29500000000000171</v>
      </c>
      <c r="I7" s="39">
        <f>Res_RPP_High!$I$22</f>
        <v>7.3036698948186572E-3</v>
      </c>
      <c r="J7" s="38">
        <f>Res_RPP_High!$H$25</f>
        <v>0.29500000000000171</v>
      </c>
      <c r="K7" s="39">
        <f>Res_RPP_High!$I$25</f>
        <v>4.7957008281533488E-3</v>
      </c>
      <c r="L7" s="38">
        <f>Res_RPP_High!$H$36</f>
        <v>0.30975000000000819</v>
      </c>
      <c r="M7" s="39">
        <f>Res_RPP_High!$I$36</f>
        <v>1.5457119674682431E-3</v>
      </c>
    </row>
    <row r="8" spans="1:13" ht="15" x14ac:dyDescent="0.25">
      <c r="A8" s="62" t="s">
        <v>82</v>
      </c>
      <c r="B8" s="63"/>
      <c r="C8" s="35" t="s">
        <v>79</v>
      </c>
      <c r="D8" s="36">
        <f>'GS&lt;50kW_RPP'!B4</f>
        <v>2000</v>
      </c>
      <c r="E8" s="37"/>
      <c r="F8" s="38">
        <f>'GS&lt;50kW_RPP'!$H$14</f>
        <v>0</v>
      </c>
      <c r="G8" s="39">
        <f>'GS&lt;50kW_RPP'!$I$14</f>
        <v>0</v>
      </c>
      <c r="H8" s="38">
        <f>'GS&lt;50kW_RPP'!$H$22</f>
        <v>4.5999999999999943</v>
      </c>
      <c r="I8" s="39">
        <f>'GS&lt;50kW_RPP'!$I$22</f>
        <v>7.393413734886127E-2</v>
      </c>
      <c r="J8" s="38">
        <f>'GS&lt;50kW_RPP'!$H$25</f>
        <v>4.5999999999999801</v>
      </c>
      <c r="K8" s="39">
        <f>'GS&lt;50kW_RPP'!$I$25</f>
        <v>5.2221444627252075E-2</v>
      </c>
      <c r="L8" s="38">
        <f>'GS&lt;50kW_RPP'!$H$36</f>
        <v>4.8299999999999272</v>
      </c>
      <c r="M8" s="39">
        <f>'GS&lt;50kW_RPP'!$I$36</f>
        <v>1.7661563122514639E-2</v>
      </c>
    </row>
    <row r="9" spans="1:13" ht="15" x14ac:dyDescent="0.25">
      <c r="A9" s="62" t="s">
        <v>95</v>
      </c>
      <c r="B9" s="63"/>
      <c r="C9" s="40" t="s">
        <v>80</v>
      </c>
      <c r="D9" s="41">
        <f>'GS 50-999kW'!B4</f>
        <v>219000</v>
      </c>
      <c r="E9" s="42">
        <f>'GS 50-999kW'!B5</f>
        <v>500</v>
      </c>
      <c r="F9" s="43">
        <f>'GS 50-999kW'!H15</f>
        <v>0</v>
      </c>
      <c r="G9" s="44">
        <f>'GS 50-999kW'!I15</f>
        <v>0</v>
      </c>
      <c r="H9" s="43">
        <f>'GS 50-999kW'!H22</f>
        <v>-366.70000000000005</v>
      </c>
      <c r="I9" s="44">
        <f>'GS 50-999kW'!I22</f>
        <v>-0.18865497798082068</v>
      </c>
      <c r="J9" s="43">
        <f>'GS 50-999kW'!H25</f>
        <v>-369.40000000000055</v>
      </c>
      <c r="K9" s="44">
        <f>'GS 50-999kW'!I25</f>
        <v>-8.0379310269795209E-2</v>
      </c>
      <c r="L9" s="43">
        <f>'GS 50-999kW'!H33</f>
        <v>-417.42199999999866</v>
      </c>
      <c r="M9" s="44">
        <f>'GS 50-999kW'!I33</f>
        <v>-1.2056924900691733E-2</v>
      </c>
    </row>
    <row r="10" spans="1:13" ht="15" x14ac:dyDescent="0.25">
      <c r="A10" s="62" t="s">
        <v>88</v>
      </c>
      <c r="B10" s="64"/>
      <c r="C10" s="40" t="s">
        <v>80</v>
      </c>
      <c r="D10" s="41">
        <f>'GS&gt;1,000kW'!B4</f>
        <v>1095000</v>
      </c>
      <c r="E10" s="42">
        <f>'GS&gt;1,000kW'!B5</f>
        <v>2500</v>
      </c>
      <c r="F10" s="43">
        <f>'GS&gt;1,000kW'!H15</f>
        <v>0</v>
      </c>
      <c r="G10" s="44">
        <f>'GS&gt;1,000kW'!I15</f>
        <v>0</v>
      </c>
      <c r="H10" s="43">
        <f>'GS&gt;1,000kW'!H22</f>
        <v>-1300.5</v>
      </c>
      <c r="I10" s="44">
        <f>'GS&gt;1,000kW'!I22</f>
        <v>-0.13278659901918641</v>
      </c>
      <c r="J10" s="43">
        <f>'GS&gt;1,000kW'!H25</f>
        <v>-1314</v>
      </c>
      <c r="K10" s="44">
        <f>'GS&gt;1,000kW'!I25</f>
        <v>-5.6997457236725099E-2</v>
      </c>
      <c r="L10" s="43">
        <f>'GS&gt;1,000kW'!H33</f>
        <v>-1484.820000000007</v>
      </c>
      <c r="M10" s="44">
        <f>'GS&gt;1,000kW'!I33</f>
        <v>-8.5734372612271195E-3</v>
      </c>
    </row>
    <row r="11" spans="1:13" ht="15" x14ac:dyDescent="0.25">
      <c r="A11" s="62" t="s">
        <v>83</v>
      </c>
      <c r="B11" s="63"/>
      <c r="C11" s="35" t="s">
        <v>79</v>
      </c>
      <c r="D11" s="36">
        <f>USL!B4</f>
        <v>150</v>
      </c>
      <c r="E11" s="37"/>
      <c r="F11" s="38">
        <f>USL!H14</f>
        <v>0</v>
      </c>
      <c r="G11" s="39">
        <f>USL!I14</f>
        <v>0</v>
      </c>
      <c r="H11" s="38">
        <f>USL!H22</f>
        <v>0.34500000000000064</v>
      </c>
      <c r="I11" s="39">
        <f>USL!I22</f>
        <v>2.7582777313845293E-2</v>
      </c>
      <c r="J11" s="38">
        <f>USL!H25</f>
        <v>0.34500000000000064</v>
      </c>
      <c r="K11" s="39">
        <f>USL!I25</f>
        <v>2.3878785470984175E-2</v>
      </c>
      <c r="L11" s="38">
        <f>USL!H35</f>
        <v>0.36224999999999952</v>
      </c>
      <c r="M11" s="39">
        <f>USL!I35</f>
        <v>1.2845246483432248E-2</v>
      </c>
    </row>
    <row r="12" spans="1:13" ht="15" x14ac:dyDescent="0.25">
      <c r="A12" s="62" t="s">
        <v>86</v>
      </c>
      <c r="B12" s="63"/>
      <c r="C12" s="35" t="s">
        <v>80</v>
      </c>
      <c r="D12" s="36">
        <f>StLgt!B4</f>
        <v>245280</v>
      </c>
      <c r="E12" s="37">
        <f>StLgt!B5</f>
        <v>560</v>
      </c>
      <c r="F12" s="38">
        <f>StLgt!H15</f>
        <v>0</v>
      </c>
      <c r="G12" s="39">
        <f>StLgt!I15</f>
        <v>0</v>
      </c>
      <c r="H12" s="38">
        <f>StLgt!H22</f>
        <v>463.39999999999782</v>
      </c>
      <c r="I12" s="39">
        <f>StLgt!I22</f>
        <v>2.4487193050075819E-2</v>
      </c>
      <c r="J12" s="38">
        <f>StLgt!H25</f>
        <v>461.15999999999985</v>
      </c>
      <c r="K12" s="39">
        <f>StLgt!I25</f>
        <v>2.1838997395099542E-2</v>
      </c>
      <c r="L12" s="38">
        <f>StLgt!H34</f>
        <v>521.11079999999492</v>
      </c>
      <c r="M12" s="39">
        <f>StLgt!I34</f>
        <v>1.0496332708684043E-2</v>
      </c>
    </row>
    <row r="13" spans="1:13" ht="15" x14ac:dyDescent="0.25">
      <c r="A13" s="62" t="s">
        <v>84</v>
      </c>
      <c r="B13" s="63"/>
      <c r="C13" s="35" t="s">
        <v>79</v>
      </c>
      <c r="D13" s="36">
        <f>Res_NonRPP_Typical!B4</f>
        <v>750</v>
      </c>
      <c r="E13" s="37"/>
      <c r="F13" s="38">
        <f>Res_NonRPP_Typical!$H$14</f>
        <v>0.10750000000000171</v>
      </c>
      <c r="G13" s="39">
        <f>Res_NonRPP_Typical!$I$14</f>
        <v>3.4936626584335948E-3</v>
      </c>
      <c r="H13" s="38">
        <f>Res_NonRPP_Typical!$H$22</f>
        <v>-0.86749999999999972</v>
      </c>
      <c r="I13" s="39">
        <f>Res_NonRPP_Typical!$I$22</f>
        <v>-2.4181870524132631E-2</v>
      </c>
      <c r="J13" s="38">
        <f>Res_NonRPP_Typical!$H$25</f>
        <v>-0.86750000000000682</v>
      </c>
      <c r="K13" s="39">
        <f>Res_NonRPP_Typical!$I$25</f>
        <v>-1.8681879782588291E-2</v>
      </c>
      <c r="L13" s="38">
        <f>Res_NonRPP_Typical!$H$34</f>
        <v>-0.91087500000000432</v>
      </c>
      <c r="M13" s="39">
        <f>Res_NonRPP_Typical!$I$34</f>
        <v>-6.5689122912962698E-3</v>
      </c>
    </row>
    <row r="14" spans="1:13" ht="15" x14ac:dyDescent="0.25">
      <c r="A14" s="55" t="s">
        <v>85</v>
      </c>
      <c r="B14" s="55"/>
      <c r="C14" s="35" t="s">
        <v>79</v>
      </c>
      <c r="D14" s="36">
        <f>'GS&lt;50kW_NonRPP'!B4</f>
        <v>2000</v>
      </c>
      <c r="E14" s="37"/>
      <c r="F14" s="38">
        <f>'GS&lt;50kW_NonRPP'!$H$14</f>
        <v>0</v>
      </c>
      <c r="G14" s="39">
        <f>'GS&lt;50kW_NonRPP'!$I$14</f>
        <v>0</v>
      </c>
      <c r="H14" s="38">
        <f>'GS&lt;50kW_NonRPP'!$H$22</f>
        <v>-2.5999999999999943</v>
      </c>
      <c r="I14" s="39">
        <f>'GS&lt;50kW_NonRPP'!$I$22</f>
        <v>-3.6191224407584391E-2</v>
      </c>
      <c r="J14" s="38">
        <f>'GS&lt;50kW_NonRPP'!$H$25</f>
        <v>-2.6000000000000085</v>
      </c>
      <c r="K14" s="39">
        <f>'GS&lt;50kW_NonRPP'!$I$25</f>
        <v>-2.6609490377087274E-2</v>
      </c>
      <c r="L14" s="38">
        <f>'GS&lt;50kW_NonRPP'!$H$34</f>
        <v>-2.7299999999999898</v>
      </c>
      <c r="M14" s="39">
        <f>'GS&lt;50kW_NonRPP'!$I$34</f>
        <v>-1.3798909971028608E-2</v>
      </c>
    </row>
    <row r="24" spans="20:20" ht="15" x14ac:dyDescent="0.25">
      <c r="T24" t="s">
        <v>87</v>
      </c>
    </row>
  </sheetData>
  <mergeCells count="19">
    <mergeCell ref="A1:M1"/>
    <mergeCell ref="C2:C4"/>
    <mergeCell ref="D2:E3"/>
    <mergeCell ref="F2:K2"/>
    <mergeCell ref="A5:B5"/>
    <mergeCell ref="L2:M3"/>
    <mergeCell ref="F3:G3"/>
    <mergeCell ref="H3:I3"/>
    <mergeCell ref="J3:K3"/>
    <mergeCell ref="A14:B14"/>
    <mergeCell ref="A2:B4"/>
    <mergeCell ref="A11:B11"/>
    <mergeCell ref="A12:B12"/>
    <mergeCell ref="A13:B13"/>
    <mergeCell ref="A6:B6"/>
    <mergeCell ref="A7:B7"/>
    <mergeCell ref="A8:B8"/>
    <mergeCell ref="A9:B9"/>
    <mergeCell ref="A10:B10"/>
  </mergeCells>
  <pageMargins left="0.7" right="0.7" top="0.75" bottom="0.75" header="0.3" footer="0.3"/>
  <ignoredErrors>
    <ignoredError sqref="F6:M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F26" sqref="F26:F27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2.109375" customWidth="1"/>
    <col min="5" max="5" width="11" customWidth="1"/>
    <col min="6" max="6" width="11" style="22" customWidth="1"/>
    <col min="7" max="7" width="11" customWidth="1"/>
    <col min="9" max="9" width="9.109375" style="26"/>
  </cols>
  <sheetData>
    <row r="1" spans="1:9" ht="15.6" x14ac:dyDescent="0.3">
      <c r="A1" s="78" t="s">
        <v>96</v>
      </c>
      <c r="B1" s="79"/>
      <c r="C1" s="79"/>
      <c r="D1" s="79"/>
      <c r="E1" s="79"/>
      <c r="F1" s="79"/>
      <c r="G1" s="79"/>
      <c r="H1" s="79"/>
      <c r="I1" s="79"/>
    </row>
    <row r="3" spans="1:9" ht="15" x14ac:dyDescent="0.25">
      <c r="A3" s="2" t="s">
        <v>12</v>
      </c>
      <c r="B3" s="3" t="s">
        <v>40</v>
      </c>
    </row>
    <row r="4" spans="1:9" ht="15" x14ac:dyDescent="0.25">
      <c r="A4" s="2" t="s">
        <v>63</v>
      </c>
      <c r="B4" s="3">
        <v>285</v>
      </c>
    </row>
    <row r="5" spans="1:9" ht="15" x14ac:dyDescent="0.25">
      <c r="A5" s="2" t="s">
        <v>4</v>
      </c>
      <c r="B5" s="3">
        <f>VLOOKUP(B3,'Data-DO NOT PRINT'!B3:Y10,5,0)</f>
        <v>1.0430999999999999</v>
      </c>
    </row>
    <row r="6" spans="1:9" ht="15" x14ac:dyDescent="0.25">
      <c r="A6" s="2" t="s">
        <v>65</v>
      </c>
      <c r="B6" s="3">
        <f>B4*B5</f>
        <v>297.2835</v>
      </c>
    </row>
    <row r="7" spans="1:9" ht="15" x14ac:dyDescent="0.25">
      <c r="A7" s="2"/>
      <c r="B7" s="10"/>
    </row>
    <row r="8" spans="1:9" ht="15" x14ac:dyDescent="0.25">
      <c r="B8" s="77" t="s">
        <v>36</v>
      </c>
      <c r="C8" s="77"/>
      <c r="D8" s="77"/>
      <c r="E8" s="77" t="s">
        <v>97</v>
      </c>
      <c r="F8" s="77"/>
      <c r="G8" s="77"/>
      <c r="H8" s="77" t="s">
        <v>37</v>
      </c>
      <c r="I8" s="77"/>
    </row>
    <row r="9" spans="1:9" ht="15" x14ac:dyDescent="0.25">
      <c r="A9"/>
      <c r="B9" s="3" t="s">
        <v>1</v>
      </c>
      <c r="C9" s="6" t="s">
        <v>0</v>
      </c>
      <c r="D9" s="3" t="s">
        <v>2</v>
      </c>
      <c r="E9" s="3" t="s">
        <v>1</v>
      </c>
      <c r="F9" s="6" t="s">
        <v>0</v>
      </c>
      <c r="G9" s="3" t="s">
        <v>2</v>
      </c>
      <c r="H9" s="10" t="s">
        <v>38</v>
      </c>
      <c r="I9" s="28" t="s">
        <v>39</v>
      </c>
    </row>
    <row r="10" spans="1:9" ht="15" x14ac:dyDescent="0.25">
      <c r="A10" s="2" t="s">
        <v>41</v>
      </c>
      <c r="B10" s="1">
        <v>1</v>
      </c>
      <c r="C10" s="5">
        <f>VLOOKUP($B$3,'Data-DO NOT PRINT'!$B$3:$AC$10,7,0)</f>
        <v>23.16</v>
      </c>
      <c r="D10" s="5">
        <f t="shared" ref="D10:D13" si="0">B10*C10</f>
        <v>23.16</v>
      </c>
      <c r="E10" s="1">
        <f t="shared" ref="E10:E13" si="1">B10</f>
        <v>1</v>
      </c>
      <c r="F10" s="5">
        <f>VLOOKUP($B$3,'Data-DO NOT PRINT'!$B$3:$AC$10,18,0)</f>
        <v>26.57</v>
      </c>
      <c r="G10" s="5">
        <f t="shared" ref="G10:G13" si="2">E10*F10</f>
        <v>26.57</v>
      </c>
      <c r="H10" s="5">
        <f t="shared" ref="H10:H13" si="3">G10-D10</f>
        <v>3.41</v>
      </c>
      <c r="I10" s="26">
        <f>IF(ISERROR(H10/D10), "",H10/D10)</f>
        <v>0.14723661485319517</v>
      </c>
    </row>
    <row r="11" spans="1:9" ht="15" x14ac:dyDescent="0.25">
      <c r="A11" s="2" t="s">
        <v>42</v>
      </c>
      <c r="B11" s="1">
        <f>B4</f>
        <v>285</v>
      </c>
      <c r="C11" s="25">
        <f>VLOOKUP($B$3,'Data-DO NOT PRINT'!$B$3:$AC$10,8,0)</f>
        <v>8.8999999999999999E-3</v>
      </c>
      <c r="D11" s="5">
        <f t="shared" si="0"/>
        <v>2.5365000000000002</v>
      </c>
      <c r="E11" s="1">
        <f t="shared" si="1"/>
        <v>285</v>
      </c>
      <c r="F11" s="25">
        <f>VLOOKUP($B$3,'Data-DO NOT PRINT'!$B$3:$AC$10,19,0)</f>
        <v>4.4999999999999997E-3</v>
      </c>
      <c r="G11" s="5">
        <f t="shared" si="2"/>
        <v>1.2825</v>
      </c>
      <c r="H11" s="5">
        <f t="shared" si="3"/>
        <v>-1.2540000000000002</v>
      </c>
      <c r="I11" s="26">
        <f t="shared" ref="I11:I13" si="4">IF(ISERROR(H11/D11), "",H11/D11)</f>
        <v>-0.49438202247191015</v>
      </c>
    </row>
    <row r="12" spans="1:9" ht="15" x14ac:dyDescent="0.25">
      <c r="A12" s="2" t="s">
        <v>43</v>
      </c>
      <c r="B12" s="1">
        <v>1</v>
      </c>
      <c r="C12" s="5">
        <f>VLOOKUP($B$3,'Data-DO NOT PRINT'!$B$3:$AC$10,10,0)</f>
        <v>0.41000000000000003</v>
      </c>
      <c r="D12" s="5">
        <f t="shared" si="0"/>
        <v>0.41000000000000003</v>
      </c>
      <c r="E12" s="1">
        <f t="shared" si="1"/>
        <v>1</v>
      </c>
      <c r="F12" s="5">
        <f>VLOOKUP($B$3,'Data-DO NOT PRINT'!$B$3:$AC$10,21,0)</f>
        <v>0.37</v>
      </c>
      <c r="G12" s="5">
        <f t="shared" si="2"/>
        <v>0.37</v>
      </c>
      <c r="H12" s="5">
        <f t="shared" si="3"/>
        <v>-4.0000000000000036E-2</v>
      </c>
      <c r="I12" s="26">
        <f t="shared" si="4"/>
        <v>-9.756097560975617E-2</v>
      </c>
    </row>
    <row r="13" spans="1:9" ht="15" x14ac:dyDescent="0.25">
      <c r="A13" s="2" t="s">
        <v>44</v>
      </c>
      <c r="B13" s="1">
        <f>B4</f>
        <v>285</v>
      </c>
      <c r="C13" s="25">
        <f>VLOOKUP($B$3,'Data-DO NOT PRINT'!$B$3:$AC$10,11,0)</f>
        <v>6.9999999999999999E-4</v>
      </c>
      <c r="D13" s="5">
        <f t="shared" si="0"/>
        <v>0.19950000000000001</v>
      </c>
      <c r="E13" s="1">
        <f t="shared" si="1"/>
        <v>285</v>
      </c>
      <c r="F13" s="25">
        <f>VLOOKUP($B$3,'Data-DO NOT PRINT'!$B$3:$AC$10,22,0)</f>
        <v>7.5000000000000002E-4</v>
      </c>
      <c r="G13" s="5">
        <f t="shared" si="2"/>
        <v>0.21375</v>
      </c>
      <c r="H13" s="5">
        <f t="shared" si="3"/>
        <v>1.4249999999999985E-2</v>
      </c>
      <c r="I13" s="26">
        <f t="shared" si="4"/>
        <v>7.1428571428571355E-2</v>
      </c>
    </row>
    <row r="14" spans="1:9" ht="15" x14ac:dyDescent="0.25">
      <c r="A14" s="18" t="s">
        <v>45</v>
      </c>
      <c r="B14" s="16"/>
      <c r="C14" s="21"/>
      <c r="D14" s="17">
        <f>SUM(D10:D13)</f>
        <v>26.306000000000001</v>
      </c>
      <c r="E14" s="15"/>
      <c r="F14" s="17"/>
      <c r="G14" s="17">
        <f>SUM(G10:G13)</f>
        <v>28.436250000000001</v>
      </c>
      <c r="H14" s="17">
        <f>G14-D14</f>
        <v>2.1302500000000002</v>
      </c>
      <c r="I14" s="27">
        <f>H14/D14</f>
        <v>8.0979624420284349E-2</v>
      </c>
    </row>
    <row r="15" spans="1:9" ht="15" x14ac:dyDescent="0.25">
      <c r="A15" s="2" t="s">
        <v>46</v>
      </c>
      <c r="B15" s="8">
        <f>B6-B4</f>
        <v>12.283500000000004</v>
      </c>
      <c r="C15" s="24">
        <f>IF(ISNUMBER(SEARCH("_RPP",$B$3)),((0.65*C29)+(0.17*C30)+(0.18*C31)),0.1101)</f>
        <v>8.1990000000000007E-2</v>
      </c>
      <c r="D15" s="5">
        <f>B15*C15</f>
        <v>1.0071241650000005</v>
      </c>
      <c r="E15" s="8">
        <f>B15</f>
        <v>12.283500000000004</v>
      </c>
      <c r="F15" s="24">
        <f>C15</f>
        <v>8.1990000000000007E-2</v>
      </c>
      <c r="G15" s="5">
        <f>E15*F15</f>
        <v>1.0071241650000005</v>
      </c>
      <c r="H15" s="5">
        <f t="shared" ref="H15:H31" si="5">G15-D15</f>
        <v>0</v>
      </c>
      <c r="I15" s="26">
        <f t="shared" ref="I15:I21" si="6">IF(ISERROR(H15/D15), "",H15/D15)</f>
        <v>0</v>
      </c>
    </row>
    <row r="16" spans="1:9" ht="15" x14ac:dyDescent="0.25">
      <c r="A16" s="2" t="s">
        <v>98</v>
      </c>
      <c r="B16" s="1">
        <v>1</v>
      </c>
      <c r="C16" s="5">
        <f>VLOOKUP($B$3,'Data-DO NOT PRINT'!$B$3:$AC$10,12,0)</f>
        <v>0</v>
      </c>
      <c r="D16" s="5">
        <f>B16*C16</f>
        <v>0</v>
      </c>
      <c r="E16" s="1">
        <f>B16</f>
        <v>1</v>
      </c>
      <c r="F16" s="5">
        <f>VLOOKUP($B$3,'Data-DO NOT PRINT'!$B$3:$AC$10,23,0)</f>
        <v>0</v>
      </c>
      <c r="G16" s="5">
        <f>E16*F16</f>
        <v>0</v>
      </c>
      <c r="H16" s="5">
        <f t="shared" si="5"/>
        <v>0</v>
      </c>
      <c r="I16" s="26" t="str">
        <f t="shared" si="6"/>
        <v/>
      </c>
    </row>
    <row r="17" spans="1:9" ht="15" x14ac:dyDescent="0.25">
      <c r="A17" s="2" t="s">
        <v>99</v>
      </c>
      <c r="B17" s="1">
        <f>B4</f>
        <v>285</v>
      </c>
      <c r="C17" s="25">
        <f>VLOOKUP($B$3,'Data-DO NOT PRINT'!$B$3:$AC$10,13,0)</f>
        <v>-2.5999999999999999E-3</v>
      </c>
      <c r="D17" s="5">
        <f>B17*C17</f>
        <v>-0.74099999999999999</v>
      </c>
      <c r="E17" s="1">
        <f>B17</f>
        <v>285</v>
      </c>
      <c r="F17" s="25">
        <f>VLOOKUP($B$3,'Data-DO NOT PRINT'!$B$3:$AC$10,24,0)</f>
        <v>0</v>
      </c>
      <c r="G17" s="5">
        <f>E17*F17</f>
        <v>0</v>
      </c>
      <c r="H17" s="5">
        <f t="shared" si="5"/>
        <v>0.74099999999999999</v>
      </c>
      <c r="I17" s="26">
        <f t="shared" si="6"/>
        <v>-1</v>
      </c>
    </row>
    <row r="18" spans="1:9" ht="15" x14ac:dyDescent="0.25">
      <c r="A18" s="4" t="s">
        <v>47</v>
      </c>
      <c r="B18" s="1">
        <f>B4</f>
        <v>285</v>
      </c>
      <c r="C18" s="25">
        <f>VLOOKUP($B$3,'Data-DO NOT PRINT'!$B$3:$AC$10,14,0)</f>
        <v>2.9999999999999997E-4</v>
      </c>
      <c r="D18" s="5">
        <f t="shared" ref="D18:D21" si="7">B18*C18</f>
        <v>8.5499999999999993E-2</v>
      </c>
      <c r="E18" s="1">
        <f t="shared" ref="E18:E21" si="8">B18</f>
        <v>285</v>
      </c>
      <c r="F18" s="25">
        <f>VLOOKUP($B$3,'Data-DO NOT PRINT'!$B$3:$AC$10,25,0)</f>
        <v>0</v>
      </c>
      <c r="G18" s="5">
        <f t="shared" ref="G18:G21" si="9">E18*F18</f>
        <v>0</v>
      </c>
      <c r="H18" s="5">
        <f t="shared" si="5"/>
        <v>-8.5499999999999993E-2</v>
      </c>
      <c r="I18" s="26">
        <f t="shared" si="6"/>
        <v>-1</v>
      </c>
    </row>
    <row r="19" spans="1:9" ht="15" x14ac:dyDescent="0.25">
      <c r="A19" s="4" t="s">
        <v>48</v>
      </c>
      <c r="B19" s="1">
        <f>B4</f>
        <v>285</v>
      </c>
      <c r="C19" s="25">
        <f>VLOOKUP($B$3,'Data-DO NOT PRINT'!$B$3:$AC$10,15,0)</f>
        <v>0</v>
      </c>
      <c r="D19" s="5">
        <f t="shared" si="7"/>
        <v>0</v>
      </c>
      <c r="E19" s="1">
        <f>B19</f>
        <v>285</v>
      </c>
      <c r="F19" s="25">
        <f>VLOOKUP($B$3,'Data-DO NOT PRINT'!$B$3:$AC$10,26,0)</f>
        <v>0</v>
      </c>
      <c r="G19" s="5">
        <f t="shared" si="9"/>
        <v>0</v>
      </c>
      <c r="H19" s="5">
        <f t="shared" si="5"/>
        <v>0</v>
      </c>
      <c r="I19" s="26" t="str">
        <f t="shared" si="6"/>
        <v/>
      </c>
    </row>
    <row r="20" spans="1:9" ht="15" x14ac:dyDescent="0.25">
      <c r="A20" s="4" t="s">
        <v>49</v>
      </c>
      <c r="B20" s="1">
        <f>B4</f>
        <v>285</v>
      </c>
      <c r="C20" s="25">
        <f>VLOOKUP($B$3,'Data-DO NOT PRINT'!$B$3:$AC$10,9,0)</f>
        <v>0</v>
      </c>
      <c r="D20" s="5">
        <f t="shared" si="7"/>
        <v>0</v>
      </c>
      <c r="E20" s="1">
        <f>B20</f>
        <v>285</v>
      </c>
      <c r="F20" s="25">
        <f>VLOOKUP($B$3,'Data-DO NOT PRINT'!$B$3:$AC$10,20,0)</f>
        <v>0</v>
      </c>
      <c r="G20" s="5">
        <f t="shared" si="9"/>
        <v>0</v>
      </c>
      <c r="H20" s="5">
        <f t="shared" si="5"/>
        <v>0</v>
      </c>
      <c r="I20" s="26" t="str">
        <f t="shared" si="6"/>
        <v/>
      </c>
    </row>
    <row r="21" spans="1:9" ht="15" x14ac:dyDescent="0.25">
      <c r="A21" s="2" t="s">
        <v>50</v>
      </c>
      <c r="B21" s="1">
        <v>1</v>
      </c>
      <c r="C21" s="5">
        <f>VLOOKUP($B$3,'Data-DO NOT PRINT'!$B$3:$AC$10,6,0)</f>
        <v>0.56999999999999995</v>
      </c>
      <c r="D21" s="5">
        <f t="shared" si="7"/>
        <v>0.56999999999999995</v>
      </c>
      <c r="E21" s="1">
        <f t="shared" si="8"/>
        <v>1</v>
      </c>
      <c r="F21" s="5">
        <f>C21</f>
        <v>0.56999999999999995</v>
      </c>
      <c r="G21" s="5">
        <f t="shared" si="9"/>
        <v>0.56999999999999995</v>
      </c>
      <c r="H21" s="5">
        <f t="shared" si="5"/>
        <v>0</v>
      </c>
      <c r="I21" s="26">
        <f t="shared" si="6"/>
        <v>0</v>
      </c>
    </row>
    <row r="22" spans="1:9" ht="15" x14ac:dyDescent="0.25">
      <c r="A22" s="18" t="s">
        <v>51</v>
      </c>
      <c r="B22" s="16"/>
      <c r="C22" s="21"/>
      <c r="D22" s="17">
        <f>SUM(D14:D21)</f>
        <v>27.227624165000002</v>
      </c>
      <c r="E22" s="16"/>
      <c r="F22" s="21"/>
      <c r="G22" s="17">
        <f>SUM(G14:G21)</f>
        <v>30.013374165000002</v>
      </c>
      <c r="H22" s="17">
        <f>G22-D22</f>
        <v>2.7857500000000002</v>
      </c>
      <c r="I22" s="27">
        <f>H22/D22</f>
        <v>0.10231337053568441</v>
      </c>
    </row>
    <row r="23" spans="1:9" ht="15" x14ac:dyDescent="0.25">
      <c r="A23" s="2" t="s">
        <v>52</v>
      </c>
      <c r="B23" s="8">
        <f>B6</f>
        <v>297.2835</v>
      </c>
      <c r="C23" s="25">
        <f>VLOOKUP($B$3,'Data-DO NOT PRINT'!$B$3:$AC$10,16,0)</f>
        <v>7.1000000000000004E-3</v>
      </c>
      <c r="D23" s="5">
        <f t="shared" ref="D23:D24" si="10">B23*C23</f>
        <v>2.1107128500000001</v>
      </c>
      <c r="E23" s="8">
        <f t="shared" ref="E23:E24" si="11">B23</f>
        <v>297.2835</v>
      </c>
      <c r="F23" s="25">
        <f>VLOOKUP($B$3,'Data-DO NOT PRINT'!$B$3:$AC$10,27,0)</f>
        <v>7.3000000000000001E-3</v>
      </c>
      <c r="G23" s="5">
        <f t="shared" ref="G23:G24" si="12">E23*F23</f>
        <v>2.1701695500000002</v>
      </c>
      <c r="H23" s="5">
        <f t="shared" si="5"/>
        <v>5.945670000000014E-2</v>
      </c>
      <c r="I23" s="26">
        <f t="shared" ref="I23:I24" si="13">IF(ISERROR(H23/D23), "",H23/D23)</f>
        <v>2.8169014084507109E-2</v>
      </c>
    </row>
    <row r="24" spans="1:9" ht="15" x14ac:dyDescent="0.25">
      <c r="A24" s="2" t="s">
        <v>53</v>
      </c>
      <c r="B24" s="8">
        <f>B6</f>
        <v>297.2835</v>
      </c>
      <c r="C24" s="25">
        <f>VLOOKUP($B$3,'Data-DO NOT PRINT'!$B$3:$AC$10,17,0)</f>
        <v>6.4000000000000003E-3</v>
      </c>
      <c r="D24" s="5">
        <f t="shared" si="10"/>
        <v>1.9026144</v>
      </c>
      <c r="E24" s="8">
        <f t="shared" si="11"/>
        <v>297.2835</v>
      </c>
      <c r="F24" s="25">
        <f>VLOOKUP($B$3,'Data-DO NOT PRINT'!$B$3:$AC$10,28,0)</f>
        <v>6.1999999999999998E-3</v>
      </c>
      <c r="G24" s="5">
        <f t="shared" si="12"/>
        <v>1.8431576999999999</v>
      </c>
      <c r="H24" s="5">
        <f t="shared" si="5"/>
        <v>-5.945670000000014E-2</v>
      </c>
      <c r="I24" s="26">
        <f t="shared" si="13"/>
        <v>-3.1250000000000076E-2</v>
      </c>
    </row>
    <row r="25" spans="1:9" ht="15" x14ac:dyDescent="0.25">
      <c r="A25" s="18" t="s">
        <v>54</v>
      </c>
      <c r="B25" s="16"/>
      <c r="C25" s="21"/>
      <c r="D25" s="17">
        <f>SUM(D22:D24)</f>
        <v>31.240951415000001</v>
      </c>
      <c r="E25" s="16"/>
      <c r="F25" s="21"/>
      <c r="G25" s="17">
        <f>SUM(G22:G24)</f>
        <v>34.026701414999998</v>
      </c>
      <c r="H25" s="17">
        <f>G25-D25</f>
        <v>2.7857499999999966</v>
      </c>
      <c r="I25" s="27">
        <f>H25/D25</f>
        <v>8.9169819542129866E-2</v>
      </c>
    </row>
    <row r="26" spans="1:9" ht="15" x14ac:dyDescent="0.25">
      <c r="A26" s="2" t="s">
        <v>55</v>
      </c>
      <c r="B26" s="8">
        <f>B6</f>
        <v>297.2835</v>
      </c>
      <c r="C26" s="25">
        <v>3.3999999999999998E-3</v>
      </c>
      <c r="D26" s="5">
        <f t="shared" ref="D26:D28" si="14">B26*C26</f>
        <v>1.0107638999999999</v>
      </c>
      <c r="E26" s="8">
        <f t="shared" ref="E26:E28" si="15">B26</f>
        <v>297.2835</v>
      </c>
      <c r="F26" s="25">
        <v>3.3999999999999998E-3</v>
      </c>
      <c r="G26" s="5">
        <f t="shared" ref="G26:G31" si="16">E26*F26</f>
        <v>1.0107638999999999</v>
      </c>
      <c r="H26" s="5">
        <f t="shared" si="5"/>
        <v>0</v>
      </c>
      <c r="I26" s="26">
        <f t="shared" ref="I26:I31" si="17">IF(ISERROR(H26/D26), "",H26/D26)</f>
        <v>0</v>
      </c>
    </row>
    <row r="27" spans="1:9" ht="15" x14ac:dyDescent="0.25">
      <c r="A27" s="2" t="s">
        <v>56</v>
      </c>
      <c r="B27" s="8">
        <f>B6</f>
        <v>297.2835</v>
      </c>
      <c r="C27" s="25">
        <v>5.0000000000000001E-4</v>
      </c>
      <c r="D27" s="5">
        <f t="shared" si="14"/>
        <v>0.14864175000000002</v>
      </c>
      <c r="E27" s="8">
        <f t="shared" si="15"/>
        <v>297.2835</v>
      </c>
      <c r="F27" s="25">
        <v>5.0000000000000001E-4</v>
      </c>
      <c r="G27" s="5">
        <f t="shared" si="16"/>
        <v>0.14864175000000002</v>
      </c>
      <c r="H27" s="5">
        <f t="shared" si="5"/>
        <v>0</v>
      </c>
      <c r="I27" s="26">
        <f t="shared" si="17"/>
        <v>0</v>
      </c>
    </row>
    <row r="28" spans="1:9" ht="15" x14ac:dyDescent="0.25">
      <c r="A28" s="2" t="s">
        <v>57</v>
      </c>
      <c r="B28" s="1">
        <v>1</v>
      </c>
      <c r="C28" s="5">
        <v>0.25</v>
      </c>
      <c r="D28" s="5">
        <f t="shared" si="14"/>
        <v>0.25</v>
      </c>
      <c r="E28" s="1">
        <f t="shared" si="15"/>
        <v>1</v>
      </c>
      <c r="F28" s="5">
        <v>0.25</v>
      </c>
      <c r="G28" s="5">
        <f t="shared" si="16"/>
        <v>0.25</v>
      </c>
      <c r="H28" s="5">
        <f t="shared" si="5"/>
        <v>0</v>
      </c>
      <c r="I28" s="26">
        <f t="shared" si="17"/>
        <v>0</v>
      </c>
    </row>
    <row r="29" spans="1:9" ht="15" x14ac:dyDescent="0.25">
      <c r="A29" s="2" t="s">
        <v>9</v>
      </c>
      <c r="B29" s="1">
        <f>$B$4*0.65</f>
        <v>185.25</v>
      </c>
      <c r="C29" s="24">
        <v>6.5000000000000002E-2</v>
      </c>
      <c r="D29" s="5">
        <f>B29*C29</f>
        <v>12.04125</v>
      </c>
      <c r="E29" s="1">
        <f>B29</f>
        <v>185.25</v>
      </c>
      <c r="F29" s="24">
        <f>C29</f>
        <v>6.5000000000000002E-2</v>
      </c>
      <c r="G29" s="5">
        <f t="shared" si="16"/>
        <v>12.04125</v>
      </c>
      <c r="H29" s="5">
        <f t="shared" si="5"/>
        <v>0</v>
      </c>
      <c r="I29" s="26">
        <f t="shared" si="17"/>
        <v>0</v>
      </c>
    </row>
    <row r="30" spans="1:9" ht="15" x14ac:dyDescent="0.25">
      <c r="A30" s="2" t="s">
        <v>8</v>
      </c>
      <c r="B30" s="1">
        <f>$B$4*0.17</f>
        <v>48.45</v>
      </c>
      <c r="C30" s="24">
        <v>9.4E-2</v>
      </c>
      <c r="D30" s="5">
        <f t="shared" ref="D30:D31" si="18">B30*C30</f>
        <v>4.5543000000000005</v>
      </c>
      <c r="E30" s="1">
        <f>B30</f>
        <v>48.45</v>
      </c>
      <c r="F30" s="24">
        <f t="shared" ref="F30:F31" si="19">C30</f>
        <v>9.4E-2</v>
      </c>
      <c r="G30" s="5">
        <f t="shared" si="16"/>
        <v>4.5543000000000005</v>
      </c>
      <c r="H30" s="5">
        <f t="shared" si="5"/>
        <v>0</v>
      </c>
      <c r="I30" s="26">
        <f t="shared" si="17"/>
        <v>0</v>
      </c>
    </row>
    <row r="31" spans="1:9" x14ac:dyDescent="0.3">
      <c r="A31" s="2" t="s">
        <v>7</v>
      </c>
      <c r="B31" s="1">
        <f>$B$4*0.18</f>
        <v>51.3</v>
      </c>
      <c r="C31" s="24">
        <v>0.13200000000000001</v>
      </c>
      <c r="D31" s="5">
        <f t="shared" si="18"/>
        <v>6.7716000000000003</v>
      </c>
      <c r="E31" s="1">
        <f>B31</f>
        <v>51.3</v>
      </c>
      <c r="F31" s="24">
        <f t="shared" si="19"/>
        <v>0.13200000000000001</v>
      </c>
      <c r="G31" s="5">
        <f t="shared" si="16"/>
        <v>6.7716000000000003</v>
      </c>
      <c r="H31" s="5">
        <f t="shared" si="5"/>
        <v>0</v>
      </c>
      <c r="I31" s="26">
        <f t="shared" si="17"/>
        <v>0</v>
      </c>
    </row>
    <row r="32" spans="1:9" x14ac:dyDescent="0.3">
      <c r="A32" s="19"/>
      <c r="B32" s="13"/>
      <c r="C32" s="20"/>
      <c r="D32" s="20"/>
      <c r="E32" s="13"/>
      <c r="F32" s="20"/>
      <c r="G32" s="20"/>
      <c r="H32" s="20"/>
      <c r="I32" s="29"/>
    </row>
    <row r="33" spans="1:9" x14ac:dyDescent="0.3">
      <c r="A33" s="2" t="s">
        <v>58</v>
      </c>
      <c r="D33" s="6">
        <f>SUM(D25:D31)</f>
        <v>56.017507064999997</v>
      </c>
      <c r="E33" s="1"/>
      <c r="F33" s="5"/>
      <c r="G33" s="6">
        <f>SUM(G25:G31)</f>
        <v>58.803257064999997</v>
      </c>
      <c r="H33" s="6">
        <f>G33-D33</f>
        <v>2.7857500000000002</v>
      </c>
      <c r="I33" s="28">
        <f t="shared" ref="I33:I36" si="20">IF(ISERROR(H33/D33), "",H33/D33)</f>
        <v>4.9729988818808933E-2</v>
      </c>
    </row>
    <row r="34" spans="1:9" x14ac:dyDescent="0.3">
      <c r="A34" s="2" t="s">
        <v>5</v>
      </c>
      <c r="C34" s="7">
        <v>0.13</v>
      </c>
      <c r="D34" s="5">
        <f>C34*D33</f>
        <v>7.2822759184499999</v>
      </c>
      <c r="E34" s="1"/>
      <c r="F34" s="7">
        <v>0.13</v>
      </c>
      <c r="G34" s="5">
        <f>F34*G33</f>
        <v>7.6444234184499997</v>
      </c>
      <c r="H34" s="5">
        <f t="shared" ref="H34:H35" si="21">G34-D34</f>
        <v>0.36214749999999984</v>
      </c>
      <c r="I34" s="26">
        <f t="shared" si="20"/>
        <v>4.9729988818808905E-2</v>
      </c>
    </row>
    <row r="35" spans="1:9" x14ac:dyDescent="0.3">
      <c r="A35" s="2" t="s">
        <v>59</v>
      </c>
      <c r="C35" s="7">
        <v>-0.08</v>
      </c>
      <c r="D35" s="5">
        <f>C35*D33</f>
        <v>-4.4814005651999995</v>
      </c>
      <c r="E35" s="1"/>
      <c r="F35" s="7">
        <v>-0.08</v>
      </c>
      <c r="G35" s="5">
        <f>F35*G33</f>
        <v>-4.7042605652000002</v>
      </c>
      <c r="H35" s="5">
        <f t="shared" si="21"/>
        <v>-0.22286000000000072</v>
      </c>
      <c r="I35" s="26">
        <f t="shared" si="20"/>
        <v>4.9729988818809093E-2</v>
      </c>
    </row>
    <row r="36" spans="1:9" x14ac:dyDescent="0.3">
      <c r="A36" s="2" t="s">
        <v>60</v>
      </c>
      <c r="D36" s="6">
        <f>SUM(D33:D35)</f>
        <v>58.818382418249996</v>
      </c>
      <c r="E36" s="1"/>
      <c r="F36" s="5"/>
      <c r="G36" s="6">
        <f>SUM(G33:G35)</f>
        <v>61.743419918249998</v>
      </c>
      <c r="H36" s="6">
        <f>G36-D36</f>
        <v>2.925037500000002</v>
      </c>
      <c r="I36" s="28">
        <f t="shared" si="20"/>
        <v>4.9729988818808961E-2</v>
      </c>
    </row>
    <row r="37" spans="1:9" x14ac:dyDescent="0.3">
      <c r="A37" s="13"/>
      <c r="B37" s="13"/>
      <c r="C37" s="20"/>
      <c r="D37" s="14"/>
      <c r="E37" s="14"/>
      <c r="F37" s="23"/>
      <c r="G37" s="14"/>
      <c r="H37" s="20"/>
      <c r="I37" s="29"/>
    </row>
  </sheetData>
  <mergeCells count="4">
    <mergeCell ref="B8:D8"/>
    <mergeCell ref="E8:G8"/>
    <mergeCell ref="H8:I8"/>
    <mergeCell ref="A1:I1"/>
  </mergeCells>
  <pageMargins left="0.25" right="0.25" top="0.75" bottom="0.75" header="0.3" footer="0.3"/>
  <pageSetup scale="85" orientation="landscape" r:id="rId1"/>
  <ignoredErrors>
    <ignoredError sqref="D14:G14 D22:G22 E25:F25 D25 G25 I14:I37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PRINT'!$B$3:$B$10</xm:f>
          </x14:formula1>
          <xm:sqref>B3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>
      <selection activeCell="F26" sqref="F26:F27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2.109375" customWidth="1"/>
    <col min="5" max="5" width="11" customWidth="1"/>
    <col min="6" max="6" width="11" style="22" customWidth="1"/>
    <col min="7" max="7" width="11" customWidth="1"/>
    <col min="9" max="9" width="9.109375" style="26"/>
  </cols>
  <sheetData>
    <row r="1" spans="1:9" ht="15.6" x14ac:dyDescent="0.3">
      <c r="A1" s="80" t="s">
        <v>96</v>
      </c>
      <c r="B1" s="81"/>
      <c r="C1" s="81"/>
      <c r="D1" s="81"/>
      <c r="E1" s="81"/>
      <c r="F1" s="81"/>
      <c r="G1" s="81"/>
      <c r="H1" s="81"/>
      <c r="I1" s="81"/>
    </row>
    <row r="3" spans="1:9" ht="15" x14ac:dyDescent="0.25">
      <c r="A3" s="2" t="s">
        <v>12</v>
      </c>
      <c r="B3" s="10" t="s">
        <v>40</v>
      </c>
    </row>
    <row r="4" spans="1:9" ht="15" x14ac:dyDescent="0.25">
      <c r="A4" s="2" t="s">
        <v>63</v>
      </c>
      <c r="B4" s="10">
        <v>750</v>
      </c>
    </row>
    <row r="5" spans="1:9" ht="15" x14ac:dyDescent="0.25">
      <c r="A5" s="2" t="s">
        <v>4</v>
      </c>
      <c r="B5" s="10">
        <f>VLOOKUP(B3,'Data-DO NOT PRINT'!B3:Y10,5,0)</f>
        <v>1.0430999999999999</v>
      </c>
    </row>
    <row r="6" spans="1:9" ht="15" x14ac:dyDescent="0.25">
      <c r="A6" s="2" t="s">
        <v>65</v>
      </c>
      <c r="B6" s="10">
        <f>B4*B5</f>
        <v>782.32499999999993</v>
      </c>
    </row>
    <row r="7" spans="1:9" ht="15" x14ac:dyDescent="0.25">
      <c r="A7" s="2"/>
      <c r="B7" s="10"/>
    </row>
    <row r="8" spans="1:9" ht="15" x14ac:dyDescent="0.25">
      <c r="B8" s="77" t="s">
        <v>36</v>
      </c>
      <c r="C8" s="77"/>
      <c r="D8" s="77"/>
      <c r="E8" s="77" t="s">
        <v>97</v>
      </c>
      <c r="F8" s="77"/>
      <c r="G8" s="77"/>
      <c r="H8" s="77" t="s">
        <v>37</v>
      </c>
      <c r="I8" s="77"/>
    </row>
    <row r="9" spans="1:9" ht="15" x14ac:dyDescent="0.25">
      <c r="A9"/>
      <c r="B9" s="10" t="s">
        <v>1</v>
      </c>
      <c r="C9" s="6" t="s">
        <v>0</v>
      </c>
      <c r="D9" s="10" t="s">
        <v>2</v>
      </c>
      <c r="E9" s="10" t="s">
        <v>1</v>
      </c>
      <c r="F9" s="6" t="s">
        <v>0</v>
      </c>
      <c r="G9" s="10" t="s">
        <v>2</v>
      </c>
      <c r="H9" s="10" t="s">
        <v>38</v>
      </c>
      <c r="I9" s="28" t="s">
        <v>39</v>
      </c>
    </row>
    <row r="10" spans="1:9" ht="15" x14ac:dyDescent="0.25">
      <c r="A10" s="2" t="s">
        <v>41</v>
      </c>
      <c r="B10" s="1">
        <v>1</v>
      </c>
      <c r="C10" s="5">
        <f>VLOOKUP($B$3,'Data-DO NOT PRINT'!$B$3:$AC$10,7,0)</f>
        <v>23.16</v>
      </c>
      <c r="D10" s="5">
        <f t="shared" ref="D10:D13" si="0">B10*C10</f>
        <v>23.16</v>
      </c>
      <c r="E10" s="1">
        <f t="shared" ref="E10:E13" si="1">B10</f>
        <v>1</v>
      </c>
      <c r="F10" s="5">
        <f>VLOOKUP($B$3,'Data-DO NOT PRINT'!$B$3:$AC$10,18,0)</f>
        <v>26.57</v>
      </c>
      <c r="G10" s="5">
        <f t="shared" ref="G10:G13" si="2">E10*F10</f>
        <v>26.57</v>
      </c>
      <c r="H10" s="5">
        <f t="shared" ref="H10:H13" si="3">G10-D10</f>
        <v>3.41</v>
      </c>
      <c r="I10" s="26">
        <f>IF(ISERROR(H10/D10), "",H10/D10)</f>
        <v>0.14723661485319517</v>
      </c>
    </row>
    <row r="11" spans="1:9" ht="15" x14ac:dyDescent="0.25">
      <c r="A11" s="2" t="s">
        <v>42</v>
      </c>
      <c r="B11" s="1">
        <f>B4</f>
        <v>750</v>
      </c>
      <c r="C11" s="25">
        <f>VLOOKUP($B$3,'Data-DO NOT PRINT'!$B$3:$AC$10,8,0)</f>
        <v>8.8999999999999999E-3</v>
      </c>
      <c r="D11" s="5">
        <f t="shared" si="0"/>
        <v>6.6749999999999998</v>
      </c>
      <c r="E11" s="1">
        <f t="shared" si="1"/>
        <v>750</v>
      </c>
      <c r="F11" s="25">
        <f>VLOOKUP($B$3,'Data-DO NOT PRINT'!$B$3:$AC$10,19,0)</f>
        <v>4.4999999999999997E-3</v>
      </c>
      <c r="G11" s="5">
        <f t="shared" si="2"/>
        <v>3.3749999999999996</v>
      </c>
      <c r="H11" s="5">
        <f t="shared" si="3"/>
        <v>-3.3000000000000003</v>
      </c>
      <c r="I11" s="26">
        <f t="shared" ref="I11:I13" si="4">IF(ISERROR(H11/D11), "",H11/D11)</f>
        <v>-0.49438202247191015</v>
      </c>
    </row>
    <row r="12" spans="1:9" ht="15" x14ac:dyDescent="0.25">
      <c r="A12" s="2" t="s">
        <v>43</v>
      </c>
      <c r="B12" s="1">
        <v>1</v>
      </c>
      <c r="C12" s="5">
        <f>VLOOKUP($B$3,'Data-DO NOT PRINT'!$B$3:$AC$10,10,0)</f>
        <v>0.41000000000000003</v>
      </c>
      <c r="D12" s="5">
        <f t="shared" si="0"/>
        <v>0.41000000000000003</v>
      </c>
      <c r="E12" s="1">
        <f t="shared" si="1"/>
        <v>1</v>
      </c>
      <c r="F12" s="5">
        <f>VLOOKUP($B$3,'Data-DO NOT PRINT'!$B$3:$AC$10,21,0)</f>
        <v>0.37</v>
      </c>
      <c r="G12" s="5">
        <f t="shared" si="2"/>
        <v>0.37</v>
      </c>
      <c r="H12" s="5">
        <f t="shared" si="3"/>
        <v>-4.0000000000000036E-2</v>
      </c>
      <c r="I12" s="26">
        <f t="shared" si="4"/>
        <v>-9.756097560975617E-2</v>
      </c>
    </row>
    <row r="13" spans="1:9" ht="15" x14ac:dyDescent="0.25">
      <c r="A13" s="2" t="s">
        <v>44</v>
      </c>
      <c r="B13" s="1">
        <f>B4</f>
        <v>750</v>
      </c>
      <c r="C13" s="25">
        <f>VLOOKUP($B$3,'Data-DO NOT PRINT'!$B$3:$AC$10,11,0)</f>
        <v>6.9999999999999999E-4</v>
      </c>
      <c r="D13" s="5">
        <f t="shared" si="0"/>
        <v>0.52500000000000002</v>
      </c>
      <c r="E13" s="1">
        <f t="shared" si="1"/>
        <v>750</v>
      </c>
      <c r="F13" s="25">
        <f>VLOOKUP($B$3,'Data-DO NOT PRINT'!$B$3:$AC$10,22,0)</f>
        <v>7.5000000000000002E-4</v>
      </c>
      <c r="G13" s="5">
        <f t="shared" si="2"/>
        <v>0.5625</v>
      </c>
      <c r="H13" s="5">
        <f t="shared" si="3"/>
        <v>3.7499999999999978E-2</v>
      </c>
      <c r="I13" s="26">
        <f t="shared" si="4"/>
        <v>7.1428571428571383E-2</v>
      </c>
    </row>
    <row r="14" spans="1:9" ht="15" x14ac:dyDescent="0.25">
      <c r="A14" s="18" t="s">
        <v>45</v>
      </c>
      <c r="B14" s="16"/>
      <c r="C14" s="21"/>
      <c r="D14" s="17">
        <f>SUM(D10:D13)</f>
        <v>30.77</v>
      </c>
      <c r="E14" s="15"/>
      <c r="F14" s="17"/>
      <c r="G14" s="17">
        <f>SUM(G10:G13)</f>
        <v>30.877500000000001</v>
      </c>
      <c r="H14" s="17">
        <f>G14-D14</f>
        <v>0.10750000000000171</v>
      </c>
      <c r="I14" s="27">
        <f>H14/D14</f>
        <v>3.4936626584335948E-3</v>
      </c>
    </row>
    <row r="15" spans="1:9" ht="15" x14ac:dyDescent="0.25">
      <c r="A15" s="2" t="s">
        <v>46</v>
      </c>
      <c r="B15" s="8">
        <f>B6-B4</f>
        <v>32.324999999999932</v>
      </c>
      <c r="C15" s="24">
        <f>IF(ISNUMBER(SEARCH("_RPP",$B$3)),((0.65*C29)+(0.17*C30)+(0.18*C31)),0.1101)</f>
        <v>8.1990000000000007E-2</v>
      </c>
      <c r="D15" s="5">
        <f>B15*C15</f>
        <v>2.6503267499999947</v>
      </c>
      <c r="E15" s="8">
        <f>B15</f>
        <v>32.324999999999932</v>
      </c>
      <c r="F15" s="24">
        <f>C15</f>
        <v>8.1990000000000007E-2</v>
      </c>
      <c r="G15" s="5">
        <f>E15*F15</f>
        <v>2.6503267499999947</v>
      </c>
      <c r="H15" s="5">
        <f t="shared" ref="H15:H31" si="5">G15-D15</f>
        <v>0</v>
      </c>
      <c r="I15" s="26">
        <f t="shared" ref="I15:I21" si="6">IF(ISERROR(H15/D15), "",H15/D15)</f>
        <v>0</v>
      </c>
    </row>
    <row r="16" spans="1:9" ht="15" x14ac:dyDescent="0.25">
      <c r="A16" s="2" t="s">
        <v>98</v>
      </c>
      <c r="B16" s="1">
        <v>1</v>
      </c>
      <c r="C16" s="5">
        <f>VLOOKUP($B$3,'Data-DO NOT PRINT'!$B$3:$AC$10,12,0)</f>
        <v>0</v>
      </c>
      <c r="D16" s="5">
        <f>B16*C16</f>
        <v>0</v>
      </c>
      <c r="E16" s="1">
        <f>B16</f>
        <v>1</v>
      </c>
      <c r="F16" s="5">
        <f>VLOOKUP($B$3,'Data-DO NOT PRINT'!$B$3:$AC$10,23,0)</f>
        <v>0</v>
      </c>
      <c r="G16" s="5">
        <f>E16*F16</f>
        <v>0</v>
      </c>
      <c r="H16" s="5">
        <f t="shared" si="5"/>
        <v>0</v>
      </c>
      <c r="I16" s="26" t="str">
        <f t="shared" si="6"/>
        <v/>
      </c>
    </row>
    <row r="17" spans="1:9" ht="15" x14ac:dyDescent="0.25">
      <c r="A17" s="2" t="s">
        <v>99</v>
      </c>
      <c r="B17" s="1">
        <f>B4</f>
        <v>750</v>
      </c>
      <c r="C17" s="25">
        <f>VLOOKUP($B$3,'Data-DO NOT PRINT'!$B$3:$AC$10,13,0)</f>
        <v>-2.5999999999999999E-3</v>
      </c>
      <c r="D17" s="5">
        <f>B17*C17</f>
        <v>-1.95</v>
      </c>
      <c r="E17" s="1">
        <f>B17</f>
        <v>750</v>
      </c>
      <c r="F17" s="25">
        <f>VLOOKUP($B$3,'Data-DO NOT PRINT'!$B$3:$AC$10,24,0)</f>
        <v>0</v>
      </c>
      <c r="G17" s="5">
        <f>E17*F17</f>
        <v>0</v>
      </c>
      <c r="H17" s="5">
        <f t="shared" si="5"/>
        <v>1.95</v>
      </c>
      <c r="I17" s="26">
        <f t="shared" si="6"/>
        <v>-1</v>
      </c>
    </row>
    <row r="18" spans="1:9" ht="15" x14ac:dyDescent="0.25">
      <c r="A18" s="4" t="s">
        <v>47</v>
      </c>
      <c r="B18" s="1">
        <f>B4</f>
        <v>750</v>
      </c>
      <c r="C18" s="25">
        <f>VLOOKUP($B$3,'Data-DO NOT PRINT'!$B$3:$AC$10,14,0)</f>
        <v>2.9999999999999997E-4</v>
      </c>
      <c r="D18" s="5">
        <f t="shared" ref="D18:D21" si="7">B18*C18</f>
        <v>0.22499999999999998</v>
      </c>
      <c r="E18" s="1">
        <f t="shared" ref="E18:E21" si="8">B18</f>
        <v>750</v>
      </c>
      <c r="F18" s="25">
        <f>VLOOKUP($B$3,'Data-DO NOT PRINT'!$B$3:$AC$10,25,0)</f>
        <v>0</v>
      </c>
      <c r="G18" s="5">
        <f t="shared" ref="G18:G21" si="9">E18*F18</f>
        <v>0</v>
      </c>
      <c r="H18" s="5">
        <f t="shared" si="5"/>
        <v>-0.22499999999999998</v>
      </c>
      <c r="I18" s="26">
        <f t="shared" si="6"/>
        <v>-1</v>
      </c>
    </row>
    <row r="19" spans="1:9" ht="15" x14ac:dyDescent="0.25">
      <c r="A19" s="4" t="s">
        <v>48</v>
      </c>
      <c r="B19" s="1">
        <f>B4</f>
        <v>750</v>
      </c>
      <c r="C19" s="25">
        <f>VLOOKUP($B$3,'Data-DO NOT PRINT'!$B$3:$AC$10,15,0)</f>
        <v>0</v>
      </c>
      <c r="D19" s="5">
        <f t="shared" si="7"/>
        <v>0</v>
      </c>
      <c r="E19" s="1">
        <f>B19</f>
        <v>750</v>
      </c>
      <c r="F19" s="25">
        <f>VLOOKUP($B$3,'Data-DO NOT PRINT'!$B$3:$AC$10,26,0)</f>
        <v>0</v>
      </c>
      <c r="G19" s="5">
        <f t="shared" si="9"/>
        <v>0</v>
      </c>
      <c r="H19" s="5">
        <f t="shared" si="5"/>
        <v>0</v>
      </c>
      <c r="I19" s="26" t="str">
        <f t="shared" si="6"/>
        <v/>
      </c>
    </row>
    <row r="20" spans="1:9" ht="15" x14ac:dyDescent="0.25">
      <c r="A20" s="4" t="s">
        <v>49</v>
      </c>
      <c r="B20" s="1">
        <f>B4</f>
        <v>750</v>
      </c>
      <c r="C20" s="25">
        <f>VLOOKUP($B$3,'Data-DO NOT PRINT'!$B$3:$AC$10,9,0)</f>
        <v>0</v>
      </c>
      <c r="D20" s="5">
        <f t="shared" si="7"/>
        <v>0</v>
      </c>
      <c r="E20" s="1">
        <f>B20</f>
        <v>750</v>
      </c>
      <c r="F20" s="25">
        <f>VLOOKUP($B$3,'Data-DO NOT PRINT'!$B$3:$AC$10,20,0)</f>
        <v>0</v>
      </c>
      <c r="G20" s="5">
        <f t="shared" si="9"/>
        <v>0</v>
      </c>
      <c r="H20" s="5">
        <f t="shared" si="5"/>
        <v>0</v>
      </c>
      <c r="I20" s="26" t="str">
        <f t="shared" si="6"/>
        <v/>
      </c>
    </row>
    <row r="21" spans="1:9" ht="15" x14ac:dyDescent="0.25">
      <c r="A21" s="2" t="s">
        <v>50</v>
      </c>
      <c r="B21" s="1">
        <v>1</v>
      </c>
      <c r="C21" s="5">
        <f>VLOOKUP($B$3,'Data-DO NOT PRINT'!$B$3:$AC$10,6,0)</f>
        <v>0.56999999999999995</v>
      </c>
      <c r="D21" s="5">
        <f t="shared" si="7"/>
        <v>0.56999999999999995</v>
      </c>
      <c r="E21" s="1">
        <f t="shared" si="8"/>
        <v>1</v>
      </c>
      <c r="F21" s="5">
        <f>C21</f>
        <v>0.56999999999999995</v>
      </c>
      <c r="G21" s="5">
        <f t="shared" si="9"/>
        <v>0.56999999999999995</v>
      </c>
      <c r="H21" s="5">
        <f t="shared" si="5"/>
        <v>0</v>
      </c>
      <c r="I21" s="26">
        <f t="shared" si="6"/>
        <v>0</v>
      </c>
    </row>
    <row r="22" spans="1:9" ht="15" x14ac:dyDescent="0.25">
      <c r="A22" s="18" t="s">
        <v>51</v>
      </c>
      <c r="B22" s="16"/>
      <c r="C22" s="21"/>
      <c r="D22" s="17">
        <f>SUM(D14:D21)</f>
        <v>32.265326749999993</v>
      </c>
      <c r="E22" s="16"/>
      <c r="F22" s="21"/>
      <c r="G22" s="17">
        <f>SUM(G14:G21)</f>
        <v>34.097826749999996</v>
      </c>
      <c r="H22" s="17">
        <f>G22-D22</f>
        <v>1.8325000000000031</v>
      </c>
      <c r="I22" s="27">
        <f>H22/D22</f>
        <v>5.6794713848667397E-2</v>
      </c>
    </row>
    <row r="23" spans="1:9" ht="15" x14ac:dyDescent="0.25">
      <c r="A23" s="2" t="s">
        <v>52</v>
      </c>
      <c r="B23" s="8">
        <f>B6</f>
        <v>782.32499999999993</v>
      </c>
      <c r="C23" s="25">
        <f>VLOOKUP($B$3,'Data-DO NOT PRINT'!$B$3:$AC$10,16,0)</f>
        <v>7.1000000000000004E-3</v>
      </c>
      <c r="D23" s="5">
        <f t="shared" ref="D23:D24" si="10">B23*C23</f>
        <v>5.5545074999999997</v>
      </c>
      <c r="E23" s="8">
        <f t="shared" ref="E23:E24" si="11">B23</f>
        <v>782.32499999999993</v>
      </c>
      <c r="F23" s="25">
        <f>VLOOKUP($B$3,'Data-DO NOT PRINT'!$B$3:$AC$10,27,0)</f>
        <v>7.3000000000000001E-3</v>
      </c>
      <c r="G23" s="5">
        <f t="shared" ref="G23:G24" si="12">E23*F23</f>
        <v>5.7109724999999996</v>
      </c>
      <c r="H23" s="5">
        <f t="shared" si="5"/>
        <v>0.15646499999999985</v>
      </c>
      <c r="I23" s="26">
        <f t="shared" ref="I23:I24" si="13">IF(ISERROR(H23/D23), "",H23/D23)</f>
        <v>2.8169014084507019E-2</v>
      </c>
    </row>
    <row r="24" spans="1:9" ht="15" x14ac:dyDescent="0.25">
      <c r="A24" s="2" t="s">
        <v>53</v>
      </c>
      <c r="B24" s="8">
        <f>B6</f>
        <v>782.32499999999993</v>
      </c>
      <c r="C24" s="25">
        <f>VLOOKUP($B$3,'Data-DO NOT PRINT'!$B$3:$AC$10,17,0)</f>
        <v>6.4000000000000003E-3</v>
      </c>
      <c r="D24" s="5">
        <f t="shared" si="10"/>
        <v>5.0068799999999998</v>
      </c>
      <c r="E24" s="8">
        <f t="shared" si="11"/>
        <v>782.32499999999993</v>
      </c>
      <c r="F24" s="25">
        <f>VLOOKUP($B$3,'Data-DO NOT PRINT'!$B$3:$AC$10,28,0)</f>
        <v>6.1999999999999998E-3</v>
      </c>
      <c r="G24" s="5">
        <f t="shared" si="12"/>
        <v>4.850414999999999</v>
      </c>
      <c r="H24" s="5">
        <f t="shared" si="5"/>
        <v>-0.15646500000000074</v>
      </c>
      <c r="I24" s="26">
        <f t="shared" si="13"/>
        <v>-3.1250000000000153E-2</v>
      </c>
    </row>
    <row r="25" spans="1:9" ht="15" x14ac:dyDescent="0.25">
      <c r="A25" s="18" t="s">
        <v>54</v>
      </c>
      <c r="B25" s="16"/>
      <c r="C25" s="21"/>
      <c r="D25" s="17">
        <f>SUM(D22:D24)</f>
        <v>42.826714249999995</v>
      </c>
      <c r="E25" s="16"/>
      <c r="F25" s="21"/>
      <c r="G25" s="17">
        <f>SUM(G22:G24)</f>
        <v>44.659214249999991</v>
      </c>
      <c r="H25" s="17">
        <f>G25-D25</f>
        <v>1.832499999999996</v>
      </c>
      <c r="I25" s="27">
        <f>H25/D25</f>
        <v>4.2788713355472893E-2</v>
      </c>
    </row>
    <row r="26" spans="1:9" ht="15" x14ac:dyDescent="0.25">
      <c r="A26" s="2" t="s">
        <v>55</v>
      </c>
      <c r="B26" s="8">
        <f>B6</f>
        <v>782.32499999999993</v>
      </c>
      <c r="C26" s="25">
        <v>3.3999999999999998E-3</v>
      </c>
      <c r="D26" s="5">
        <f t="shared" ref="D26:D28" si="14">B26*C26</f>
        <v>2.6599049999999997</v>
      </c>
      <c r="E26" s="8">
        <f t="shared" ref="E26:E28" si="15">B26</f>
        <v>782.32499999999993</v>
      </c>
      <c r="F26" s="25">
        <v>3.3999999999999998E-3</v>
      </c>
      <c r="G26" s="5">
        <f t="shared" ref="G26:G31" si="16">E26*F26</f>
        <v>2.6599049999999997</v>
      </c>
      <c r="H26" s="5">
        <f t="shared" si="5"/>
        <v>0</v>
      </c>
      <c r="I26" s="26">
        <f t="shared" ref="I26:I31" si="17">IF(ISERROR(H26/D26), "",H26/D26)</f>
        <v>0</v>
      </c>
    </row>
    <row r="27" spans="1:9" ht="15" x14ac:dyDescent="0.25">
      <c r="A27" s="2" t="s">
        <v>56</v>
      </c>
      <c r="B27" s="8">
        <f>B6</f>
        <v>782.32499999999993</v>
      </c>
      <c r="C27" s="25">
        <v>5.0000000000000001E-4</v>
      </c>
      <c r="D27" s="5">
        <f t="shared" si="14"/>
        <v>0.39116249999999997</v>
      </c>
      <c r="E27" s="8">
        <f t="shared" si="15"/>
        <v>782.32499999999993</v>
      </c>
      <c r="F27" s="25">
        <v>5.0000000000000001E-4</v>
      </c>
      <c r="G27" s="5">
        <f t="shared" si="16"/>
        <v>0.39116249999999997</v>
      </c>
      <c r="H27" s="5">
        <f t="shared" si="5"/>
        <v>0</v>
      </c>
      <c r="I27" s="26">
        <f t="shared" si="17"/>
        <v>0</v>
      </c>
    </row>
    <row r="28" spans="1:9" ht="15" x14ac:dyDescent="0.25">
      <c r="A28" s="2" t="s">
        <v>57</v>
      </c>
      <c r="B28" s="1">
        <v>1</v>
      </c>
      <c r="C28" s="5">
        <v>0.25</v>
      </c>
      <c r="D28" s="5">
        <f t="shared" si="14"/>
        <v>0.25</v>
      </c>
      <c r="E28" s="1">
        <f t="shared" si="15"/>
        <v>1</v>
      </c>
      <c r="F28" s="5">
        <v>0.25</v>
      </c>
      <c r="G28" s="5">
        <f t="shared" si="16"/>
        <v>0.25</v>
      </c>
      <c r="H28" s="5">
        <f t="shared" si="5"/>
        <v>0</v>
      </c>
      <c r="I28" s="26">
        <f t="shared" si="17"/>
        <v>0</v>
      </c>
    </row>
    <row r="29" spans="1:9" ht="15" x14ac:dyDescent="0.25">
      <c r="A29" s="2" t="s">
        <v>9</v>
      </c>
      <c r="B29" s="1">
        <f>$B$4*0.65</f>
        <v>487.5</v>
      </c>
      <c r="C29" s="24">
        <v>6.5000000000000002E-2</v>
      </c>
      <c r="D29" s="5">
        <f>B29*C29</f>
        <v>31.6875</v>
      </c>
      <c r="E29" s="1">
        <f>B29</f>
        <v>487.5</v>
      </c>
      <c r="F29" s="24">
        <f>C29</f>
        <v>6.5000000000000002E-2</v>
      </c>
      <c r="G29" s="5">
        <f t="shared" si="16"/>
        <v>31.6875</v>
      </c>
      <c r="H29" s="5">
        <f t="shared" si="5"/>
        <v>0</v>
      </c>
      <c r="I29" s="26">
        <f t="shared" si="17"/>
        <v>0</v>
      </c>
    </row>
    <row r="30" spans="1:9" ht="15" x14ac:dyDescent="0.25">
      <c r="A30" s="2" t="s">
        <v>8</v>
      </c>
      <c r="B30" s="1">
        <f>$B$4*0.17</f>
        <v>127.50000000000001</v>
      </c>
      <c r="C30" s="24">
        <v>9.4E-2</v>
      </c>
      <c r="D30" s="5">
        <f t="shared" ref="D30:D31" si="18">B30*C30</f>
        <v>11.985000000000001</v>
      </c>
      <c r="E30" s="1">
        <f>B30</f>
        <v>127.50000000000001</v>
      </c>
      <c r="F30" s="24">
        <f t="shared" ref="F30:F31" si="19">C30</f>
        <v>9.4E-2</v>
      </c>
      <c r="G30" s="5">
        <f t="shared" si="16"/>
        <v>11.985000000000001</v>
      </c>
      <c r="H30" s="5">
        <f t="shared" si="5"/>
        <v>0</v>
      </c>
      <c r="I30" s="26">
        <f t="shared" si="17"/>
        <v>0</v>
      </c>
    </row>
    <row r="31" spans="1:9" x14ac:dyDescent="0.3">
      <c r="A31" s="2" t="s">
        <v>7</v>
      </c>
      <c r="B31" s="1">
        <f>$B$4*0.18</f>
        <v>135</v>
      </c>
      <c r="C31" s="24">
        <v>0.13200000000000001</v>
      </c>
      <c r="D31" s="5">
        <f t="shared" si="18"/>
        <v>17.82</v>
      </c>
      <c r="E31" s="1">
        <f>B31</f>
        <v>135</v>
      </c>
      <c r="F31" s="24">
        <f t="shared" si="19"/>
        <v>0.13200000000000001</v>
      </c>
      <c r="G31" s="5">
        <f t="shared" si="16"/>
        <v>17.82</v>
      </c>
      <c r="H31" s="5">
        <f t="shared" si="5"/>
        <v>0</v>
      </c>
      <c r="I31" s="26">
        <f t="shared" si="17"/>
        <v>0</v>
      </c>
    </row>
    <row r="32" spans="1:9" x14ac:dyDescent="0.3">
      <c r="A32" s="19"/>
      <c r="B32" s="13"/>
      <c r="C32" s="20"/>
      <c r="D32" s="20"/>
      <c r="E32" s="13"/>
      <c r="F32" s="20"/>
      <c r="G32" s="20"/>
      <c r="H32" s="20"/>
      <c r="I32" s="29"/>
    </row>
    <row r="33" spans="1:9" x14ac:dyDescent="0.3">
      <c r="A33" s="2" t="s">
        <v>58</v>
      </c>
      <c r="D33" s="6">
        <f>SUM(D25:D31)</f>
        <v>107.62028175</v>
      </c>
      <c r="E33" s="1"/>
      <c r="F33" s="5"/>
      <c r="G33" s="6">
        <f>SUM(G25:G31)</f>
        <v>109.45278174999999</v>
      </c>
      <c r="H33" s="6">
        <f>G33-D33</f>
        <v>1.8324999999999818</v>
      </c>
      <c r="I33" s="28">
        <f t="shared" ref="I33:I36" si="20">IF(ISERROR(H33/D33), "",H33/D33)</f>
        <v>1.7027459603356613E-2</v>
      </c>
    </row>
    <row r="34" spans="1:9" x14ac:dyDescent="0.3">
      <c r="A34" s="2" t="s">
        <v>5</v>
      </c>
      <c r="C34" s="7">
        <v>0.13</v>
      </c>
      <c r="D34" s="5">
        <f>C34*D33</f>
        <v>13.990636627500001</v>
      </c>
      <c r="E34" s="1"/>
      <c r="F34" s="7">
        <v>0.13</v>
      </c>
      <c r="G34" s="5">
        <f>F34*G33</f>
        <v>14.228861627499999</v>
      </c>
      <c r="H34" s="5">
        <f t="shared" ref="H34:H35" si="21">G34-D34</f>
        <v>0.23822499999999813</v>
      </c>
      <c r="I34" s="26">
        <f t="shared" si="20"/>
        <v>1.7027459603356648E-2</v>
      </c>
    </row>
    <row r="35" spans="1:9" x14ac:dyDescent="0.3">
      <c r="A35" s="2" t="s">
        <v>59</v>
      </c>
      <c r="C35" s="7">
        <v>-0.08</v>
      </c>
      <c r="D35" s="5">
        <f>C35*D33</f>
        <v>-8.6096225400000002</v>
      </c>
      <c r="E35" s="1"/>
      <c r="F35" s="7">
        <v>-0.08</v>
      </c>
      <c r="G35" s="5">
        <f>F35*G33</f>
        <v>-8.7562225399999996</v>
      </c>
      <c r="H35" s="5">
        <f t="shared" si="21"/>
        <v>-0.1465999999999994</v>
      </c>
      <c r="I35" s="26">
        <f t="shared" si="20"/>
        <v>1.702745960335671E-2</v>
      </c>
    </row>
    <row r="36" spans="1:9" x14ac:dyDescent="0.3">
      <c r="A36" s="2" t="s">
        <v>60</v>
      </c>
      <c r="D36" s="6">
        <f>SUM(D33:D35)</f>
        <v>113.0012958375</v>
      </c>
      <c r="E36" s="1"/>
      <c r="F36" s="5"/>
      <c r="G36" s="6">
        <f>SUM(G33:G35)</f>
        <v>114.92542083749998</v>
      </c>
      <c r="H36" s="6">
        <f>G36-D36</f>
        <v>1.9241249999999894</v>
      </c>
      <c r="I36" s="28">
        <f t="shared" si="20"/>
        <v>1.7027459603356689E-2</v>
      </c>
    </row>
    <row r="37" spans="1:9" x14ac:dyDescent="0.3">
      <c r="A37" s="13"/>
      <c r="B37" s="13"/>
      <c r="C37" s="20"/>
      <c r="D37" s="14"/>
      <c r="E37" s="14"/>
      <c r="F37" s="23"/>
      <c r="G37" s="14"/>
      <c r="H37" s="20"/>
      <c r="I37" s="29"/>
    </row>
  </sheetData>
  <mergeCells count="4">
    <mergeCell ref="B8:D8"/>
    <mergeCell ref="E8:G8"/>
    <mergeCell ref="H8:I8"/>
    <mergeCell ref="A1:I1"/>
  </mergeCells>
  <pageMargins left="0.25" right="0.25" top="0.75" bottom="0.75" header="0.3" footer="0.3"/>
  <pageSetup scale="85" orientation="landscape" r:id="rId1"/>
  <ignoredErrors>
    <ignoredError sqref="D14:I2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PRINT'!$B$3:$B$10</xm:f>
          </x14:formula1>
          <xm:sqref>B3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F26" sqref="F26:F27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2.109375" customWidth="1"/>
    <col min="5" max="5" width="11" customWidth="1"/>
    <col min="6" max="6" width="11" style="22" customWidth="1"/>
    <col min="7" max="7" width="11" customWidth="1"/>
    <col min="9" max="9" width="9.109375" style="26"/>
  </cols>
  <sheetData>
    <row r="1" spans="1:9" ht="15.6" x14ac:dyDescent="0.3">
      <c r="A1" s="80" t="s">
        <v>96</v>
      </c>
      <c r="B1" s="81"/>
      <c r="C1" s="81"/>
      <c r="D1" s="81"/>
      <c r="E1" s="81"/>
      <c r="F1" s="81"/>
      <c r="G1" s="81"/>
      <c r="H1" s="81"/>
      <c r="I1" s="81"/>
    </row>
    <row r="3" spans="1:9" ht="15" x14ac:dyDescent="0.25">
      <c r="A3" s="2" t="s">
        <v>12</v>
      </c>
      <c r="B3" s="10" t="s">
        <v>40</v>
      </c>
    </row>
    <row r="4" spans="1:9" ht="15" x14ac:dyDescent="0.25">
      <c r="A4" s="2" t="s">
        <v>63</v>
      </c>
      <c r="B4" s="30">
        <v>1500</v>
      </c>
    </row>
    <row r="5" spans="1:9" ht="15" x14ac:dyDescent="0.25">
      <c r="A5" s="2" t="s">
        <v>4</v>
      </c>
      <c r="B5" s="10">
        <f>VLOOKUP(B3,'Data-DO NOT PRINT'!B3:Y10,5,0)</f>
        <v>1.0430999999999999</v>
      </c>
    </row>
    <row r="6" spans="1:9" ht="15" x14ac:dyDescent="0.25">
      <c r="A6" s="2" t="s">
        <v>65</v>
      </c>
      <c r="B6" s="10">
        <f>B4*B5</f>
        <v>1564.6499999999999</v>
      </c>
    </row>
    <row r="7" spans="1:9" ht="15" x14ac:dyDescent="0.25">
      <c r="A7" s="2"/>
      <c r="B7" s="10"/>
    </row>
    <row r="8" spans="1:9" ht="15" x14ac:dyDescent="0.25">
      <c r="B8" s="77" t="s">
        <v>36</v>
      </c>
      <c r="C8" s="77"/>
      <c r="D8" s="77"/>
      <c r="E8" s="77" t="s">
        <v>97</v>
      </c>
      <c r="F8" s="77"/>
      <c r="G8" s="77"/>
      <c r="H8" s="77" t="s">
        <v>37</v>
      </c>
      <c r="I8" s="77"/>
    </row>
    <row r="9" spans="1:9" ht="15" x14ac:dyDescent="0.25">
      <c r="A9"/>
      <c r="B9" s="10" t="s">
        <v>1</v>
      </c>
      <c r="C9" s="6" t="s">
        <v>0</v>
      </c>
      <c r="D9" s="10" t="s">
        <v>2</v>
      </c>
      <c r="E9" s="10" t="s">
        <v>1</v>
      </c>
      <c r="F9" s="6" t="s">
        <v>0</v>
      </c>
      <c r="G9" s="10" t="s">
        <v>2</v>
      </c>
      <c r="H9" s="10" t="s">
        <v>38</v>
      </c>
      <c r="I9" s="28" t="s">
        <v>39</v>
      </c>
    </row>
    <row r="10" spans="1:9" ht="15" x14ac:dyDescent="0.25">
      <c r="A10" s="2" t="s">
        <v>41</v>
      </c>
      <c r="B10" s="1">
        <v>1</v>
      </c>
      <c r="C10" s="5">
        <f>VLOOKUP($B$3,'Data-DO NOT PRINT'!$B$3:$AC$10,7,0)</f>
        <v>23.16</v>
      </c>
      <c r="D10" s="5">
        <f t="shared" ref="D10:D13" si="0">B10*C10</f>
        <v>23.16</v>
      </c>
      <c r="E10" s="1">
        <f t="shared" ref="E10:E13" si="1">B10</f>
        <v>1</v>
      </c>
      <c r="F10" s="5">
        <f>VLOOKUP($B$3,'Data-DO NOT PRINT'!$B$3:$AC$10,18,0)</f>
        <v>26.57</v>
      </c>
      <c r="G10" s="5">
        <f t="shared" ref="G10:G13" si="2">E10*F10</f>
        <v>26.57</v>
      </c>
      <c r="H10" s="5">
        <f t="shared" ref="H10:H13" si="3">G10-D10</f>
        <v>3.41</v>
      </c>
      <c r="I10" s="26">
        <f>IF(ISERROR(H10/D10), "",H10/D10)</f>
        <v>0.14723661485319517</v>
      </c>
    </row>
    <row r="11" spans="1:9" ht="15" x14ac:dyDescent="0.25">
      <c r="A11" s="2" t="s">
        <v>42</v>
      </c>
      <c r="B11" s="1">
        <f>B4</f>
        <v>1500</v>
      </c>
      <c r="C11" s="25">
        <f>VLOOKUP($B$3,'Data-DO NOT PRINT'!$B$3:$AC$10,8,0)</f>
        <v>8.8999999999999999E-3</v>
      </c>
      <c r="D11" s="5">
        <f t="shared" si="0"/>
        <v>13.35</v>
      </c>
      <c r="E11" s="1">
        <f t="shared" si="1"/>
        <v>1500</v>
      </c>
      <c r="F11" s="25">
        <f>VLOOKUP($B$3,'Data-DO NOT PRINT'!$B$3:$AC$10,19,0)</f>
        <v>4.4999999999999997E-3</v>
      </c>
      <c r="G11" s="5">
        <f t="shared" si="2"/>
        <v>6.7499999999999991</v>
      </c>
      <c r="H11" s="5">
        <f t="shared" si="3"/>
        <v>-6.6000000000000005</v>
      </c>
      <c r="I11" s="26">
        <f t="shared" ref="I11:I13" si="4">IF(ISERROR(H11/D11), "",H11/D11)</f>
        <v>-0.49438202247191015</v>
      </c>
    </row>
    <row r="12" spans="1:9" ht="15" x14ac:dyDescent="0.25">
      <c r="A12" s="2" t="s">
        <v>43</v>
      </c>
      <c r="B12" s="1">
        <v>1</v>
      </c>
      <c r="C12" s="5">
        <f>VLOOKUP($B$3,'Data-DO NOT PRINT'!$B$3:$AC$10,10,0)</f>
        <v>0.41000000000000003</v>
      </c>
      <c r="D12" s="5">
        <f t="shared" si="0"/>
        <v>0.41000000000000003</v>
      </c>
      <c r="E12" s="1">
        <f t="shared" si="1"/>
        <v>1</v>
      </c>
      <c r="F12" s="5">
        <f>VLOOKUP($B$3,'Data-DO NOT PRINT'!$B$3:$AC$10,21,0)</f>
        <v>0.37</v>
      </c>
      <c r="G12" s="5">
        <f t="shared" si="2"/>
        <v>0.37</v>
      </c>
      <c r="H12" s="5">
        <f t="shared" si="3"/>
        <v>-4.0000000000000036E-2</v>
      </c>
      <c r="I12" s="26">
        <f t="shared" si="4"/>
        <v>-9.756097560975617E-2</v>
      </c>
    </row>
    <row r="13" spans="1:9" ht="15" x14ac:dyDescent="0.25">
      <c r="A13" s="2" t="s">
        <v>44</v>
      </c>
      <c r="B13" s="1">
        <f>B4</f>
        <v>1500</v>
      </c>
      <c r="C13" s="25">
        <f>VLOOKUP($B$3,'Data-DO NOT PRINT'!$B$3:$AC$10,11,0)</f>
        <v>6.9999999999999999E-4</v>
      </c>
      <c r="D13" s="5">
        <f t="shared" si="0"/>
        <v>1.05</v>
      </c>
      <c r="E13" s="1">
        <f t="shared" si="1"/>
        <v>1500</v>
      </c>
      <c r="F13" s="25">
        <f>VLOOKUP($B$3,'Data-DO NOT PRINT'!$B$3:$AC$10,22,0)</f>
        <v>7.5000000000000002E-4</v>
      </c>
      <c r="G13" s="5">
        <f t="shared" si="2"/>
        <v>1.125</v>
      </c>
      <c r="H13" s="5">
        <f t="shared" si="3"/>
        <v>7.4999999999999956E-2</v>
      </c>
      <c r="I13" s="26">
        <f t="shared" si="4"/>
        <v>7.1428571428571383E-2</v>
      </c>
    </row>
    <row r="14" spans="1:9" ht="15" x14ac:dyDescent="0.25">
      <c r="A14" s="18" t="s">
        <v>45</v>
      </c>
      <c r="B14" s="16"/>
      <c r="C14" s="21"/>
      <c r="D14" s="17">
        <f>SUM(D10:D13)</f>
        <v>37.969999999999992</v>
      </c>
      <c r="E14" s="15"/>
      <c r="F14" s="17"/>
      <c r="G14" s="17">
        <f>SUM(G10:G13)</f>
        <v>34.814999999999998</v>
      </c>
      <c r="H14" s="17">
        <f>G14-D14</f>
        <v>-3.154999999999994</v>
      </c>
      <c r="I14" s="27">
        <f>H14/D14</f>
        <v>-8.3091914669475769E-2</v>
      </c>
    </row>
    <row r="15" spans="1:9" ht="15" x14ac:dyDescent="0.25">
      <c r="A15" s="2" t="s">
        <v>46</v>
      </c>
      <c r="B15" s="8">
        <f>B6-B4</f>
        <v>64.649999999999864</v>
      </c>
      <c r="C15" s="24">
        <f>IF(ISNUMBER(SEARCH("_RPP",$B$3)),((0.65*C29)+(0.17*C30)+(0.18*C31)),0.1101)</f>
        <v>8.1990000000000007E-2</v>
      </c>
      <c r="D15" s="5">
        <f>B15*C15</f>
        <v>5.3006534999999895</v>
      </c>
      <c r="E15" s="8">
        <f>B15</f>
        <v>64.649999999999864</v>
      </c>
      <c r="F15" s="24">
        <f>C15</f>
        <v>8.1990000000000007E-2</v>
      </c>
      <c r="G15" s="5">
        <f>E15*F15</f>
        <v>5.3006534999999895</v>
      </c>
      <c r="H15" s="5">
        <f t="shared" ref="H15:H31" si="5">G15-D15</f>
        <v>0</v>
      </c>
      <c r="I15" s="26">
        <f t="shared" ref="I15:I21" si="6">IF(ISERROR(H15/D15), "",H15/D15)</f>
        <v>0</v>
      </c>
    </row>
    <row r="16" spans="1:9" ht="15" x14ac:dyDescent="0.25">
      <c r="A16" s="2" t="s">
        <v>98</v>
      </c>
      <c r="B16" s="1">
        <v>1</v>
      </c>
      <c r="C16" s="5">
        <f>VLOOKUP($B$3,'Data-DO NOT PRINT'!$B$3:$AC$10,12,0)</f>
        <v>0</v>
      </c>
      <c r="D16" s="5">
        <f>B16*C16</f>
        <v>0</v>
      </c>
      <c r="E16" s="1">
        <f>B16</f>
        <v>1</v>
      </c>
      <c r="F16" s="5">
        <f>VLOOKUP($B$3,'Data-DO NOT PRINT'!$B$3:$AC$10,23,0)</f>
        <v>0</v>
      </c>
      <c r="G16" s="5">
        <f>E16*F16</f>
        <v>0</v>
      </c>
      <c r="H16" s="5">
        <f t="shared" si="5"/>
        <v>0</v>
      </c>
      <c r="I16" s="26" t="str">
        <f t="shared" si="6"/>
        <v/>
      </c>
    </row>
    <row r="17" spans="1:9" ht="15" x14ac:dyDescent="0.25">
      <c r="A17" s="2" t="s">
        <v>99</v>
      </c>
      <c r="B17" s="1">
        <f>B4</f>
        <v>1500</v>
      </c>
      <c r="C17" s="25">
        <f>VLOOKUP($B$3,'Data-DO NOT PRINT'!$B$3:$AC$10,13,0)</f>
        <v>-2.5999999999999999E-3</v>
      </c>
      <c r="D17" s="5">
        <f>B17*C17</f>
        <v>-3.9</v>
      </c>
      <c r="E17" s="1">
        <f>B17</f>
        <v>1500</v>
      </c>
      <c r="F17" s="25">
        <f>VLOOKUP($B$3,'Data-DO NOT PRINT'!$B$3:$AC$10,24,0)</f>
        <v>0</v>
      </c>
      <c r="G17" s="5">
        <f>E17*F17</f>
        <v>0</v>
      </c>
      <c r="H17" s="5">
        <f t="shared" si="5"/>
        <v>3.9</v>
      </c>
      <c r="I17" s="26">
        <f t="shared" si="6"/>
        <v>-1</v>
      </c>
    </row>
    <row r="18" spans="1:9" ht="15" x14ac:dyDescent="0.25">
      <c r="A18" s="4" t="s">
        <v>47</v>
      </c>
      <c r="B18" s="1">
        <f>B4</f>
        <v>1500</v>
      </c>
      <c r="C18" s="25">
        <f>VLOOKUP($B$3,'Data-DO NOT PRINT'!$B$3:$AC$10,14,0)</f>
        <v>2.9999999999999997E-4</v>
      </c>
      <c r="D18" s="5">
        <f t="shared" ref="D18:D21" si="7">B18*C18</f>
        <v>0.44999999999999996</v>
      </c>
      <c r="E18" s="1">
        <f t="shared" ref="E18:E21" si="8">B18</f>
        <v>1500</v>
      </c>
      <c r="F18" s="25">
        <f>VLOOKUP($B$3,'Data-DO NOT PRINT'!$B$3:$AC$10,25,0)</f>
        <v>0</v>
      </c>
      <c r="G18" s="5">
        <f t="shared" ref="G18:G21" si="9">E18*F18</f>
        <v>0</v>
      </c>
      <c r="H18" s="5">
        <f t="shared" si="5"/>
        <v>-0.44999999999999996</v>
      </c>
      <c r="I18" s="26">
        <f t="shared" si="6"/>
        <v>-1</v>
      </c>
    </row>
    <row r="19" spans="1:9" ht="15" x14ac:dyDescent="0.25">
      <c r="A19" s="4" t="s">
        <v>48</v>
      </c>
      <c r="B19" s="1">
        <f>B4</f>
        <v>1500</v>
      </c>
      <c r="C19" s="25">
        <f>VLOOKUP($B$3,'Data-DO NOT PRINT'!$B$3:$AC$10,15,0)</f>
        <v>0</v>
      </c>
      <c r="D19" s="5">
        <f t="shared" si="7"/>
        <v>0</v>
      </c>
      <c r="E19" s="1">
        <f>B19</f>
        <v>1500</v>
      </c>
      <c r="F19" s="25">
        <f>VLOOKUP($B$3,'Data-DO NOT PRINT'!$B$3:$AC$10,26,0)</f>
        <v>0</v>
      </c>
      <c r="G19" s="5">
        <f t="shared" si="9"/>
        <v>0</v>
      </c>
      <c r="H19" s="5">
        <f t="shared" si="5"/>
        <v>0</v>
      </c>
      <c r="I19" s="26" t="str">
        <f t="shared" si="6"/>
        <v/>
      </c>
    </row>
    <row r="20" spans="1:9" ht="15" x14ac:dyDescent="0.25">
      <c r="A20" s="4" t="s">
        <v>49</v>
      </c>
      <c r="B20" s="1">
        <f>B4</f>
        <v>1500</v>
      </c>
      <c r="C20" s="25">
        <f>VLOOKUP($B$3,'Data-DO NOT PRINT'!$B$3:$AC$10,9,0)</f>
        <v>0</v>
      </c>
      <c r="D20" s="5">
        <f t="shared" si="7"/>
        <v>0</v>
      </c>
      <c r="E20" s="1">
        <f>B20</f>
        <v>1500</v>
      </c>
      <c r="F20" s="25">
        <f>VLOOKUP($B$3,'Data-DO NOT PRINT'!$B$3:$AC$10,20,0)</f>
        <v>0</v>
      </c>
      <c r="G20" s="5">
        <f t="shared" si="9"/>
        <v>0</v>
      </c>
      <c r="H20" s="5">
        <f t="shared" si="5"/>
        <v>0</v>
      </c>
      <c r="I20" s="26" t="str">
        <f t="shared" si="6"/>
        <v/>
      </c>
    </row>
    <row r="21" spans="1:9" ht="15" x14ac:dyDescent="0.25">
      <c r="A21" s="2" t="s">
        <v>50</v>
      </c>
      <c r="B21" s="1">
        <v>1</v>
      </c>
      <c r="C21" s="5">
        <f>VLOOKUP($B$3,'Data-DO NOT PRINT'!$B$3:$AC$10,6,0)</f>
        <v>0.56999999999999995</v>
      </c>
      <c r="D21" s="5">
        <f t="shared" si="7"/>
        <v>0.56999999999999995</v>
      </c>
      <c r="E21" s="1">
        <f t="shared" si="8"/>
        <v>1</v>
      </c>
      <c r="F21" s="5">
        <f>C21</f>
        <v>0.56999999999999995</v>
      </c>
      <c r="G21" s="5">
        <f t="shared" si="9"/>
        <v>0.56999999999999995</v>
      </c>
      <c r="H21" s="5">
        <f t="shared" si="5"/>
        <v>0</v>
      </c>
      <c r="I21" s="26">
        <f t="shared" si="6"/>
        <v>0</v>
      </c>
    </row>
    <row r="22" spans="1:9" ht="15" x14ac:dyDescent="0.25">
      <c r="A22" s="18" t="s">
        <v>51</v>
      </c>
      <c r="B22" s="16"/>
      <c r="C22" s="21"/>
      <c r="D22" s="17">
        <f>SUM(D14:D21)</f>
        <v>40.390653499999985</v>
      </c>
      <c r="E22" s="16"/>
      <c r="F22" s="21"/>
      <c r="G22" s="17">
        <f>SUM(G14:G21)</f>
        <v>40.685653499999987</v>
      </c>
      <c r="H22" s="17">
        <f>G22-D22</f>
        <v>0.29500000000000171</v>
      </c>
      <c r="I22" s="27">
        <f>H22/D22</f>
        <v>7.3036698948186572E-3</v>
      </c>
    </row>
    <row r="23" spans="1:9" ht="15" x14ac:dyDescent="0.25">
      <c r="A23" s="2" t="s">
        <v>52</v>
      </c>
      <c r="B23" s="8">
        <f>B6</f>
        <v>1564.6499999999999</v>
      </c>
      <c r="C23" s="25">
        <f>VLOOKUP($B$3,'Data-DO NOT PRINT'!$B$3:$AC$10,16,0)</f>
        <v>7.1000000000000004E-3</v>
      </c>
      <c r="D23" s="5">
        <f t="shared" ref="D23:D24" si="10">B23*C23</f>
        <v>11.109014999999999</v>
      </c>
      <c r="E23" s="8">
        <f t="shared" ref="E23:E24" si="11">B23</f>
        <v>1564.6499999999999</v>
      </c>
      <c r="F23" s="25">
        <f>VLOOKUP($B$3,'Data-DO NOT PRINT'!$B$3:$AC$10,27,0)</f>
        <v>7.3000000000000001E-3</v>
      </c>
      <c r="G23" s="5">
        <f t="shared" ref="G23:G24" si="12">E23*F23</f>
        <v>11.421944999999999</v>
      </c>
      <c r="H23" s="5">
        <f t="shared" si="5"/>
        <v>0.31292999999999971</v>
      </c>
      <c r="I23" s="26">
        <f t="shared" ref="I23:I24" si="13">IF(ISERROR(H23/D23), "",H23/D23)</f>
        <v>2.8169014084507019E-2</v>
      </c>
    </row>
    <row r="24" spans="1:9" ht="15" x14ac:dyDescent="0.25">
      <c r="A24" s="2" t="s">
        <v>53</v>
      </c>
      <c r="B24" s="8">
        <f>B6</f>
        <v>1564.6499999999999</v>
      </c>
      <c r="C24" s="25">
        <f>VLOOKUP($B$3,'Data-DO NOT PRINT'!$B$3:$AC$10,17,0)</f>
        <v>6.4000000000000003E-3</v>
      </c>
      <c r="D24" s="5">
        <f t="shared" si="10"/>
        <v>10.01376</v>
      </c>
      <c r="E24" s="8">
        <f t="shared" si="11"/>
        <v>1564.6499999999999</v>
      </c>
      <c r="F24" s="25">
        <f>VLOOKUP($B$3,'Data-DO NOT PRINT'!$B$3:$AC$10,28,0)</f>
        <v>6.1999999999999998E-3</v>
      </c>
      <c r="G24" s="5">
        <f t="shared" si="12"/>
        <v>9.7008299999999981</v>
      </c>
      <c r="H24" s="5">
        <f t="shared" si="5"/>
        <v>-0.31293000000000148</v>
      </c>
      <c r="I24" s="26">
        <f t="shared" si="13"/>
        <v>-3.1250000000000153E-2</v>
      </c>
    </row>
    <row r="25" spans="1:9" ht="15" x14ac:dyDescent="0.25">
      <c r="A25" s="18" t="s">
        <v>54</v>
      </c>
      <c r="B25" s="16"/>
      <c r="C25" s="21"/>
      <c r="D25" s="17">
        <f>SUM(D22:D24)</f>
        <v>61.513428499999982</v>
      </c>
      <c r="E25" s="16"/>
      <c r="F25" s="21"/>
      <c r="G25" s="17">
        <f>SUM(G22:G24)</f>
        <v>61.808428499999984</v>
      </c>
      <c r="H25" s="17">
        <f>G25-D25</f>
        <v>0.29500000000000171</v>
      </c>
      <c r="I25" s="27">
        <f>H25/D25</f>
        <v>4.7957008281533488E-3</v>
      </c>
    </row>
    <row r="26" spans="1:9" ht="15" x14ac:dyDescent="0.25">
      <c r="A26" s="2" t="s">
        <v>55</v>
      </c>
      <c r="B26" s="8">
        <f>B6</f>
        <v>1564.6499999999999</v>
      </c>
      <c r="C26" s="25">
        <v>3.3999999999999998E-3</v>
      </c>
      <c r="D26" s="5">
        <f t="shared" ref="D26:D28" si="14">B26*C26</f>
        <v>5.3198099999999995</v>
      </c>
      <c r="E26" s="8">
        <f t="shared" ref="E26:E28" si="15">B26</f>
        <v>1564.6499999999999</v>
      </c>
      <c r="F26" s="25">
        <v>3.3999999999999998E-3</v>
      </c>
      <c r="G26" s="5">
        <f t="shared" ref="G26:G31" si="16">E26*F26</f>
        <v>5.3198099999999995</v>
      </c>
      <c r="H26" s="5">
        <f t="shared" si="5"/>
        <v>0</v>
      </c>
      <c r="I26" s="26">
        <f t="shared" ref="I26:I31" si="17">IF(ISERROR(H26/D26), "",H26/D26)</f>
        <v>0</v>
      </c>
    </row>
    <row r="27" spans="1:9" ht="15" x14ac:dyDescent="0.25">
      <c r="A27" s="2" t="s">
        <v>56</v>
      </c>
      <c r="B27" s="8">
        <f>B6</f>
        <v>1564.6499999999999</v>
      </c>
      <c r="C27" s="25">
        <v>5.0000000000000001E-4</v>
      </c>
      <c r="D27" s="5">
        <f t="shared" si="14"/>
        <v>0.78232499999999994</v>
      </c>
      <c r="E27" s="8">
        <f t="shared" si="15"/>
        <v>1564.6499999999999</v>
      </c>
      <c r="F27" s="25">
        <v>5.0000000000000001E-4</v>
      </c>
      <c r="G27" s="5">
        <f t="shared" si="16"/>
        <v>0.78232499999999994</v>
      </c>
      <c r="H27" s="5">
        <f t="shared" si="5"/>
        <v>0</v>
      </c>
      <c r="I27" s="26">
        <f t="shared" si="17"/>
        <v>0</v>
      </c>
    </row>
    <row r="28" spans="1:9" ht="15" x14ac:dyDescent="0.25">
      <c r="A28" s="2" t="s">
        <v>57</v>
      </c>
      <c r="B28" s="1">
        <v>1</v>
      </c>
      <c r="C28" s="5">
        <v>0.25</v>
      </c>
      <c r="D28" s="5">
        <f t="shared" si="14"/>
        <v>0.25</v>
      </c>
      <c r="E28" s="1">
        <f t="shared" si="15"/>
        <v>1</v>
      </c>
      <c r="F28" s="5">
        <v>0.25</v>
      </c>
      <c r="G28" s="5">
        <f t="shared" si="16"/>
        <v>0.25</v>
      </c>
      <c r="H28" s="5">
        <f t="shared" si="5"/>
        <v>0</v>
      </c>
      <c r="I28" s="26">
        <f t="shared" si="17"/>
        <v>0</v>
      </c>
    </row>
    <row r="29" spans="1:9" ht="15" x14ac:dyDescent="0.25">
      <c r="A29" s="2" t="s">
        <v>9</v>
      </c>
      <c r="B29" s="1">
        <f>$B$4*0.65</f>
        <v>975</v>
      </c>
      <c r="C29" s="24">
        <v>6.5000000000000002E-2</v>
      </c>
      <c r="D29" s="5">
        <f>B29*C29</f>
        <v>63.375</v>
      </c>
      <c r="E29" s="1">
        <f>B29</f>
        <v>975</v>
      </c>
      <c r="F29" s="24">
        <f>C29</f>
        <v>6.5000000000000002E-2</v>
      </c>
      <c r="G29" s="5">
        <f t="shared" si="16"/>
        <v>63.375</v>
      </c>
      <c r="H29" s="5">
        <f t="shared" si="5"/>
        <v>0</v>
      </c>
      <c r="I29" s="26">
        <f t="shared" si="17"/>
        <v>0</v>
      </c>
    </row>
    <row r="30" spans="1:9" ht="15" x14ac:dyDescent="0.25">
      <c r="A30" s="2" t="s">
        <v>8</v>
      </c>
      <c r="B30" s="1">
        <f>$B$4*0.17</f>
        <v>255.00000000000003</v>
      </c>
      <c r="C30" s="24">
        <v>9.4E-2</v>
      </c>
      <c r="D30" s="5">
        <f t="shared" ref="D30:D31" si="18">B30*C30</f>
        <v>23.970000000000002</v>
      </c>
      <c r="E30" s="1">
        <f>B30</f>
        <v>255.00000000000003</v>
      </c>
      <c r="F30" s="24">
        <f t="shared" ref="F30:F31" si="19">C30</f>
        <v>9.4E-2</v>
      </c>
      <c r="G30" s="5">
        <f t="shared" si="16"/>
        <v>23.970000000000002</v>
      </c>
      <c r="H30" s="5">
        <f t="shared" si="5"/>
        <v>0</v>
      </c>
      <c r="I30" s="26">
        <f t="shared" si="17"/>
        <v>0</v>
      </c>
    </row>
    <row r="31" spans="1:9" x14ac:dyDescent="0.3">
      <c r="A31" s="2" t="s">
        <v>7</v>
      </c>
      <c r="B31" s="1">
        <f>$B$4*0.18</f>
        <v>270</v>
      </c>
      <c r="C31" s="24">
        <v>0.13200000000000001</v>
      </c>
      <c r="D31" s="5">
        <f t="shared" si="18"/>
        <v>35.64</v>
      </c>
      <c r="E31" s="1">
        <f>B31</f>
        <v>270</v>
      </c>
      <c r="F31" s="24">
        <f t="shared" si="19"/>
        <v>0.13200000000000001</v>
      </c>
      <c r="G31" s="5">
        <f t="shared" si="16"/>
        <v>35.64</v>
      </c>
      <c r="H31" s="5">
        <f t="shared" si="5"/>
        <v>0</v>
      </c>
      <c r="I31" s="26">
        <f t="shared" si="17"/>
        <v>0</v>
      </c>
    </row>
    <row r="32" spans="1:9" x14ac:dyDescent="0.3">
      <c r="A32" s="19"/>
      <c r="B32" s="13"/>
      <c r="C32" s="20"/>
      <c r="D32" s="20"/>
      <c r="E32" s="13"/>
      <c r="F32" s="20"/>
      <c r="G32" s="20"/>
      <c r="H32" s="20"/>
      <c r="I32" s="29"/>
    </row>
    <row r="33" spans="1:9" x14ac:dyDescent="0.3">
      <c r="A33" s="2" t="s">
        <v>58</v>
      </c>
      <c r="D33" s="6">
        <f>SUM(D25:D31)</f>
        <v>190.85056349999996</v>
      </c>
      <c r="E33" s="1"/>
      <c r="F33" s="5"/>
      <c r="G33" s="6">
        <f>SUM(G25:G31)</f>
        <v>191.14556349999998</v>
      </c>
      <c r="H33" s="6">
        <f>G33-D33</f>
        <v>0.29500000000001592</v>
      </c>
      <c r="I33" s="28">
        <f t="shared" ref="I33:I36" si="20">IF(ISERROR(H33/D33), "",H33/D33)</f>
        <v>1.5457119674682856E-3</v>
      </c>
    </row>
    <row r="34" spans="1:9" x14ac:dyDescent="0.3">
      <c r="A34" s="2" t="s">
        <v>5</v>
      </c>
      <c r="C34" s="7">
        <v>0.13</v>
      </c>
      <c r="D34" s="5">
        <f>C34*D33</f>
        <v>24.810573254999998</v>
      </c>
      <c r="E34" s="1"/>
      <c r="F34" s="7">
        <v>0.13</v>
      </c>
      <c r="G34" s="5">
        <f>F34*G33</f>
        <v>24.848923254999999</v>
      </c>
      <c r="H34" s="5">
        <f t="shared" ref="H34:H35" si="21">G34-D34</f>
        <v>3.8350000000001216E-2</v>
      </c>
      <c r="I34" s="26">
        <f t="shared" si="20"/>
        <v>1.5457119674682511E-3</v>
      </c>
    </row>
    <row r="35" spans="1:9" x14ac:dyDescent="0.3">
      <c r="A35" s="2" t="s">
        <v>59</v>
      </c>
      <c r="C35" s="7">
        <v>-0.08</v>
      </c>
      <c r="D35" s="5">
        <f>C35*D33</f>
        <v>-15.268045079999997</v>
      </c>
      <c r="E35" s="1"/>
      <c r="F35" s="7">
        <v>-0.08</v>
      </c>
      <c r="G35" s="5">
        <f>F35*G33</f>
        <v>-15.291645079999999</v>
      </c>
      <c r="H35" s="5">
        <f t="shared" si="21"/>
        <v>-2.3600000000001842E-2</v>
      </c>
      <c r="I35" s="26">
        <f t="shared" si="20"/>
        <v>1.5457119674683229E-3</v>
      </c>
    </row>
    <row r="36" spans="1:9" x14ac:dyDescent="0.3">
      <c r="A36" s="2" t="s">
        <v>60</v>
      </c>
      <c r="D36" s="6">
        <f>SUM(D33:D35)</f>
        <v>200.39309167499997</v>
      </c>
      <c r="E36" s="1"/>
      <c r="F36" s="5"/>
      <c r="G36" s="6">
        <f>SUM(G33:G35)</f>
        <v>200.70284167499997</v>
      </c>
      <c r="H36" s="6">
        <f>G36-D36</f>
        <v>0.30975000000000819</v>
      </c>
      <c r="I36" s="28">
        <f t="shared" si="20"/>
        <v>1.5457119674682431E-3</v>
      </c>
    </row>
    <row r="37" spans="1:9" x14ac:dyDescent="0.3">
      <c r="A37" s="13"/>
      <c r="B37" s="13"/>
      <c r="C37" s="20"/>
      <c r="D37" s="14"/>
      <c r="E37" s="14"/>
      <c r="F37" s="23"/>
      <c r="G37" s="14"/>
      <c r="H37" s="20"/>
      <c r="I37" s="29"/>
    </row>
  </sheetData>
  <mergeCells count="4">
    <mergeCell ref="B8:D8"/>
    <mergeCell ref="E8:G8"/>
    <mergeCell ref="H8:I8"/>
    <mergeCell ref="A1:I1"/>
  </mergeCells>
  <pageMargins left="0.25" right="0.25" top="0.75" bottom="0.75" header="0.3" footer="0.3"/>
  <pageSetup scale="85" orientation="landscape" r:id="rId1"/>
  <ignoredErrors>
    <ignoredError sqref="D14:I2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PRINT'!$B$3:$B$10</xm:f>
          </x14:formula1>
          <xm:sqref>B3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F26" sqref="F26:F27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2.109375" customWidth="1"/>
    <col min="5" max="5" width="11" customWidth="1"/>
    <col min="6" max="6" width="11" style="22" customWidth="1"/>
    <col min="7" max="7" width="11" customWidth="1"/>
    <col min="9" max="9" width="9.109375" style="26"/>
  </cols>
  <sheetData>
    <row r="1" spans="1:9" ht="15.6" x14ac:dyDescent="0.3">
      <c r="A1" s="80" t="s">
        <v>96</v>
      </c>
      <c r="B1" s="81"/>
      <c r="C1" s="81"/>
      <c r="D1" s="81"/>
      <c r="E1" s="81"/>
      <c r="F1" s="81"/>
      <c r="G1" s="81"/>
      <c r="H1" s="81"/>
      <c r="I1" s="81"/>
    </row>
    <row r="3" spans="1:9" ht="15" x14ac:dyDescent="0.25">
      <c r="A3" s="2" t="s">
        <v>12</v>
      </c>
      <c r="B3" s="10" t="s">
        <v>91</v>
      </c>
    </row>
    <row r="4" spans="1:9" ht="15" x14ac:dyDescent="0.25">
      <c r="A4" s="2" t="s">
        <v>63</v>
      </c>
      <c r="B4" s="30">
        <f>VLOOKUP($B$3,'Data-DO NOT PRINT'!$B$3:$AC$10,2,0)</f>
        <v>2000</v>
      </c>
    </row>
    <row r="5" spans="1:9" ht="15" x14ac:dyDescent="0.25">
      <c r="A5" s="2" t="s">
        <v>4</v>
      </c>
      <c r="B5" s="10">
        <f>VLOOKUP(B3,'Data-DO NOT PRINT'!B3:Y10,5,0)</f>
        <v>1.0430999999999999</v>
      </c>
    </row>
    <row r="6" spans="1:9" ht="15" x14ac:dyDescent="0.25">
      <c r="A6" s="2" t="s">
        <v>65</v>
      </c>
      <c r="B6" s="30">
        <f>B4*B5</f>
        <v>2086.1999999999998</v>
      </c>
    </row>
    <row r="7" spans="1:9" ht="15" x14ac:dyDescent="0.25">
      <c r="A7" s="2"/>
      <c r="B7" s="10"/>
    </row>
    <row r="8" spans="1:9" ht="15" x14ac:dyDescent="0.25">
      <c r="B8" s="77" t="s">
        <v>36</v>
      </c>
      <c r="C8" s="77"/>
      <c r="D8" s="77"/>
      <c r="E8" s="77" t="s">
        <v>97</v>
      </c>
      <c r="F8" s="77"/>
      <c r="G8" s="77"/>
      <c r="H8" s="77" t="s">
        <v>37</v>
      </c>
      <c r="I8" s="77"/>
    </row>
    <row r="9" spans="1:9" ht="15" x14ac:dyDescent="0.25">
      <c r="A9"/>
      <c r="B9" s="10" t="s">
        <v>1</v>
      </c>
      <c r="C9" s="6" t="s">
        <v>0</v>
      </c>
      <c r="D9" s="10" t="s">
        <v>2</v>
      </c>
      <c r="E9" s="10" t="s">
        <v>1</v>
      </c>
      <c r="F9" s="6" t="s">
        <v>0</v>
      </c>
      <c r="G9" s="10" t="s">
        <v>2</v>
      </c>
      <c r="H9" s="10" t="s">
        <v>38</v>
      </c>
      <c r="I9" s="28" t="s">
        <v>39</v>
      </c>
    </row>
    <row r="10" spans="1:9" ht="15" x14ac:dyDescent="0.25">
      <c r="A10" s="2" t="s">
        <v>41</v>
      </c>
      <c r="B10" s="1">
        <v>1</v>
      </c>
      <c r="C10" s="5">
        <f>VLOOKUP($B$3,'Data-DO NOT PRINT'!$B$3:$AC$10,7,0)</f>
        <v>25.19</v>
      </c>
      <c r="D10" s="5">
        <f t="shared" ref="D10:D13" si="0">B10*C10</f>
        <v>25.19</v>
      </c>
      <c r="E10" s="1">
        <f t="shared" ref="E10:E13" si="1">B10</f>
        <v>1</v>
      </c>
      <c r="F10" s="5">
        <f>VLOOKUP($B$3,'Data-DO NOT PRINT'!$B$3:$AC$10,18,0)</f>
        <v>25.19</v>
      </c>
      <c r="G10" s="5">
        <f t="shared" ref="G10:G13" si="2">E10*F10</f>
        <v>25.19</v>
      </c>
      <c r="H10" s="5">
        <f t="shared" ref="H10:H13" si="3">G10-D10</f>
        <v>0</v>
      </c>
      <c r="I10" s="26">
        <f>IF(ISERROR(H10/D10), "",H10/D10)</f>
        <v>0</v>
      </c>
    </row>
    <row r="11" spans="1:9" ht="15" x14ac:dyDescent="0.25">
      <c r="A11" s="2" t="s">
        <v>42</v>
      </c>
      <c r="B11" s="11">
        <f>B4</f>
        <v>2000</v>
      </c>
      <c r="C11" s="25">
        <f>VLOOKUP($B$3,'Data-DO NOT PRINT'!$B$3:$AC$10,8,0)</f>
        <v>1.4500000000000001E-2</v>
      </c>
      <c r="D11" s="5">
        <f t="shared" si="0"/>
        <v>29</v>
      </c>
      <c r="E11" s="11">
        <f t="shared" si="1"/>
        <v>2000</v>
      </c>
      <c r="F11" s="25">
        <f>VLOOKUP($B$3,'Data-DO NOT PRINT'!$B$3:$AC$10,19,0)</f>
        <v>1.4500000000000001E-2</v>
      </c>
      <c r="G11" s="5">
        <f t="shared" si="2"/>
        <v>29</v>
      </c>
      <c r="H11" s="5">
        <f t="shared" si="3"/>
        <v>0</v>
      </c>
      <c r="I11" s="26">
        <f t="shared" ref="I11:I13" si="4">IF(ISERROR(H11/D11), "",H11/D11)</f>
        <v>0</v>
      </c>
    </row>
    <row r="12" spans="1:9" ht="15" x14ac:dyDescent="0.25">
      <c r="A12" s="2" t="s">
        <v>43</v>
      </c>
      <c r="B12" s="1">
        <v>1</v>
      </c>
      <c r="C12" s="5">
        <f>VLOOKUP($B$3,'Data-DO NOT PRINT'!$B$3:$AC$10,10,0)</f>
        <v>3.99</v>
      </c>
      <c r="D12" s="5">
        <f t="shared" si="0"/>
        <v>3.99</v>
      </c>
      <c r="E12" s="1">
        <f t="shared" si="1"/>
        <v>1</v>
      </c>
      <c r="F12" s="5">
        <f>VLOOKUP($B$3,'Data-DO NOT PRINT'!$B$3:$AC$10,21,0)</f>
        <v>3.99</v>
      </c>
      <c r="G12" s="5">
        <f t="shared" si="2"/>
        <v>3.99</v>
      </c>
      <c r="H12" s="5">
        <f t="shared" si="3"/>
        <v>0</v>
      </c>
      <c r="I12" s="26">
        <f t="shared" si="4"/>
        <v>0</v>
      </c>
    </row>
    <row r="13" spans="1:9" ht="15" x14ac:dyDescent="0.25">
      <c r="A13" s="2" t="s">
        <v>44</v>
      </c>
      <c r="B13" s="11">
        <f>B4</f>
        <v>2000</v>
      </c>
      <c r="C13" s="25">
        <f>VLOOKUP($B$3,'Data-DO NOT PRINT'!$B$3:$AC$10,11,0)</f>
        <v>5.0000000000000001E-4</v>
      </c>
      <c r="D13" s="5">
        <f t="shared" si="0"/>
        <v>1</v>
      </c>
      <c r="E13" s="11">
        <f t="shared" si="1"/>
        <v>2000</v>
      </c>
      <c r="F13" s="25">
        <f>VLOOKUP($B$3,'Data-DO NOT PRINT'!$B$3:$AC$10,22,0)</f>
        <v>5.0000000000000001E-4</v>
      </c>
      <c r="G13" s="5">
        <f t="shared" si="2"/>
        <v>1</v>
      </c>
      <c r="H13" s="5">
        <f t="shared" si="3"/>
        <v>0</v>
      </c>
      <c r="I13" s="26">
        <f t="shared" si="4"/>
        <v>0</v>
      </c>
    </row>
    <row r="14" spans="1:9" ht="15" x14ac:dyDescent="0.25">
      <c r="A14" s="18" t="s">
        <v>45</v>
      </c>
      <c r="B14" s="16"/>
      <c r="C14" s="21"/>
      <c r="D14" s="17">
        <f>SUM(D10:D13)</f>
        <v>59.18</v>
      </c>
      <c r="E14" s="15"/>
      <c r="F14" s="17"/>
      <c r="G14" s="17">
        <f>SUM(G10:G13)</f>
        <v>59.18</v>
      </c>
      <c r="H14" s="17">
        <f>G14-D14</f>
        <v>0</v>
      </c>
      <c r="I14" s="27">
        <f>H14/D14</f>
        <v>0</v>
      </c>
    </row>
    <row r="15" spans="1:9" ht="15" x14ac:dyDescent="0.25">
      <c r="A15" s="2" t="s">
        <v>46</v>
      </c>
      <c r="B15" s="11">
        <f>B6-B4</f>
        <v>86.199999999999818</v>
      </c>
      <c r="C15" s="24">
        <f>IF(ISNUMBER(SEARCH("_RPP",$B$3)),((0.65*C29)+(0.17*C30)+(0.18*C31)),0.1101)</f>
        <v>8.1990000000000007E-2</v>
      </c>
      <c r="D15" s="5">
        <f>B15*C15</f>
        <v>7.0675379999999857</v>
      </c>
      <c r="E15" s="11">
        <f>B15</f>
        <v>86.199999999999818</v>
      </c>
      <c r="F15" s="24">
        <f>C15</f>
        <v>8.1990000000000007E-2</v>
      </c>
      <c r="G15" s="5">
        <f>E15*F15</f>
        <v>7.0675379999999857</v>
      </c>
      <c r="H15" s="5">
        <f t="shared" ref="H15:H31" si="5">G15-D15</f>
        <v>0</v>
      </c>
      <c r="I15" s="26">
        <f t="shared" ref="I15:I21" si="6">IF(ISERROR(H15/D15), "",H15/D15)</f>
        <v>0</v>
      </c>
    </row>
    <row r="16" spans="1:9" ht="15" x14ac:dyDescent="0.25">
      <c r="A16" s="2" t="s">
        <v>98</v>
      </c>
      <c r="B16" s="1">
        <v>1</v>
      </c>
      <c r="C16" s="5">
        <f>VLOOKUP($B$3,'Data-DO NOT PRINT'!$B$3:$AC$10,12,0)</f>
        <v>0</v>
      </c>
      <c r="D16" s="5">
        <f>B16*C16</f>
        <v>0</v>
      </c>
      <c r="E16" s="1">
        <f>B16</f>
        <v>1</v>
      </c>
      <c r="F16" s="5">
        <f>VLOOKUP($B$3,'Data-DO NOT PRINT'!$B$3:$AC$10,23,0)</f>
        <v>0</v>
      </c>
      <c r="G16" s="5">
        <f>E16*F16</f>
        <v>0</v>
      </c>
      <c r="H16" s="5">
        <f t="shared" si="5"/>
        <v>0</v>
      </c>
      <c r="I16" s="26" t="str">
        <f t="shared" si="6"/>
        <v/>
      </c>
    </row>
    <row r="17" spans="1:9" ht="15" x14ac:dyDescent="0.25">
      <c r="A17" s="2" t="s">
        <v>99</v>
      </c>
      <c r="B17" s="11">
        <f>B4</f>
        <v>2000</v>
      </c>
      <c r="C17" s="25">
        <f>VLOOKUP($B$3,'Data-DO NOT PRINT'!$B$3:$AC$10,13,0)</f>
        <v>-2.5999999999999999E-3</v>
      </c>
      <c r="D17" s="5">
        <f>B17*C17</f>
        <v>-5.2</v>
      </c>
      <c r="E17" s="11">
        <f>B17</f>
        <v>2000</v>
      </c>
      <c r="F17" s="25">
        <f>VLOOKUP($B$3,'Data-DO NOT PRINT'!$B$3:$AC$10,24,0)</f>
        <v>0</v>
      </c>
      <c r="G17" s="5">
        <f>E17*F17</f>
        <v>0</v>
      </c>
      <c r="H17" s="5">
        <f t="shared" si="5"/>
        <v>5.2</v>
      </c>
      <c r="I17" s="26">
        <f t="shared" si="6"/>
        <v>-1</v>
      </c>
    </row>
    <row r="18" spans="1:9" ht="15" x14ac:dyDescent="0.25">
      <c r="A18" s="4" t="s">
        <v>47</v>
      </c>
      <c r="B18" s="11">
        <f>B4</f>
        <v>2000</v>
      </c>
      <c r="C18" s="25">
        <f>VLOOKUP($B$3,'Data-DO NOT PRINT'!$B$3:$AC$10,14,0)</f>
        <v>2.9999999999999997E-4</v>
      </c>
      <c r="D18" s="5">
        <f t="shared" ref="D18:D21" si="7">B18*C18</f>
        <v>0.6</v>
      </c>
      <c r="E18" s="11">
        <f t="shared" ref="E18:E21" si="8">B18</f>
        <v>2000</v>
      </c>
      <c r="F18" s="25">
        <f>VLOOKUP($B$3,'Data-DO NOT PRINT'!$B$3:$AC$10,25,0)</f>
        <v>0</v>
      </c>
      <c r="G18" s="5">
        <f t="shared" ref="G18:G21" si="9">E18*F18</f>
        <v>0</v>
      </c>
      <c r="H18" s="5">
        <f t="shared" si="5"/>
        <v>-0.6</v>
      </c>
      <c r="I18" s="26">
        <f t="shared" si="6"/>
        <v>-1</v>
      </c>
    </row>
    <row r="19" spans="1:9" ht="15" x14ac:dyDescent="0.25">
      <c r="A19" s="4" t="s">
        <v>48</v>
      </c>
      <c r="B19" s="11">
        <f>B4</f>
        <v>2000</v>
      </c>
      <c r="C19" s="25">
        <f>VLOOKUP($B$3,'Data-DO NOT PRINT'!$B$3:$AC$10,15,0)</f>
        <v>0</v>
      </c>
      <c r="D19" s="5">
        <f t="shared" si="7"/>
        <v>0</v>
      </c>
      <c r="E19" s="11">
        <f>B19</f>
        <v>2000</v>
      </c>
      <c r="F19" s="25">
        <f>VLOOKUP($B$3,'Data-DO NOT PRINT'!$B$3:$AC$10,26,0)</f>
        <v>0</v>
      </c>
      <c r="G19" s="5">
        <f t="shared" si="9"/>
        <v>0</v>
      </c>
      <c r="H19" s="5">
        <f t="shared" si="5"/>
        <v>0</v>
      </c>
      <c r="I19" s="26" t="str">
        <f t="shared" si="6"/>
        <v/>
      </c>
    </row>
    <row r="20" spans="1:9" ht="15" x14ac:dyDescent="0.25">
      <c r="A20" s="4" t="s">
        <v>49</v>
      </c>
      <c r="B20" s="11">
        <f>B4</f>
        <v>2000</v>
      </c>
      <c r="C20" s="25">
        <f>VLOOKUP($B$3,'Data-DO NOT PRINT'!$B$3:$AC$10,9,0)</f>
        <v>0</v>
      </c>
      <c r="D20" s="5">
        <f t="shared" si="7"/>
        <v>0</v>
      </c>
      <c r="E20" s="11">
        <f>B20</f>
        <v>2000</v>
      </c>
      <c r="F20" s="25">
        <f>VLOOKUP($B$3,'Data-DO NOT PRINT'!$B$3:$AC$10,20,0)</f>
        <v>0</v>
      </c>
      <c r="G20" s="5">
        <f t="shared" si="9"/>
        <v>0</v>
      </c>
      <c r="H20" s="5">
        <f t="shared" si="5"/>
        <v>0</v>
      </c>
      <c r="I20" s="26" t="str">
        <f t="shared" si="6"/>
        <v/>
      </c>
    </row>
    <row r="21" spans="1:9" ht="15" x14ac:dyDescent="0.25">
      <c r="A21" s="2" t="s">
        <v>50</v>
      </c>
      <c r="B21" s="1">
        <v>1</v>
      </c>
      <c r="C21" s="5">
        <f>VLOOKUP($B$3,'Data-DO NOT PRINT'!$B$3:$AC$10,6,0)</f>
        <v>0.56999999999999995</v>
      </c>
      <c r="D21" s="5">
        <f t="shared" si="7"/>
        <v>0.56999999999999995</v>
      </c>
      <c r="E21" s="1">
        <f t="shared" si="8"/>
        <v>1</v>
      </c>
      <c r="F21" s="5">
        <f>C21</f>
        <v>0.56999999999999995</v>
      </c>
      <c r="G21" s="5">
        <f t="shared" si="9"/>
        <v>0.56999999999999995</v>
      </c>
      <c r="H21" s="5">
        <f t="shared" si="5"/>
        <v>0</v>
      </c>
      <c r="I21" s="26">
        <f t="shared" si="6"/>
        <v>0</v>
      </c>
    </row>
    <row r="22" spans="1:9" ht="15" x14ac:dyDescent="0.25">
      <c r="A22" s="18" t="s">
        <v>51</v>
      </c>
      <c r="B22" s="16"/>
      <c r="C22" s="21"/>
      <c r="D22" s="17">
        <f>SUM(D14:D21)</f>
        <v>62.21753799999999</v>
      </c>
      <c r="E22" s="16"/>
      <c r="F22" s="21"/>
      <c r="G22" s="17">
        <f>SUM(G14:G21)</f>
        <v>66.817537999999985</v>
      </c>
      <c r="H22" s="17">
        <f>G22-D22</f>
        <v>4.5999999999999943</v>
      </c>
      <c r="I22" s="27">
        <f>H22/D22</f>
        <v>7.393413734886127E-2</v>
      </c>
    </row>
    <row r="23" spans="1:9" ht="15" x14ac:dyDescent="0.25">
      <c r="A23" s="2" t="s">
        <v>52</v>
      </c>
      <c r="B23" s="11">
        <f>B6</f>
        <v>2086.1999999999998</v>
      </c>
      <c r="C23" s="25">
        <f>VLOOKUP($B$3,'Data-DO NOT PRINT'!$B$3:$AC$10,16,0)</f>
        <v>6.4000000000000003E-3</v>
      </c>
      <c r="D23" s="5">
        <f t="shared" ref="D23:D24" si="10">B23*C23</f>
        <v>13.35168</v>
      </c>
      <c r="E23" s="11">
        <f t="shared" ref="E23:E24" si="11">B23</f>
        <v>2086.1999999999998</v>
      </c>
      <c r="F23" s="25">
        <f>VLOOKUP($B$3,'Data-DO NOT PRINT'!$B$3:$AC$10,27,0)</f>
        <v>6.6E-3</v>
      </c>
      <c r="G23" s="5">
        <f t="shared" ref="G23:G24" si="12">E23*F23</f>
        <v>13.76892</v>
      </c>
      <c r="H23" s="5">
        <f t="shared" si="5"/>
        <v>0.41723999999999961</v>
      </c>
      <c r="I23" s="26">
        <f t="shared" ref="I23:I24" si="13">IF(ISERROR(H23/D23), "",H23/D23)</f>
        <v>3.1249999999999972E-2</v>
      </c>
    </row>
    <row r="24" spans="1:9" ht="15" x14ac:dyDescent="0.25">
      <c r="A24" s="2" t="s">
        <v>53</v>
      </c>
      <c r="B24" s="11">
        <f>B6</f>
        <v>2086.1999999999998</v>
      </c>
      <c r="C24" s="25">
        <f>VLOOKUP($B$3,'Data-DO NOT PRINT'!$B$3:$AC$10,17,0)</f>
        <v>6.0000000000000001E-3</v>
      </c>
      <c r="D24" s="5">
        <f t="shared" si="10"/>
        <v>12.517199999999999</v>
      </c>
      <c r="E24" s="11">
        <f t="shared" si="11"/>
        <v>2086.1999999999998</v>
      </c>
      <c r="F24" s="25">
        <f>VLOOKUP($B$3,'Data-DO NOT PRINT'!$B$3:$AC$10,28,0)</f>
        <v>5.7999999999999996E-3</v>
      </c>
      <c r="G24" s="5">
        <f t="shared" si="12"/>
        <v>12.099959999999998</v>
      </c>
      <c r="H24" s="5">
        <f t="shared" si="5"/>
        <v>-0.41724000000000139</v>
      </c>
      <c r="I24" s="26">
        <f t="shared" si="13"/>
        <v>-3.3333333333333444E-2</v>
      </c>
    </row>
    <row r="25" spans="1:9" ht="15" x14ac:dyDescent="0.25">
      <c r="A25" s="18" t="s">
        <v>54</v>
      </c>
      <c r="B25" s="16"/>
      <c r="C25" s="21"/>
      <c r="D25" s="17">
        <f>SUM(D22:D24)</f>
        <v>88.086417999999995</v>
      </c>
      <c r="E25" s="31"/>
      <c r="F25" s="21"/>
      <c r="G25" s="17">
        <f>SUM(G22:G24)</f>
        <v>92.686417999999975</v>
      </c>
      <c r="H25" s="17">
        <f>G25-D25</f>
        <v>4.5999999999999801</v>
      </c>
      <c r="I25" s="27">
        <f>H25/D25</f>
        <v>5.2221444627252075E-2</v>
      </c>
    </row>
    <row r="26" spans="1:9" ht="15" x14ac:dyDescent="0.25">
      <c r="A26" s="2" t="s">
        <v>55</v>
      </c>
      <c r="B26" s="11">
        <f>B6</f>
        <v>2086.1999999999998</v>
      </c>
      <c r="C26" s="25">
        <v>3.3999999999999998E-3</v>
      </c>
      <c r="D26" s="5">
        <f t="shared" ref="D26:D28" si="14">B26*C26</f>
        <v>7.0930799999999987</v>
      </c>
      <c r="E26" s="11">
        <f t="shared" ref="E26:E28" si="15">B26</f>
        <v>2086.1999999999998</v>
      </c>
      <c r="F26" s="25">
        <v>3.3999999999999998E-3</v>
      </c>
      <c r="G26" s="5">
        <f t="shared" ref="G26:G31" si="16">E26*F26</f>
        <v>7.0930799999999987</v>
      </c>
      <c r="H26" s="5">
        <f t="shared" si="5"/>
        <v>0</v>
      </c>
      <c r="I26" s="26">
        <f t="shared" ref="I26:I31" si="17">IF(ISERROR(H26/D26), "",H26/D26)</f>
        <v>0</v>
      </c>
    </row>
    <row r="27" spans="1:9" ht="15" x14ac:dyDescent="0.25">
      <c r="A27" s="2" t="s">
        <v>56</v>
      </c>
      <c r="B27" s="11">
        <f>B6</f>
        <v>2086.1999999999998</v>
      </c>
      <c r="C27" s="25">
        <v>5.0000000000000001E-4</v>
      </c>
      <c r="D27" s="5">
        <f t="shared" si="14"/>
        <v>1.0430999999999999</v>
      </c>
      <c r="E27" s="11">
        <f t="shared" si="15"/>
        <v>2086.1999999999998</v>
      </c>
      <c r="F27" s="25">
        <v>5.0000000000000001E-4</v>
      </c>
      <c r="G27" s="5">
        <f t="shared" si="16"/>
        <v>1.0430999999999999</v>
      </c>
      <c r="H27" s="5">
        <f t="shared" si="5"/>
        <v>0</v>
      </c>
      <c r="I27" s="26">
        <f t="shared" si="17"/>
        <v>0</v>
      </c>
    </row>
    <row r="28" spans="1:9" ht="15" x14ac:dyDescent="0.25">
      <c r="A28" s="2" t="s">
        <v>57</v>
      </c>
      <c r="B28" s="1">
        <v>1</v>
      </c>
      <c r="C28" s="5">
        <v>0.25</v>
      </c>
      <c r="D28" s="5">
        <f t="shared" si="14"/>
        <v>0.25</v>
      </c>
      <c r="E28" s="1">
        <f t="shared" si="15"/>
        <v>1</v>
      </c>
      <c r="F28" s="5">
        <v>0.25</v>
      </c>
      <c r="G28" s="5">
        <f t="shared" si="16"/>
        <v>0.25</v>
      </c>
      <c r="H28" s="5">
        <f t="shared" si="5"/>
        <v>0</v>
      </c>
      <c r="I28" s="26">
        <f t="shared" si="17"/>
        <v>0</v>
      </c>
    </row>
    <row r="29" spans="1:9" ht="15" x14ac:dyDescent="0.25">
      <c r="A29" s="2" t="s">
        <v>9</v>
      </c>
      <c r="B29" s="11">
        <f>$B$4*0.65</f>
        <v>1300</v>
      </c>
      <c r="C29" s="24">
        <v>6.5000000000000002E-2</v>
      </c>
      <c r="D29" s="5">
        <f>B29*C29</f>
        <v>84.5</v>
      </c>
      <c r="E29" s="11">
        <f>B29</f>
        <v>1300</v>
      </c>
      <c r="F29" s="24">
        <f>C29</f>
        <v>6.5000000000000002E-2</v>
      </c>
      <c r="G29" s="5">
        <f t="shared" si="16"/>
        <v>84.5</v>
      </c>
      <c r="H29" s="5">
        <f t="shared" si="5"/>
        <v>0</v>
      </c>
      <c r="I29" s="26">
        <f t="shared" si="17"/>
        <v>0</v>
      </c>
    </row>
    <row r="30" spans="1:9" ht="15" x14ac:dyDescent="0.25">
      <c r="A30" s="2" t="s">
        <v>8</v>
      </c>
      <c r="B30" s="11">
        <f>$B$4*0.17</f>
        <v>340</v>
      </c>
      <c r="C30" s="24">
        <v>9.4E-2</v>
      </c>
      <c r="D30" s="5">
        <f t="shared" ref="D30:D31" si="18">B30*C30</f>
        <v>31.96</v>
      </c>
      <c r="E30" s="11">
        <f>B30</f>
        <v>340</v>
      </c>
      <c r="F30" s="24">
        <f t="shared" ref="F30:F31" si="19">C30</f>
        <v>9.4E-2</v>
      </c>
      <c r="G30" s="5">
        <f t="shared" si="16"/>
        <v>31.96</v>
      </c>
      <c r="H30" s="5">
        <f t="shared" si="5"/>
        <v>0</v>
      </c>
      <c r="I30" s="26">
        <f t="shared" si="17"/>
        <v>0</v>
      </c>
    </row>
    <row r="31" spans="1:9" x14ac:dyDescent="0.3">
      <c r="A31" s="2" t="s">
        <v>7</v>
      </c>
      <c r="B31" s="11">
        <f>$B$4*0.18</f>
        <v>360</v>
      </c>
      <c r="C31" s="24">
        <v>0.13200000000000001</v>
      </c>
      <c r="D31" s="5">
        <f t="shared" si="18"/>
        <v>47.52</v>
      </c>
      <c r="E31" s="11">
        <f>B31</f>
        <v>360</v>
      </c>
      <c r="F31" s="24">
        <f t="shared" si="19"/>
        <v>0.13200000000000001</v>
      </c>
      <c r="G31" s="5">
        <f t="shared" si="16"/>
        <v>47.52</v>
      </c>
      <c r="H31" s="5">
        <f t="shared" si="5"/>
        <v>0</v>
      </c>
      <c r="I31" s="26">
        <f t="shared" si="17"/>
        <v>0</v>
      </c>
    </row>
    <row r="32" spans="1:9" x14ac:dyDescent="0.3">
      <c r="A32" s="19"/>
      <c r="B32" s="13"/>
      <c r="C32" s="20"/>
      <c r="D32" s="20"/>
      <c r="E32" s="13"/>
      <c r="F32" s="20"/>
      <c r="G32" s="20"/>
      <c r="H32" s="20"/>
      <c r="I32" s="29"/>
    </row>
    <row r="33" spans="1:9" x14ac:dyDescent="0.3">
      <c r="A33" s="2" t="s">
        <v>58</v>
      </c>
      <c r="D33" s="6">
        <f>SUM(D25:D31)</f>
        <v>260.45259800000002</v>
      </c>
      <c r="E33" s="1"/>
      <c r="F33" s="5"/>
      <c r="G33" s="6">
        <f>SUM(G25:G31)</f>
        <v>265.05259799999999</v>
      </c>
      <c r="H33" s="6">
        <f>G33-D33</f>
        <v>4.5999999999999659</v>
      </c>
      <c r="I33" s="28">
        <f t="shared" ref="I33:I36" si="20">IF(ISERROR(H33/D33), "",H33/D33)</f>
        <v>1.7661563122514774E-2</v>
      </c>
    </row>
    <row r="34" spans="1:9" x14ac:dyDescent="0.3">
      <c r="A34" s="2" t="s">
        <v>5</v>
      </c>
      <c r="C34" s="7">
        <v>0.13</v>
      </c>
      <c r="D34" s="5">
        <f>C34*D33</f>
        <v>33.858837740000006</v>
      </c>
      <c r="E34" s="1"/>
      <c r="F34" s="7">
        <v>0.13</v>
      </c>
      <c r="G34" s="5">
        <f>F34*G33</f>
        <v>34.456837739999997</v>
      </c>
      <c r="H34" s="5">
        <f t="shared" ref="H34:H35" si="21">G34-D34</f>
        <v>0.59799999999999187</v>
      </c>
      <c r="I34" s="26">
        <f t="shared" si="20"/>
        <v>1.7661563122514663E-2</v>
      </c>
    </row>
    <row r="35" spans="1:9" x14ac:dyDescent="0.3">
      <c r="A35" s="2" t="s">
        <v>59</v>
      </c>
      <c r="C35" s="7">
        <v>-0.08</v>
      </c>
      <c r="D35" s="5">
        <f>C35*D33</f>
        <v>-20.836207840000004</v>
      </c>
      <c r="E35" s="1"/>
      <c r="F35" s="7">
        <v>-0.08</v>
      </c>
      <c r="G35" s="5">
        <f>F35*G33</f>
        <v>-21.204207839999999</v>
      </c>
      <c r="H35" s="5">
        <f t="shared" si="21"/>
        <v>-0.367999999999995</v>
      </c>
      <c r="I35" s="26">
        <f t="shared" si="20"/>
        <v>1.7661563122514663E-2</v>
      </c>
    </row>
    <row r="36" spans="1:9" x14ac:dyDescent="0.3">
      <c r="A36" s="2" t="s">
        <v>60</v>
      </c>
      <c r="D36" s="6">
        <f>SUM(D33:D35)</f>
        <v>273.47522790000005</v>
      </c>
      <c r="E36" s="1"/>
      <c r="F36" s="5"/>
      <c r="G36" s="6">
        <f>SUM(G33:G35)</f>
        <v>278.30522789999998</v>
      </c>
      <c r="H36" s="6">
        <f>G36-D36</f>
        <v>4.8299999999999272</v>
      </c>
      <c r="I36" s="28">
        <f t="shared" si="20"/>
        <v>1.7661563122514639E-2</v>
      </c>
    </row>
    <row r="37" spans="1:9" x14ac:dyDescent="0.3">
      <c r="A37" s="13"/>
      <c r="B37" s="13"/>
      <c r="C37" s="20"/>
      <c r="D37" s="14"/>
      <c r="E37" s="14"/>
      <c r="F37" s="23"/>
      <c r="G37" s="14"/>
      <c r="H37" s="20"/>
      <c r="I37" s="29"/>
    </row>
  </sheetData>
  <mergeCells count="4">
    <mergeCell ref="B8:D8"/>
    <mergeCell ref="E8:G8"/>
    <mergeCell ref="H8:I8"/>
    <mergeCell ref="A1:I1"/>
  </mergeCells>
  <pageMargins left="0.25" right="0.25" top="0.75" bottom="0.75" header="0.3" footer="0.3"/>
  <pageSetup scale="85" orientation="landscape" r:id="rId1"/>
  <ignoredErrors>
    <ignoredError sqref="D14:I2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PRINT'!$B$3:$B$10</xm:f>
          </x14:formula1>
          <xm:sqref>B3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F26" sqref="F26:F27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3.33203125" customWidth="1"/>
    <col min="5" max="5" width="11" customWidth="1"/>
    <col min="6" max="6" width="11" style="22" customWidth="1"/>
    <col min="7" max="7" width="13.5546875" customWidth="1"/>
    <col min="8" max="8" width="12.44140625" customWidth="1"/>
    <col min="9" max="9" width="11.88671875" style="26" customWidth="1"/>
  </cols>
  <sheetData>
    <row r="1" spans="1:9" ht="15.6" x14ac:dyDescent="0.3">
      <c r="A1" s="80" t="s">
        <v>96</v>
      </c>
      <c r="B1" s="81"/>
      <c r="C1" s="81"/>
      <c r="D1" s="81"/>
      <c r="E1" s="81"/>
      <c r="F1" s="81"/>
      <c r="G1" s="81"/>
      <c r="H1" s="81"/>
      <c r="I1" s="81"/>
    </row>
    <row r="3" spans="1:9" ht="15" x14ac:dyDescent="0.25">
      <c r="A3" s="2" t="s">
        <v>12</v>
      </c>
      <c r="B3" s="10" t="s">
        <v>89</v>
      </c>
    </row>
    <row r="4" spans="1:9" ht="15" x14ac:dyDescent="0.25">
      <c r="A4" s="2" t="s">
        <v>63</v>
      </c>
      <c r="B4" s="30">
        <f>VLOOKUP($B$3,'Data-DO NOT PRINT'!$B$3:$AC$10,2,0)</f>
        <v>219000</v>
      </c>
    </row>
    <row r="5" spans="1:9" ht="15" x14ac:dyDescent="0.25">
      <c r="A5" s="2" t="s">
        <v>62</v>
      </c>
      <c r="B5" s="10">
        <f>VLOOKUP($B$3,'Data-DO NOT PRINT'!$B$3:$AC$10,3,0)</f>
        <v>500</v>
      </c>
    </row>
    <row r="6" spans="1:9" ht="15" x14ac:dyDescent="0.25">
      <c r="A6" s="2" t="s">
        <v>4</v>
      </c>
      <c r="B6" s="10">
        <f>VLOOKUP(B3,'Data-DO NOT PRINT'!B3:Y10,5,0)</f>
        <v>1.0430999999999999</v>
      </c>
    </row>
    <row r="7" spans="1:9" ht="15" x14ac:dyDescent="0.25">
      <c r="A7" s="2" t="s">
        <v>26</v>
      </c>
      <c r="B7" s="30">
        <f>B4*B6</f>
        <v>228438.9</v>
      </c>
    </row>
    <row r="8" spans="1:9" ht="15" x14ac:dyDescent="0.25">
      <c r="A8" s="2"/>
      <c r="B8" s="10"/>
    </row>
    <row r="9" spans="1:9" ht="15" x14ac:dyDescent="0.25">
      <c r="B9" s="77" t="s">
        <v>36</v>
      </c>
      <c r="C9" s="77"/>
      <c r="D9" s="77"/>
      <c r="E9" s="77" t="s">
        <v>97</v>
      </c>
      <c r="F9" s="77"/>
      <c r="G9" s="77"/>
      <c r="H9" s="77" t="s">
        <v>37</v>
      </c>
      <c r="I9" s="77"/>
    </row>
    <row r="10" spans="1:9" ht="15" x14ac:dyDescent="0.25">
      <c r="A10"/>
      <c r="B10" s="10" t="s">
        <v>1</v>
      </c>
      <c r="C10" s="6" t="s">
        <v>0</v>
      </c>
      <c r="D10" s="10" t="s">
        <v>2</v>
      </c>
      <c r="E10" s="10" t="s">
        <v>1</v>
      </c>
      <c r="F10" s="6" t="s">
        <v>0</v>
      </c>
      <c r="G10" s="10" t="s">
        <v>2</v>
      </c>
      <c r="H10" s="10" t="s">
        <v>38</v>
      </c>
      <c r="I10" s="28" t="s">
        <v>39</v>
      </c>
    </row>
    <row r="11" spans="1:9" ht="15" x14ac:dyDescent="0.25">
      <c r="A11" s="2" t="s">
        <v>41</v>
      </c>
      <c r="B11" s="1">
        <v>1</v>
      </c>
      <c r="C11" s="5">
        <f>VLOOKUP($B$3,'Data-DO NOT PRINT'!$B$3:$AC$10,7,0)</f>
        <v>139.96</v>
      </c>
      <c r="D11" s="5">
        <f t="shared" ref="D11:D14" si="0">B11*C11</f>
        <v>139.96</v>
      </c>
      <c r="E11" s="1">
        <f t="shared" ref="E11:E14" si="1">B11</f>
        <v>1</v>
      </c>
      <c r="F11" s="5">
        <f>VLOOKUP($B$3,'Data-DO NOT PRINT'!$B$3:$AC$10,18,0)</f>
        <v>139.96</v>
      </c>
      <c r="G11" s="5">
        <f t="shared" ref="G11:G14" si="2">E11*F11</f>
        <v>139.96</v>
      </c>
      <c r="H11" s="5">
        <f t="shared" ref="H11:H14" si="3">G11-D11</f>
        <v>0</v>
      </c>
      <c r="I11" s="26">
        <f>IF(ISERROR(H11/D11), "",H11/D11)</f>
        <v>0</v>
      </c>
    </row>
    <row r="12" spans="1:9" ht="15" x14ac:dyDescent="0.25">
      <c r="A12" s="2" t="s">
        <v>42</v>
      </c>
      <c r="B12" s="11">
        <f>B5</f>
        <v>500</v>
      </c>
      <c r="C12" s="25">
        <f>VLOOKUP($B$3,'Data-DO NOT PRINT'!$B$3:$AC$10,8,0)</f>
        <v>2.5777000000000001</v>
      </c>
      <c r="D12" s="5">
        <f t="shared" si="0"/>
        <v>1288.8500000000001</v>
      </c>
      <c r="E12" s="11">
        <f t="shared" si="1"/>
        <v>500</v>
      </c>
      <c r="F12" s="25">
        <f>VLOOKUP($B$3,'Data-DO NOT PRINT'!$B$3:$AC$10,19,0)</f>
        <v>2.5777000000000001</v>
      </c>
      <c r="G12" s="5">
        <f t="shared" si="2"/>
        <v>1288.8500000000001</v>
      </c>
      <c r="H12" s="5">
        <f t="shared" si="3"/>
        <v>0</v>
      </c>
      <c r="I12" s="26">
        <f t="shared" ref="I12:I14" si="4">IF(ISERROR(H12/D12), "",H12/D12)</f>
        <v>0</v>
      </c>
    </row>
    <row r="13" spans="1:9" ht="15" x14ac:dyDescent="0.25">
      <c r="A13" s="2" t="s">
        <v>43</v>
      </c>
      <c r="B13" s="1">
        <v>1</v>
      </c>
      <c r="C13" s="5">
        <f>VLOOKUP($B$3,'Data-DO NOT PRINT'!$B$3:$AC$10,10,0)</f>
        <v>-1.4</v>
      </c>
      <c r="D13" s="5">
        <f t="shared" si="0"/>
        <v>-1.4</v>
      </c>
      <c r="E13" s="1">
        <f t="shared" si="1"/>
        <v>1</v>
      </c>
      <c r="F13" s="5">
        <f>VLOOKUP($B$3,'Data-DO NOT PRINT'!$B$3:$AC$10,21,0)</f>
        <v>-1.4</v>
      </c>
      <c r="G13" s="5">
        <f t="shared" si="2"/>
        <v>-1.4</v>
      </c>
      <c r="H13" s="5">
        <f t="shared" si="3"/>
        <v>0</v>
      </c>
      <c r="I13" s="26">
        <f t="shared" si="4"/>
        <v>0</v>
      </c>
    </row>
    <row r="14" spans="1:9" ht="15" x14ac:dyDescent="0.25">
      <c r="A14" s="2" t="s">
        <v>44</v>
      </c>
      <c r="B14" s="11">
        <f>B5</f>
        <v>500</v>
      </c>
      <c r="C14" s="25">
        <f>VLOOKUP($B$3,'Data-DO NOT PRINT'!$B$3:$AC$10,11,0)</f>
        <v>0.29930000000000001</v>
      </c>
      <c r="D14" s="5">
        <f t="shared" si="0"/>
        <v>149.65</v>
      </c>
      <c r="E14" s="11">
        <f t="shared" si="1"/>
        <v>500</v>
      </c>
      <c r="F14" s="25">
        <f>VLOOKUP($B$3,'Data-DO NOT PRINT'!$B$3:$AC$10,22,0)</f>
        <v>0.29930000000000001</v>
      </c>
      <c r="G14" s="5">
        <f t="shared" si="2"/>
        <v>149.65</v>
      </c>
      <c r="H14" s="5">
        <f t="shared" si="3"/>
        <v>0</v>
      </c>
      <c r="I14" s="26">
        <f t="shared" si="4"/>
        <v>0</v>
      </c>
    </row>
    <row r="15" spans="1:9" ht="15" x14ac:dyDescent="0.25">
      <c r="A15" s="18" t="s">
        <v>45</v>
      </c>
      <c r="B15" s="16"/>
      <c r="C15" s="21"/>
      <c r="D15" s="17">
        <f>SUM(D11:D14)</f>
        <v>1577.0600000000002</v>
      </c>
      <c r="E15" s="15"/>
      <c r="F15" s="17"/>
      <c r="G15" s="17">
        <f>SUM(G11:G14)</f>
        <v>1577.0600000000002</v>
      </c>
      <c r="H15" s="17">
        <f>G15-D15</f>
        <v>0</v>
      </c>
      <c r="I15" s="27">
        <f>H15/D15</f>
        <v>0</v>
      </c>
    </row>
    <row r="16" spans="1:9" ht="15" x14ac:dyDescent="0.25">
      <c r="A16" s="2" t="s">
        <v>98</v>
      </c>
      <c r="B16" s="1">
        <v>1</v>
      </c>
      <c r="C16" s="5">
        <f>VLOOKUP($B$3,'Data-DO NOT PRINT'!$B$3:$AC$10,12,0)</f>
        <v>0</v>
      </c>
      <c r="D16" s="5">
        <f>B16*C16</f>
        <v>0</v>
      </c>
      <c r="E16" s="1">
        <f>B16</f>
        <v>1</v>
      </c>
      <c r="F16" s="5">
        <f>VLOOKUP($B$3,'Data-DO NOT PRINT'!$B$3:$AC$10,23,0)</f>
        <v>0</v>
      </c>
      <c r="G16" s="5">
        <f>E16*F16</f>
        <v>0</v>
      </c>
      <c r="H16" s="5">
        <f t="shared" ref="H16:H29" si="5">G16-D16</f>
        <v>0</v>
      </c>
      <c r="I16" s="26" t="str">
        <f t="shared" ref="I16:I21" si="6">IF(ISERROR(H16/D16), "",H16/D16)</f>
        <v/>
      </c>
    </row>
    <row r="17" spans="1:9" ht="15" x14ac:dyDescent="0.25">
      <c r="A17" s="2" t="s">
        <v>99</v>
      </c>
      <c r="B17" s="11">
        <f>B5</f>
        <v>500</v>
      </c>
      <c r="C17" s="25">
        <f>VLOOKUP($B$3,'Data-DO NOT PRINT'!$B$3:$AC$10,13,0)</f>
        <v>-0.93729999999999991</v>
      </c>
      <c r="D17" s="5">
        <f>B17*C17</f>
        <v>-468.65</v>
      </c>
      <c r="E17" s="11">
        <f>B17</f>
        <v>500</v>
      </c>
      <c r="F17" s="25">
        <f>VLOOKUP($B$3,'Data-DO NOT PRINT'!$B$3:$AC$10,24,0)</f>
        <v>0</v>
      </c>
      <c r="G17" s="5">
        <f>E17*F17</f>
        <v>0</v>
      </c>
      <c r="H17" s="5">
        <f t="shared" si="5"/>
        <v>468.65</v>
      </c>
      <c r="I17" s="26">
        <f t="shared" si="6"/>
        <v>-1</v>
      </c>
    </row>
    <row r="18" spans="1:9" ht="15" x14ac:dyDescent="0.25">
      <c r="A18" s="4" t="s">
        <v>47</v>
      </c>
      <c r="B18" s="11">
        <f>B5</f>
        <v>500</v>
      </c>
      <c r="C18" s="25">
        <f>VLOOKUP($B$3,'Data-DO NOT PRINT'!$B$3:$AC$10,14,0)</f>
        <v>9.3899999999999997E-2</v>
      </c>
      <c r="D18" s="5">
        <f t="shared" ref="D18:D21" si="7">B18*C18</f>
        <v>46.949999999999996</v>
      </c>
      <c r="E18" s="11">
        <f t="shared" ref="E18:E21" si="8">B18</f>
        <v>500</v>
      </c>
      <c r="F18" s="25">
        <f>VLOOKUP($B$3,'Data-DO NOT PRINT'!$B$3:$AC$10,25,0)</f>
        <v>0</v>
      </c>
      <c r="G18" s="5">
        <f t="shared" ref="G18:G21" si="9">E18*F18</f>
        <v>0</v>
      </c>
      <c r="H18" s="5">
        <f t="shared" si="5"/>
        <v>-46.949999999999996</v>
      </c>
      <c r="I18" s="26">
        <f t="shared" si="6"/>
        <v>-1</v>
      </c>
    </row>
    <row r="19" spans="1:9" ht="15" x14ac:dyDescent="0.25">
      <c r="A19" s="4" t="s">
        <v>48</v>
      </c>
      <c r="B19" s="11">
        <f>B4</f>
        <v>219000</v>
      </c>
      <c r="C19" s="25">
        <f>VLOOKUP($B$3,'Data-DO NOT PRINT'!$B$3:$AC$10,15,0)</f>
        <v>3.5999999999999999E-3</v>
      </c>
      <c r="D19" s="5">
        <f t="shared" si="7"/>
        <v>788.4</v>
      </c>
      <c r="E19" s="11">
        <f>B19</f>
        <v>219000</v>
      </c>
      <c r="F19" s="25">
        <f>VLOOKUP($B$3,'Data-DO NOT PRINT'!$B$3:$AC$10,26,0)</f>
        <v>0</v>
      </c>
      <c r="G19" s="5">
        <f t="shared" si="9"/>
        <v>0</v>
      </c>
      <c r="H19" s="5">
        <f t="shared" si="5"/>
        <v>-788.4</v>
      </c>
      <c r="I19" s="26">
        <f t="shared" si="6"/>
        <v>-1</v>
      </c>
    </row>
    <row r="20" spans="1:9" ht="15" x14ac:dyDescent="0.25">
      <c r="A20" s="4" t="s">
        <v>49</v>
      </c>
      <c r="B20" s="11">
        <f>B5</f>
        <v>500</v>
      </c>
      <c r="C20" s="25">
        <f>VLOOKUP($B$3,'Data-DO NOT PRINT'!$B$3:$AC$10,9,0)</f>
        <v>0</v>
      </c>
      <c r="D20" s="5">
        <f t="shared" si="7"/>
        <v>0</v>
      </c>
      <c r="E20" s="11">
        <f>B20</f>
        <v>500</v>
      </c>
      <c r="F20" s="25">
        <f>VLOOKUP($B$3,'Data-DO NOT PRINT'!$B$3:$AC$10,20,0)</f>
        <v>0</v>
      </c>
      <c r="G20" s="5">
        <f t="shared" si="9"/>
        <v>0</v>
      </c>
      <c r="H20" s="5">
        <f t="shared" si="5"/>
        <v>0</v>
      </c>
      <c r="I20" s="26" t="str">
        <f t="shared" si="6"/>
        <v/>
      </c>
    </row>
    <row r="21" spans="1:9" ht="15" x14ac:dyDescent="0.25">
      <c r="A21" s="2" t="s">
        <v>50</v>
      </c>
      <c r="B21" s="1">
        <v>1</v>
      </c>
      <c r="C21" s="5">
        <f>VLOOKUP($B$3,'Data-DO NOT PRINT'!$B$3:$AC$10,6,0)</f>
        <v>0</v>
      </c>
      <c r="D21" s="5">
        <f t="shared" si="7"/>
        <v>0</v>
      </c>
      <c r="E21" s="1">
        <f t="shared" si="8"/>
        <v>1</v>
      </c>
      <c r="F21" s="5">
        <f>C21</f>
        <v>0</v>
      </c>
      <c r="G21" s="5">
        <f t="shared" si="9"/>
        <v>0</v>
      </c>
      <c r="H21" s="5">
        <f t="shared" si="5"/>
        <v>0</v>
      </c>
      <c r="I21" s="26" t="str">
        <f t="shared" si="6"/>
        <v/>
      </c>
    </row>
    <row r="22" spans="1:9" ht="15" x14ac:dyDescent="0.25">
      <c r="A22" s="18" t="s">
        <v>51</v>
      </c>
      <c r="B22" s="16"/>
      <c r="C22" s="21"/>
      <c r="D22" s="17">
        <f>SUM(D15:D21)</f>
        <v>1943.7600000000002</v>
      </c>
      <c r="E22" s="16"/>
      <c r="F22" s="21"/>
      <c r="G22" s="17">
        <f>SUM(G15:G21)</f>
        <v>1577.0600000000002</v>
      </c>
      <c r="H22" s="17">
        <f>G22-D22</f>
        <v>-366.70000000000005</v>
      </c>
      <c r="I22" s="27">
        <f>H22/D22</f>
        <v>-0.18865497798082068</v>
      </c>
    </row>
    <row r="23" spans="1:9" ht="15" x14ac:dyDescent="0.25">
      <c r="A23" s="2" t="s">
        <v>52</v>
      </c>
      <c r="B23" s="11">
        <f>B5</f>
        <v>500</v>
      </c>
      <c r="C23" s="25">
        <f>VLOOKUP($B$3,'Data-DO NOT PRINT'!$B$3:$AC$10,16,0)</f>
        <v>2.7526999999999999</v>
      </c>
      <c r="D23" s="5">
        <f t="shared" ref="D23:D24" si="10">B23*C23</f>
        <v>1376.35</v>
      </c>
      <c r="E23" s="11">
        <f t="shared" ref="E23:E24" si="11">B23</f>
        <v>500</v>
      </c>
      <c r="F23" s="25">
        <f>VLOOKUP($B$3,'Data-DO NOT PRINT'!$B$3:$AC$10,27,0)</f>
        <v>2.8287</v>
      </c>
      <c r="G23" s="5">
        <f t="shared" ref="G23:G24" si="12">E23*F23</f>
        <v>1414.35</v>
      </c>
      <c r="H23" s="5">
        <f t="shared" si="5"/>
        <v>38</v>
      </c>
      <c r="I23" s="26">
        <f t="shared" ref="I23:I24" si="13">IF(ISERROR(H23/D23), "",H23/D23)</f>
        <v>2.7609256366476553E-2</v>
      </c>
    </row>
    <row r="24" spans="1:9" ht="15" x14ac:dyDescent="0.25">
      <c r="A24" s="2" t="s">
        <v>53</v>
      </c>
      <c r="B24" s="11">
        <f>B5</f>
        <v>500</v>
      </c>
      <c r="C24" s="25">
        <f>VLOOKUP($B$3,'Data-DO NOT PRINT'!$B$3:$AC$10,17,0)</f>
        <v>2.5512000000000001</v>
      </c>
      <c r="D24" s="5">
        <f t="shared" si="10"/>
        <v>1275.6000000000001</v>
      </c>
      <c r="E24" s="11">
        <f t="shared" si="11"/>
        <v>500</v>
      </c>
      <c r="F24" s="25">
        <f>VLOOKUP($B$3,'Data-DO NOT PRINT'!$B$3:$AC$10,28,0)</f>
        <v>2.4698000000000002</v>
      </c>
      <c r="G24" s="5">
        <f t="shared" si="12"/>
        <v>1234.9000000000001</v>
      </c>
      <c r="H24" s="5">
        <f t="shared" si="5"/>
        <v>-40.700000000000045</v>
      </c>
      <c r="I24" s="26">
        <f t="shared" si="13"/>
        <v>-3.1906553778614018E-2</v>
      </c>
    </row>
    <row r="25" spans="1:9" ht="15" x14ac:dyDescent="0.25">
      <c r="A25" s="18" t="s">
        <v>54</v>
      </c>
      <c r="B25" s="16"/>
      <c r="C25" s="21"/>
      <c r="D25" s="17">
        <f>SUM(D22:D24)</f>
        <v>4595.71</v>
      </c>
      <c r="E25" s="16"/>
      <c r="F25" s="21"/>
      <c r="G25" s="17">
        <f>SUM(G22:G24)</f>
        <v>4226.3099999999995</v>
      </c>
      <c r="H25" s="17">
        <f>G25-D25</f>
        <v>-369.40000000000055</v>
      </c>
      <c r="I25" s="27">
        <f>H25/D25</f>
        <v>-8.0379310269795209E-2</v>
      </c>
    </row>
    <row r="26" spans="1:9" ht="15" x14ac:dyDescent="0.25">
      <c r="A26" s="2" t="s">
        <v>55</v>
      </c>
      <c r="B26" s="11">
        <f>B7</f>
        <v>228438.9</v>
      </c>
      <c r="C26" s="25">
        <v>3.3999999999999998E-3</v>
      </c>
      <c r="D26" s="5">
        <f t="shared" ref="D26:D28" si="14">B26*C26</f>
        <v>776.69225999999992</v>
      </c>
      <c r="E26" s="11">
        <f t="shared" ref="E26:E28" si="15">B26</f>
        <v>228438.9</v>
      </c>
      <c r="F26" s="25">
        <v>3.3999999999999998E-3</v>
      </c>
      <c r="G26" s="5">
        <f t="shared" ref="G26:G29" si="16">E26*F26</f>
        <v>776.69225999999992</v>
      </c>
      <c r="H26" s="5">
        <f t="shared" si="5"/>
        <v>0</v>
      </c>
      <c r="I26" s="26">
        <f t="shared" ref="I26:I29" si="17">IF(ISERROR(H26/D26), "",H26/D26)</f>
        <v>0</v>
      </c>
    </row>
    <row r="27" spans="1:9" ht="15" x14ac:dyDescent="0.25">
      <c r="A27" s="2" t="s">
        <v>56</v>
      </c>
      <c r="B27" s="11">
        <f>B7</f>
        <v>228438.9</v>
      </c>
      <c r="C27" s="25">
        <v>5.0000000000000001E-4</v>
      </c>
      <c r="D27" s="5">
        <f t="shared" si="14"/>
        <v>114.21944999999999</v>
      </c>
      <c r="E27" s="11">
        <f t="shared" si="15"/>
        <v>228438.9</v>
      </c>
      <c r="F27" s="25">
        <v>5.0000000000000001E-4</v>
      </c>
      <c r="G27" s="5">
        <f t="shared" si="16"/>
        <v>114.21944999999999</v>
      </c>
      <c r="H27" s="5">
        <f t="shared" si="5"/>
        <v>0</v>
      </c>
      <c r="I27" s="26">
        <f t="shared" si="17"/>
        <v>0</v>
      </c>
    </row>
    <row r="28" spans="1:9" ht="15" x14ac:dyDescent="0.25">
      <c r="A28" s="2" t="s">
        <v>57</v>
      </c>
      <c r="B28" s="1">
        <v>1</v>
      </c>
      <c r="C28" s="5">
        <v>0.25</v>
      </c>
      <c r="D28" s="5">
        <f t="shared" si="14"/>
        <v>0.25</v>
      </c>
      <c r="E28" s="1">
        <f t="shared" si="15"/>
        <v>1</v>
      </c>
      <c r="F28" s="5">
        <v>0.25</v>
      </c>
      <c r="G28" s="5">
        <f t="shared" si="16"/>
        <v>0.25</v>
      </c>
      <c r="H28" s="5">
        <f t="shared" si="5"/>
        <v>0</v>
      </c>
      <c r="I28" s="26">
        <f t="shared" si="17"/>
        <v>0</v>
      </c>
    </row>
    <row r="29" spans="1:9" ht="15" x14ac:dyDescent="0.25">
      <c r="A29" s="2" t="s">
        <v>64</v>
      </c>
      <c r="B29" s="11">
        <f>B7</f>
        <v>228438.9</v>
      </c>
      <c r="C29" s="25">
        <v>0.1101</v>
      </c>
      <c r="D29" s="5">
        <f>B29*C29</f>
        <v>25151.122889999999</v>
      </c>
      <c r="E29" s="11">
        <f>B29</f>
        <v>228438.9</v>
      </c>
      <c r="F29" s="25">
        <f>C29</f>
        <v>0.1101</v>
      </c>
      <c r="G29" s="5">
        <f t="shared" si="16"/>
        <v>25151.122889999999</v>
      </c>
      <c r="H29" s="5">
        <f t="shared" si="5"/>
        <v>0</v>
      </c>
      <c r="I29" s="26">
        <f t="shared" si="17"/>
        <v>0</v>
      </c>
    </row>
    <row r="30" spans="1:9" ht="15" x14ac:dyDescent="0.25">
      <c r="A30" s="19"/>
      <c r="B30" s="13"/>
      <c r="C30" s="20"/>
      <c r="D30" s="20"/>
      <c r="E30" s="13"/>
      <c r="F30" s="20"/>
      <c r="G30" s="20"/>
      <c r="H30" s="20"/>
      <c r="I30" s="29"/>
    </row>
    <row r="31" spans="1:9" x14ac:dyDescent="0.3">
      <c r="A31" s="2" t="s">
        <v>58</v>
      </c>
      <c r="D31" s="6">
        <f>SUM(D25:D29)</f>
        <v>30637.994599999998</v>
      </c>
      <c r="E31" s="1"/>
      <c r="F31" s="5"/>
      <c r="G31" s="6">
        <f>SUM(G25:G29)</f>
        <v>30268.594599999997</v>
      </c>
      <c r="H31" s="6">
        <f>G31-D31</f>
        <v>-369.40000000000146</v>
      </c>
      <c r="I31" s="28">
        <f t="shared" ref="I31:I33" si="18">IF(ISERROR(H31/D31), "",H31/D31)</f>
        <v>-1.2056924900691818E-2</v>
      </c>
    </row>
    <row r="32" spans="1:9" x14ac:dyDescent="0.3">
      <c r="A32" s="2" t="s">
        <v>5</v>
      </c>
      <c r="C32" s="7">
        <v>0.13</v>
      </c>
      <c r="D32" s="5">
        <f>C32*D31</f>
        <v>3982.9392979999998</v>
      </c>
      <c r="E32" s="1"/>
      <c r="F32" s="7">
        <v>0.13</v>
      </c>
      <c r="G32" s="5">
        <f>F32*G31</f>
        <v>3934.9172979999998</v>
      </c>
      <c r="H32" s="5">
        <f t="shared" ref="H32" si="19">G32-D32</f>
        <v>-48.021999999999935</v>
      </c>
      <c r="I32" s="26">
        <f t="shared" si="18"/>
        <v>-1.2056924900691754E-2</v>
      </c>
    </row>
    <row r="33" spans="1:9" x14ac:dyDescent="0.3">
      <c r="A33" s="2" t="s">
        <v>60</v>
      </c>
      <c r="D33" s="6">
        <f>SUM(D31:D32)</f>
        <v>34620.933897999996</v>
      </c>
      <c r="E33" s="1"/>
      <c r="F33" s="5"/>
      <c r="G33" s="6">
        <f>SUM(G31:G32)</f>
        <v>34203.511897999997</v>
      </c>
      <c r="H33" s="6">
        <f>G33-D33</f>
        <v>-417.42199999999866</v>
      </c>
      <c r="I33" s="28">
        <f t="shared" si="18"/>
        <v>-1.2056924900691733E-2</v>
      </c>
    </row>
    <row r="34" spans="1:9" x14ac:dyDescent="0.3">
      <c r="A34" s="13"/>
      <c r="B34" s="13"/>
      <c r="C34" s="20"/>
      <c r="D34" s="14"/>
      <c r="E34" s="14"/>
      <c r="F34" s="23"/>
      <c r="G34" s="14"/>
      <c r="H34" s="20"/>
      <c r="I34" s="29"/>
    </row>
  </sheetData>
  <mergeCells count="4">
    <mergeCell ref="B9:D9"/>
    <mergeCell ref="E9:G9"/>
    <mergeCell ref="H9:I9"/>
    <mergeCell ref="A1:I1"/>
  </mergeCells>
  <pageMargins left="0.25" right="0.25" top="0.75" bottom="0.75" header="0.3" footer="0.3"/>
  <pageSetup scale="85" orientation="landscape" r:id="rId1"/>
  <ignoredErrors>
    <ignoredError sqref="D15:I2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PRINT'!$B$3:$B$10</xm:f>
          </x14:formula1>
          <xm:sqref>B3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opLeftCell="A7" workbookViewId="0">
      <selection activeCell="F26" sqref="F26:F27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3.33203125" customWidth="1"/>
    <col min="5" max="5" width="11" customWidth="1"/>
    <col min="6" max="6" width="11" style="22" customWidth="1"/>
    <col min="7" max="7" width="13.5546875" customWidth="1"/>
    <col min="8" max="8" width="12.44140625" customWidth="1"/>
    <col min="9" max="9" width="11.88671875" style="26" customWidth="1"/>
  </cols>
  <sheetData>
    <row r="1" spans="1:9" ht="15.6" x14ac:dyDescent="0.3">
      <c r="A1" s="80" t="s">
        <v>96</v>
      </c>
      <c r="B1" s="81"/>
      <c r="C1" s="81"/>
      <c r="D1" s="81"/>
      <c r="E1" s="81"/>
      <c r="F1" s="81"/>
      <c r="G1" s="81"/>
      <c r="H1" s="81"/>
      <c r="I1" s="81"/>
    </row>
    <row r="3" spans="1:9" ht="15" x14ac:dyDescent="0.25">
      <c r="A3" s="2" t="s">
        <v>12</v>
      </c>
      <c r="B3" s="50" t="s">
        <v>90</v>
      </c>
    </row>
    <row r="4" spans="1:9" ht="15" x14ac:dyDescent="0.25">
      <c r="A4" s="2" t="s">
        <v>63</v>
      </c>
      <c r="B4" s="30">
        <f>VLOOKUP($B$3,'Data-DO NOT PRINT'!$B$3:$AC$10,2,0)</f>
        <v>1095000</v>
      </c>
    </row>
    <row r="5" spans="1:9" ht="15" x14ac:dyDescent="0.25">
      <c r="A5" s="2" t="s">
        <v>62</v>
      </c>
      <c r="B5" s="30">
        <f>VLOOKUP($B$3,'Data-DO NOT PRINT'!$B$3:$AC$10,3)</f>
        <v>2500</v>
      </c>
    </row>
    <row r="6" spans="1:9" ht="15" x14ac:dyDescent="0.25">
      <c r="A6" s="2" t="s">
        <v>4</v>
      </c>
      <c r="B6" s="50">
        <f>VLOOKUP(B3,'Data-DO NOT PRINT'!B3:Y10,5,0)</f>
        <v>1.0430999999999999</v>
      </c>
    </row>
    <row r="7" spans="1:9" ht="15" x14ac:dyDescent="0.25">
      <c r="A7" s="2" t="s">
        <v>26</v>
      </c>
      <c r="B7" s="30">
        <f>B4*B6</f>
        <v>1142194.5</v>
      </c>
    </row>
    <row r="8" spans="1:9" ht="15" x14ac:dyDescent="0.25">
      <c r="A8" s="2"/>
      <c r="B8" s="50"/>
    </row>
    <row r="9" spans="1:9" ht="15" x14ac:dyDescent="0.25">
      <c r="B9" s="77" t="s">
        <v>36</v>
      </c>
      <c r="C9" s="77"/>
      <c r="D9" s="77"/>
      <c r="E9" s="77" t="s">
        <v>97</v>
      </c>
      <c r="F9" s="77"/>
      <c r="G9" s="77"/>
      <c r="H9" s="77" t="s">
        <v>37</v>
      </c>
      <c r="I9" s="77"/>
    </row>
    <row r="10" spans="1:9" ht="15" x14ac:dyDescent="0.25">
      <c r="A10"/>
      <c r="B10" s="50" t="s">
        <v>1</v>
      </c>
      <c r="C10" s="6" t="s">
        <v>0</v>
      </c>
      <c r="D10" s="50" t="s">
        <v>2</v>
      </c>
      <c r="E10" s="50" t="s">
        <v>1</v>
      </c>
      <c r="F10" s="6" t="s">
        <v>0</v>
      </c>
      <c r="G10" s="50" t="s">
        <v>2</v>
      </c>
      <c r="H10" s="50" t="s">
        <v>38</v>
      </c>
      <c r="I10" s="28" t="s">
        <v>39</v>
      </c>
    </row>
    <row r="11" spans="1:9" ht="15" x14ac:dyDescent="0.25">
      <c r="A11" s="2" t="s">
        <v>41</v>
      </c>
      <c r="B11" s="1">
        <v>1</v>
      </c>
      <c r="C11" s="5">
        <f>VLOOKUP($B$3,'Data-DO NOT PRINT'!$B$3:$AC$10,7,0)</f>
        <v>518.85</v>
      </c>
      <c r="D11" s="5">
        <f t="shared" ref="D11:D14" si="0">B11*C11</f>
        <v>518.85</v>
      </c>
      <c r="E11" s="1">
        <f t="shared" ref="E11:E14" si="1">B11</f>
        <v>1</v>
      </c>
      <c r="F11" s="5">
        <f>VLOOKUP($B$3,'Data-DO NOT PRINT'!$B$3:$AC$10,18,0)</f>
        <v>518.85</v>
      </c>
      <c r="G11" s="5">
        <f t="shared" ref="G11:G14" si="2">E11*F11</f>
        <v>518.85</v>
      </c>
      <c r="H11" s="5">
        <f t="shared" ref="H11:H14" si="3">G11-D11</f>
        <v>0</v>
      </c>
      <c r="I11" s="26">
        <f>IF(ISERROR(H11/D11), "",H11/D11)</f>
        <v>0</v>
      </c>
    </row>
    <row r="12" spans="1:9" ht="15" x14ac:dyDescent="0.25">
      <c r="A12" s="2" t="s">
        <v>42</v>
      </c>
      <c r="B12" s="11">
        <f>B5</f>
        <v>2500</v>
      </c>
      <c r="C12" s="25">
        <f>VLOOKUP($B$3,'Data-DO NOT PRINT'!$B$3:$AC$10,8,0)</f>
        <v>2.7397999999999998</v>
      </c>
      <c r="D12" s="5">
        <f t="shared" si="0"/>
        <v>6849.4999999999991</v>
      </c>
      <c r="E12" s="11">
        <f t="shared" si="1"/>
        <v>2500</v>
      </c>
      <c r="F12" s="25">
        <f>VLOOKUP($B$3,'Data-DO NOT PRINT'!$B$3:$AC$10,19,0)</f>
        <v>2.7397999999999998</v>
      </c>
      <c r="G12" s="5">
        <f t="shared" si="2"/>
        <v>6849.4999999999991</v>
      </c>
      <c r="H12" s="5">
        <f t="shared" si="3"/>
        <v>0</v>
      </c>
      <c r="I12" s="26">
        <f t="shared" ref="I12:I14" si="4">IF(ISERROR(H12/D12), "",H12/D12)</f>
        <v>0</v>
      </c>
    </row>
    <row r="13" spans="1:9" ht="15" x14ac:dyDescent="0.25">
      <c r="A13" s="2" t="s">
        <v>43</v>
      </c>
      <c r="B13" s="1">
        <v>1</v>
      </c>
      <c r="C13" s="5">
        <f>VLOOKUP($B$3,'Data-DO NOT PRINT'!$B$3:$AC$10,10,0)</f>
        <v>-5.19</v>
      </c>
      <c r="D13" s="5">
        <f t="shared" si="0"/>
        <v>-5.19</v>
      </c>
      <c r="E13" s="1">
        <f t="shared" si="1"/>
        <v>1</v>
      </c>
      <c r="F13" s="5">
        <f>VLOOKUP($B$3,'Data-DO NOT PRINT'!$B$3:$AC$10,21,0)</f>
        <v>-5.19</v>
      </c>
      <c r="G13" s="5">
        <f t="shared" si="2"/>
        <v>-5.19</v>
      </c>
      <c r="H13" s="5">
        <f t="shared" si="3"/>
        <v>0</v>
      </c>
      <c r="I13" s="26">
        <f t="shared" si="4"/>
        <v>0</v>
      </c>
    </row>
    <row r="14" spans="1:9" ht="15" x14ac:dyDescent="0.25">
      <c r="A14" s="2" t="s">
        <v>44</v>
      </c>
      <c r="B14" s="11">
        <f>B5</f>
        <v>2500</v>
      </c>
      <c r="C14" s="25">
        <f>VLOOKUP($B$3,'Data-DO NOT PRINT'!$B$3:$AC$10,11,0)</f>
        <v>0.4521</v>
      </c>
      <c r="D14" s="5">
        <f t="shared" si="0"/>
        <v>1130.25</v>
      </c>
      <c r="E14" s="11">
        <f t="shared" si="1"/>
        <v>2500</v>
      </c>
      <c r="F14" s="25">
        <f>VLOOKUP($B$3,'Data-DO NOT PRINT'!$B$3:$AC$10,22,0)</f>
        <v>0.4521</v>
      </c>
      <c r="G14" s="5">
        <f t="shared" si="2"/>
        <v>1130.25</v>
      </c>
      <c r="H14" s="5">
        <f t="shared" si="3"/>
        <v>0</v>
      </c>
      <c r="I14" s="26">
        <f t="shared" si="4"/>
        <v>0</v>
      </c>
    </row>
    <row r="15" spans="1:9" ht="15" x14ac:dyDescent="0.25">
      <c r="A15" s="18" t="s">
        <v>45</v>
      </c>
      <c r="B15" s="16"/>
      <c r="C15" s="21"/>
      <c r="D15" s="17">
        <f>SUM(D11:D14)</f>
        <v>8493.41</v>
      </c>
      <c r="E15" s="15"/>
      <c r="F15" s="17"/>
      <c r="G15" s="17">
        <f>SUM(G11:G14)</f>
        <v>8493.41</v>
      </c>
      <c r="H15" s="17">
        <f>G15-D15</f>
        <v>0</v>
      </c>
      <c r="I15" s="27">
        <f>H15/D15</f>
        <v>0</v>
      </c>
    </row>
    <row r="16" spans="1:9" ht="15" x14ac:dyDescent="0.25">
      <c r="A16" s="2" t="s">
        <v>98</v>
      </c>
      <c r="B16" s="1">
        <v>1</v>
      </c>
      <c r="C16" s="5">
        <f>VLOOKUP($B$3,'Data-DO NOT PRINT'!$B$3:$AC$10,12,0)</f>
        <v>0</v>
      </c>
      <c r="D16" s="5">
        <f>B16*C16</f>
        <v>0</v>
      </c>
      <c r="E16" s="1">
        <f>B16</f>
        <v>1</v>
      </c>
      <c r="F16" s="5">
        <f>VLOOKUP($B$3,'Data-DO NOT PRINT'!$B$3:$AC$10,23,0)</f>
        <v>0</v>
      </c>
      <c r="G16" s="5">
        <f>E16*F16</f>
        <v>0</v>
      </c>
      <c r="H16" s="5">
        <f t="shared" ref="H16:H29" si="5">G16-D16</f>
        <v>0</v>
      </c>
      <c r="I16" s="26" t="str">
        <f t="shared" ref="I16:I21" si="6">IF(ISERROR(H16/D16), "",H16/D16)</f>
        <v/>
      </c>
    </row>
    <row r="17" spans="1:9" ht="15" x14ac:dyDescent="0.25">
      <c r="A17" s="2" t="s">
        <v>99</v>
      </c>
      <c r="B17" s="11">
        <f>B5</f>
        <v>2500</v>
      </c>
      <c r="C17" s="25">
        <f>VLOOKUP($B$3,'Data-DO NOT PRINT'!$B$3:$AC$10,13,0)</f>
        <v>-1.1587000000000001</v>
      </c>
      <c r="D17" s="5">
        <f>B17*C17</f>
        <v>-2896.75</v>
      </c>
      <c r="E17" s="11">
        <f>B17</f>
        <v>2500</v>
      </c>
      <c r="F17" s="25">
        <f>VLOOKUP($B$3,'Data-DO NOT PRINT'!$B$3:$AC$10,24,0)</f>
        <v>0</v>
      </c>
      <c r="G17" s="5">
        <f>E17*F17</f>
        <v>0</v>
      </c>
      <c r="H17" s="5">
        <f t="shared" si="5"/>
        <v>2896.75</v>
      </c>
      <c r="I17" s="26">
        <f t="shared" si="6"/>
        <v>-1</v>
      </c>
    </row>
    <row r="18" spans="1:9" ht="15" x14ac:dyDescent="0.25">
      <c r="A18" s="4" t="s">
        <v>47</v>
      </c>
      <c r="B18" s="11">
        <f>B5</f>
        <v>2500</v>
      </c>
      <c r="C18" s="25">
        <f>VLOOKUP($B$3,'Data-DO NOT PRINT'!$B$3:$AC$10,14,0)</f>
        <v>0.1021</v>
      </c>
      <c r="D18" s="5">
        <f t="shared" ref="D18:D21" si="7">B18*C18</f>
        <v>255.25</v>
      </c>
      <c r="E18" s="11">
        <f t="shared" ref="E18:E21" si="8">B18</f>
        <v>2500</v>
      </c>
      <c r="F18" s="25">
        <f>VLOOKUP($B$3,'Data-DO NOT PRINT'!$B$3:$AC$10,25,0)</f>
        <v>0</v>
      </c>
      <c r="G18" s="5">
        <f t="shared" ref="G18:G21" si="9">E18*F18</f>
        <v>0</v>
      </c>
      <c r="H18" s="5">
        <f t="shared" si="5"/>
        <v>-255.25</v>
      </c>
      <c r="I18" s="26">
        <f t="shared" si="6"/>
        <v>-1</v>
      </c>
    </row>
    <row r="19" spans="1:9" ht="15" x14ac:dyDescent="0.25">
      <c r="A19" s="4" t="s">
        <v>48</v>
      </c>
      <c r="B19" s="11">
        <f>B4</f>
        <v>1095000</v>
      </c>
      <c r="C19" s="25">
        <f>VLOOKUP($B$3,'Data-DO NOT PRINT'!$B$3:$AC$10,15,0)</f>
        <v>3.5999999999999999E-3</v>
      </c>
      <c r="D19" s="5">
        <f t="shared" si="7"/>
        <v>3942</v>
      </c>
      <c r="E19" s="11">
        <f>B19</f>
        <v>1095000</v>
      </c>
      <c r="F19" s="25">
        <f>VLOOKUP($B$3,'Data-DO NOT PRINT'!$B$3:$AC$10,26,0)</f>
        <v>0</v>
      </c>
      <c r="G19" s="5">
        <f t="shared" si="9"/>
        <v>0</v>
      </c>
      <c r="H19" s="5">
        <f t="shared" si="5"/>
        <v>-3942</v>
      </c>
      <c r="I19" s="26">
        <f t="shared" si="6"/>
        <v>-1</v>
      </c>
    </row>
    <row r="20" spans="1:9" ht="15" x14ac:dyDescent="0.25">
      <c r="A20" s="4" t="s">
        <v>49</v>
      </c>
      <c r="B20" s="11">
        <f>B5</f>
        <v>2500</v>
      </c>
      <c r="C20" s="25">
        <f>VLOOKUP($B$3,'Data-DO NOT PRINT'!$B$3:$AC$10,9,0)</f>
        <v>0</v>
      </c>
      <c r="D20" s="5">
        <f t="shared" si="7"/>
        <v>0</v>
      </c>
      <c r="E20" s="11">
        <f>B20</f>
        <v>2500</v>
      </c>
      <c r="F20" s="25">
        <f>VLOOKUP($B$3,'Data-DO NOT PRINT'!$B$3:$AC$10,20,0)</f>
        <v>0</v>
      </c>
      <c r="G20" s="5">
        <f t="shared" si="9"/>
        <v>0</v>
      </c>
      <c r="H20" s="5">
        <f t="shared" si="5"/>
        <v>0</v>
      </c>
      <c r="I20" s="26" t="str">
        <f t="shared" si="6"/>
        <v/>
      </c>
    </row>
    <row r="21" spans="1:9" ht="15" x14ac:dyDescent="0.25">
      <c r="A21" s="2" t="s">
        <v>50</v>
      </c>
      <c r="B21" s="1">
        <v>1</v>
      </c>
      <c r="C21" s="5">
        <f>VLOOKUP($B$3,'Data-DO NOT PRINT'!$B$3:$AC$10,6,0)</f>
        <v>0</v>
      </c>
      <c r="D21" s="5">
        <f t="shared" si="7"/>
        <v>0</v>
      </c>
      <c r="E21" s="1">
        <f t="shared" si="8"/>
        <v>1</v>
      </c>
      <c r="F21" s="5">
        <f>C21</f>
        <v>0</v>
      </c>
      <c r="G21" s="5">
        <f t="shared" si="9"/>
        <v>0</v>
      </c>
      <c r="H21" s="5">
        <f t="shared" si="5"/>
        <v>0</v>
      </c>
      <c r="I21" s="26" t="str">
        <f t="shared" si="6"/>
        <v/>
      </c>
    </row>
    <row r="22" spans="1:9" ht="15" x14ac:dyDescent="0.25">
      <c r="A22" s="18" t="s">
        <v>51</v>
      </c>
      <c r="B22" s="16"/>
      <c r="C22" s="21"/>
      <c r="D22" s="17">
        <f>SUM(D15:D21)</f>
        <v>9793.91</v>
      </c>
      <c r="E22" s="16"/>
      <c r="F22" s="21"/>
      <c r="G22" s="17">
        <f>SUM(G15:G21)</f>
        <v>8493.41</v>
      </c>
      <c r="H22" s="17">
        <f>G22-D22</f>
        <v>-1300.5</v>
      </c>
      <c r="I22" s="27">
        <f>H22/D22</f>
        <v>-0.13278659901918641</v>
      </c>
    </row>
    <row r="23" spans="1:9" ht="15" x14ac:dyDescent="0.25">
      <c r="A23" s="2" t="s">
        <v>52</v>
      </c>
      <c r="B23" s="11">
        <f>B5</f>
        <v>2500</v>
      </c>
      <c r="C23" s="25">
        <f>VLOOKUP($B$3,'Data-DO NOT PRINT'!$B$3:$AC$10,16,0)</f>
        <v>2.7526999999999999</v>
      </c>
      <c r="D23" s="5">
        <f t="shared" ref="D23:D24" si="10">B23*C23</f>
        <v>6881.75</v>
      </c>
      <c r="E23" s="11">
        <f t="shared" ref="E23:E24" si="11">B23</f>
        <v>2500</v>
      </c>
      <c r="F23" s="25">
        <f>VLOOKUP($B$3,'Data-DO NOT PRINT'!$B$3:$AC$10,27,0)</f>
        <v>2.8287</v>
      </c>
      <c r="G23" s="5">
        <f t="shared" ref="G23:G24" si="12">E23*F23</f>
        <v>7071.75</v>
      </c>
      <c r="H23" s="5">
        <f t="shared" si="5"/>
        <v>190</v>
      </c>
      <c r="I23" s="26">
        <f t="shared" ref="I23:I24" si="13">IF(ISERROR(H23/D23), "",H23/D23)</f>
        <v>2.7609256366476549E-2</v>
      </c>
    </row>
    <row r="24" spans="1:9" ht="15" x14ac:dyDescent="0.25">
      <c r="A24" s="2" t="s">
        <v>53</v>
      </c>
      <c r="B24" s="11">
        <f>B5</f>
        <v>2500</v>
      </c>
      <c r="C24" s="25">
        <f>VLOOKUP($B$3,'Data-DO NOT PRINT'!$B$3:$AC$10,17,0)</f>
        <v>2.5512000000000001</v>
      </c>
      <c r="D24" s="5">
        <f t="shared" si="10"/>
        <v>6378</v>
      </c>
      <c r="E24" s="11">
        <f t="shared" si="11"/>
        <v>2500</v>
      </c>
      <c r="F24" s="25">
        <f>VLOOKUP($B$3,'Data-DO NOT PRINT'!$B$3:$AC$10,28,0)</f>
        <v>2.4698000000000002</v>
      </c>
      <c r="G24" s="5">
        <f t="shared" si="12"/>
        <v>6174.5000000000009</v>
      </c>
      <c r="H24" s="5">
        <f t="shared" si="5"/>
        <v>-203.49999999999909</v>
      </c>
      <c r="I24" s="26">
        <f t="shared" si="13"/>
        <v>-3.1906553778613844E-2</v>
      </c>
    </row>
    <row r="25" spans="1:9" ht="15" x14ac:dyDescent="0.25">
      <c r="A25" s="18" t="s">
        <v>54</v>
      </c>
      <c r="B25" s="16"/>
      <c r="C25" s="21"/>
      <c r="D25" s="17">
        <f>SUM(D22:D24)</f>
        <v>23053.66</v>
      </c>
      <c r="E25" s="16"/>
      <c r="F25" s="21"/>
      <c r="G25" s="17">
        <f>SUM(G22:G24)</f>
        <v>21739.66</v>
      </c>
      <c r="H25" s="17">
        <f>G25-D25</f>
        <v>-1314</v>
      </c>
      <c r="I25" s="27">
        <f>H25/D25</f>
        <v>-5.6997457236725099E-2</v>
      </c>
    </row>
    <row r="26" spans="1:9" ht="15" x14ac:dyDescent="0.25">
      <c r="A26" s="2" t="s">
        <v>55</v>
      </c>
      <c r="B26" s="11">
        <f>B7</f>
        <v>1142194.5</v>
      </c>
      <c r="C26" s="25">
        <v>3.3999999999999998E-3</v>
      </c>
      <c r="D26" s="5">
        <f t="shared" ref="D26:D28" si="14">B26*C26</f>
        <v>3883.4612999999999</v>
      </c>
      <c r="E26" s="11">
        <f t="shared" ref="E26:E28" si="15">B26</f>
        <v>1142194.5</v>
      </c>
      <c r="F26" s="25">
        <v>3.3999999999999998E-3</v>
      </c>
      <c r="G26" s="5">
        <f t="shared" ref="G26:G29" si="16">E26*F26</f>
        <v>3883.4612999999999</v>
      </c>
      <c r="H26" s="5">
        <f t="shared" si="5"/>
        <v>0</v>
      </c>
      <c r="I26" s="26">
        <f t="shared" ref="I26:I29" si="17">IF(ISERROR(H26/D26), "",H26/D26)</f>
        <v>0</v>
      </c>
    </row>
    <row r="27" spans="1:9" ht="15" x14ac:dyDescent="0.25">
      <c r="A27" s="2" t="s">
        <v>56</v>
      </c>
      <c r="B27" s="11">
        <f>B7</f>
        <v>1142194.5</v>
      </c>
      <c r="C27" s="25">
        <v>5.0000000000000001E-4</v>
      </c>
      <c r="D27" s="5">
        <f t="shared" si="14"/>
        <v>571.09725000000003</v>
      </c>
      <c r="E27" s="11">
        <f t="shared" si="15"/>
        <v>1142194.5</v>
      </c>
      <c r="F27" s="25">
        <v>5.0000000000000001E-4</v>
      </c>
      <c r="G27" s="5">
        <f t="shared" si="16"/>
        <v>571.09725000000003</v>
      </c>
      <c r="H27" s="5">
        <f t="shared" si="5"/>
        <v>0</v>
      </c>
      <c r="I27" s="26">
        <f t="shared" si="17"/>
        <v>0</v>
      </c>
    </row>
    <row r="28" spans="1:9" ht="15" x14ac:dyDescent="0.25">
      <c r="A28" s="2" t="s">
        <v>57</v>
      </c>
      <c r="B28" s="1">
        <v>1</v>
      </c>
      <c r="C28" s="5">
        <v>0.25</v>
      </c>
      <c r="D28" s="5">
        <f t="shared" si="14"/>
        <v>0.25</v>
      </c>
      <c r="E28" s="1">
        <f t="shared" si="15"/>
        <v>1</v>
      </c>
      <c r="F28" s="5">
        <v>0.25</v>
      </c>
      <c r="G28" s="5">
        <f t="shared" si="16"/>
        <v>0.25</v>
      </c>
      <c r="H28" s="5">
        <f t="shared" si="5"/>
        <v>0</v>
      </c>
      <c r="I28" s="26">
        <f t="shared" si="17"/>
        <v>0</v>
      </c>
    </row>
    <row r="29" spans="1:9" ht="15" x14ac:dyDescent="0.25">
      <c r="A29" s="2" t="s">
        <v>64</v>
      </c>
      <c r="B29" s="11">
        <f>B7</f>
        <v>1142194.5</v>
      </c>
      <c r="C29" s="25">
        <v>0.1101</v>
      </c>
      <c r="D29" s="5">
        <f>B29*C29</f>
        <v>125755.61445000001</v>
      </c>
      <c r="E29" s="11">
        <f>B29</f>
        <v>1142194.5</v>
      </c>
      <c r="F29" s="25">
        <f>C29</f>
        <v>0.1101</v>
      </c>
      <c r="G29" s="5">
        <f t="shared" si="16"/>
        <v>125755.61445000001</v>
      </c>
      <c r="H29" s="5">
        <f t="shared" si="5"/>
        <v>0</v>
      </c>
      <c r="I29" s="26">
        <f t="shared" si="17"/>
        <v>0</v>
      </c>
    </row>
    <row r="30" spans="1:9" ht="15" x14ac:dyDescent="0.25">
      <c r="A30" s="19"/>
      <c r="B30" s="13"/>
      <c r="C30" s="20"/>
      <c r="D30" s="20"/>
      <c r="E30" s="13"/>
      <c r="F30" s="20"/>
      <c r="G30" s="20"/>
      <c r="H30" s="20"/>
      <c r="I30" s="29"/>
    </row>
    <row r="31" spans="1:9" ht="15" x14ac:dyDescent="0.25">
      <c r="A31" s="2" t="s">
        <v>58</v>
      </c>
      <c r="D31" s="6">
        <f>SUM(D25:D29)</f>
        <v>153264.08300000001</v>
      </c>
      <c r="E31" s="1"/>
      <c r="F31" s="5"/>
      <c r="G31" s="6">
        <f>SUM(G25:G29)</f>
        <v>151950.08300000001</v>
      </c>
      <c r="H31" s="6">
        <f>G31-D31</f>
        <v>-1314</v>
      </c>
      <c r="I31" s="28">
        <f t="shared" ref="I31:I33" si="18">IF(ISERROR(H31/D31), "",H31/D31)</f>
        <v>-8.5734372612270796E-3</v>
      </c>
    </row>
    <row r="32" spans="1:9" ht="15" x14ac:dyDescent="0.25">
      <c r="A32" s="2" t="s">
        <v>5</v>
      </c>
      <c r="C32" s="7">
        <v>0.13</v>
      </c>
      <c r="D32" s="5">
        <f>C32*D31</f>
        <v>19924.330790000004</v>
      </c>
      <c r="E32" s="1"/>
      <c r="F32" s="7">
        <v>0.13</v>
      </c>
      <c r="G32" s="5">
        <f>F32*G31</f>
        <v>19753.510790000004</v>
      </c>
      <c r="H32" s="5">
        <f t="shared" ref="H32" si="19">G32-D32</f>
        <v>-170.81999999999971</v>
      </c>
      <c r="I32" s="26">
        <f t="shared" si="18"/>
        <v>-8.573437261227064E-3</v>
      </c>
    </row>
    <row r="33" spans="1:9" ht="15" x14ac:dyDescent="0.25">
      <c r="A33" s="2" t="s">
        <v>60</v>
      </c>
      <c r="D33" s="6">
        <f>SUM(D31:D32)</f>
        <v>173188.41379000002</v>
      </c>
      <c r="E33" s="1"/>
      <c r="F33" s="5"/>
      <c r="G33" s="6">
        <f>SUM(G31:G32)</f>
        <v>171703.59379000001</v>
      </c>
      <c r="H33" s="6">
        <f>G33-D33</f>
        <v>-1484.820000000007</v>
      </c>
      <c r="I33" s="28">
        <f t="shared" si="18"/>
        <v>-8.5734372612271195E-3</v>
      </c>
    </row>
    <row r="34" spans="1:9" ht="15" x14ac:dyDescent="0.25">
      <c r="A34" s="13"/>
      <c r="B34" s="13"/>
      <c r="C34" s="20"/>
      <c r="D34" s="14"/>
      <c r="E34" s="14"/>
      <c r="F34" s="23"/>
      <c r="G34" s="14"/>
      <c r="H34" s="20"/>
      <c r="I34" s="29"/>
    </row>
  </sheetData>
  <mergeCells count="4">
    <mergeCell ref="B9:D9"/>
    <mergeCell ref="E9:G9"/>
    <mergeCell ref="H9:I9"/>
    <mergeCell ref="A1:I1"/>
  </mergeCells>
  <pageMargins left="0.25" right="0.25" top="0.75" bottom="0.75" header="0.3" footer="0.3"/>
  <pageSetup scale="8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PRINT'!$B$3:$B$10</xm:f>
          </x14:formula1>
          <xm:sqref>B3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F26" sqref="F26:F27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2.109375" customWidth="1"/>
    <col min="5" max="5" width="11" customWidth="1"/>
    <col min="6" max="6" width="11" style="22" customWidth="1"/>
    <col min="7" max="7" width="11" customWidth="1"/>
    <col min="9" max="9" width="9.109375" style="26"/>
  </cols>
  <sheetData>
    <row r="1" spans="1:9" ht="15.6" x14ac:dyDescent="0.3">
      <c r="A1" s="80" t="s">
        <v>96</v>
      </c>
      <c r="B1" s="81"/>
      <c r="C1" s="81"/>
      <c r="D1" s="81"/>
      <c r="E1" s="81"/>
      <c r="F1" s="81"/>
      <c r="G1" s="81"/>
      <c r="H1" s="81"/>
      <c r="I1" s="81"/>
    </row>
    <row r="3" spans="1:9" ht="15" x14ac:dyDescent="0.25">
      <c r="A3" s="2" t="s">
        <v>12</v>
      </c>
      <c r="B3" s="10" t="s">
        <v>23</v>
      </c>
    </row>
    <row r="4" spans="1:9" ht="15" x14ac:dyDescent="0.25">
      <c r="A4" s="2" t="s">
        <v>63</v>
      </c>
      <c r="B4" s="10">
        <f>VLOOKUP($B$3,'Data-DO NOT PRINT'!$B$3:$AC$10,2,0)</f>
        <v>150</v>
      </c>
    </row>
    <row r="5" spans="1:9" ht="15" x14ac:dyDescent="0.25">
      <c r="A5" s="2" t="s">
        <v>4</v>
      </c>
      <c r="B5" s="10">
        <f>VLOOKUP(B3,'Data-DO NOT PRINT'!B3:Y10,5,0)</f>
        <v>1.0430999999999999</v>
      </c>
    </row>
    <row r="6" spans="1:9" ht="15" x14ac:dyDescent="0.25">
      <c r="A6" s="2" t="s">
        <v>65</v>
      </c>
      <c r="B6" s="10">
        <f>B4*B5</f>
        <v>156.46499999999997</v>
      </c>
    </row>
    <row r="7" spans="1:9" ht="15" x14ac:dyDescent="0.25">
      <c r="A7" s="2"/>
      <c r="B7" s="10"/>
    </row>
    <row r="8" spans="1:9" ht="15" x14ac:dyDescent="0.25">
      <c r="B8" s="77" t="s">
        <v>36</v>
      </c>
      <c r="C8" s="77"/>
      <c r="D8" s="77"/>
      <c r="E8" s="77" t="s">
        <v>97</v>
      </c>
      <c r="F8" s="77"/>
      <c r="G8" s="77"/>
      <c r="H8" s="77" t="s">
        <v>37</v>
      </c>
      <c r="I8" s="77"/>
    </row>
    <row r="9" spans="1:9" ht="15" x14ac:dyDescent="0.25">
      <c r="A9"/>
      <c r="B9" s="10" t="s">
        <v>1</v>
      </c>
      <c r="C9" s="6" t="s">
        <v>0</v>
      </c>
      <c r="D9" s="10" t="s">
        <v>2</v>
      </c>
      <c r="E9" s="10" t="s">
        <v>1</v>
      </c>
      <c r="F9" s="6" t="s">
        <v>0</v>
      </c>
      <c r="G9" s="10" t="s">
        <v>2</v>
      </c>
      <c r="H9" s="10" t="s">
        <v>38</v>
      </c>
      <c r="I9" s="28" t="s">
        <v>39</v>
      </c>
    </row>
    <row r="10" spans="1:9" ht="15" x14ac:dyDescent="0.25">
      <c r="A10" s="2" t="s">
        <v>41</v>
      </c>
      <c r="B10" s="1">
        <v>1</v>
      </c>
      <c r="C10" s="5">
        <f>VLOOKUP($B$3,'Data-DO NOT PRINT'!$B$3:$AC$10,7,0)</f>
        <v>10.53</v>
      </c>
      <c r="D10" s="5">
        <f t="shared" ref="D10:D15" si="0">B10*C10</f>
        <v>10.53</v>
      </c>
      <c r="E10" s="1">
        <f t="shared" ref="E10:E13" si="1">B10</f>
        <v>1</v>
      </c>
      <c r="F10" s="5">
        <f>VLOOKUP($B$3,'Data-DO NOT PRINT'!$B$3:$AC$10,18,0)</f>
        <v>10.53</v>
      </c>
      <c r="G10" s="5">
        <f t="shared" ref="G10:G15" si="2">E10*F10</f>
        <v>10.53</v>
      </c>
      <c r="H10" s="5">
        <f t="shared" ref="H10:H13" si="3">G10-D10</f>
        <v>0</v>
      </c>
      <c r="I10" s="26">
        <f>IF(ISERROR(H10/D10), "",H10/D10)</f>
        <v>0</v>
      </c>
    </row>
    <row r="11" spans="1:9" ht="15" x14ac:dyDescent="0.25">
      <c r="A11" s="2" t="s">
        <v>42</v>
      </c>
      <c r="B11" s="1">
        <f>B4</f>
        <v>150</v>
      </c>
      <c r="C11" s="25">
        <f>VLOOKUP($B$3,'Data-DO NOT PRINT'!$B$3:$AC$10,8,0)</f>
        <v>1.2200000000000001E-2</v>
      </c>
      <c r="D11" s="5">
        <f t="shared" si="0"/>
        <v>1.83</v>
      </c>
      <c r="E11" s="1">
        <f t="shared" si="1"/>
        <v>150</v>
      </c>
      <c r="F11" s="25">
        <f>VLOOKUP($B$3,'Data-DO NOT PRINT'!$B$3:$AC$10,19,0)</f>
        <v>1.2200000000000001E-2</v>
      </c>
      <c r="G11" s="5">
        <f t="shared" si="2"/>
        <v>1.83</v>
      </c>
      <c r="H11" s="5">
        <f t="shared" si="3"/>
        <v>0</v>
      </c>
      <c r="I11" s="26">
        <f t="shared" ref="I11:I13" si="4">IF(ISERROR(H11/D11), "",H11/D11)</f>
        <v>0</v>
      </c>
    </row>
    <row r="12" spans="1:9" ht="15" x14ac:dyDescent="0.25">
      <c r="A12" s="2" t="s">
        <v>43</v>
      </c>
      <c r="B12" s="1">
        <v>1</v>
      </c>
      <c r="C12" s="5">
        <f>VLOOKUP($B$3,'Data-DO NOT PRINT'!$B$3:$AC$10,10,0)</f>
        <v>-0.11</v>
      </c>
      <c r="D12" s="5">
        <f t="shared" si="0"/>
        <v>-0.11</v>
      </c>
      <c r="E12" s="1">
        <f t="shared" si="1"/>
        <v>1</v>
      </c>
      <c r="F12" s="5">
        <f>VLOOKUP($B$3,'Data-DO NOT PRINT'!$B$3:$AC$10,21,0)</f>
        <v>-0.11</v>
      </c>
      <c r="G12" s="5">
        <f t="shared" si="2"/>
        <v>-0.11</v>
      </c>
      <c r="H12" s="5">
        <f t="shared" si="3"/>
        <v>0</v>
      </c>
      <c r="I12" s="26">
        <f t="shared" si="4"/>
        <v>0</v>
      </c>
    </row>
    <row r="13" spans="1:9" ht="15" x14ac:dyDescent="0.25">
      <c r="A13" s="2" t="s">
        <v>44</v>
      </c>
      <c r="B13" s="1">
        <f>B4</f>
        <v>150</v>
      </c>
      <c r="C13" s="25">
        <f>VLOOKUP($B$3,'Data-DO NOT PRINT'!$B$3:$AC$10,11,0)</f>
        <v>6.9999999999999999E-4</v>
      </c>
      <c r="D13" s="5">
        <f t="shared" si="0"/>
        <v>0.105</v>
      </c>
      <c r="E13" s="1">
        <f t="shared" si="1"/>
        <v>150</v>
      </c>
      <c r="F13" s="25">
        <f>VLOOKUP($B$3,'Data-DO NOT PRINT'!$B$3:$AC$10,22,0)</f>
        <v>6.9999999999999999E-4</v>
      </c>
      <c r="G13" s="5">
        <f t="shared" si="2"/>
        <v>0.105</v>
      </c>
      <c r="H13" s="5">
        <f t="shared" si="3"/>
        <v>0</v>
      </c>
      <c r="I13" s="26">
        <f t="shared" si="4"/>
        <v>0</v>
      </c>
    </row>
    <row r="14" spans="1:9" ht="15" x14ac:dyDescent="0.25">
      <c r="A14" s="18" t="s">
        <v>45</v>
      </c>
      <c r="B14" s="16"/>
      <c r="C14" s="21"/>
      <c r="D14" s="17">
        <f>SUM(D10:D13)</f>
        <v>12.355</v>
      </c>
      <c r="E14" s="15"/>
      <c r="F14" s="17"/>
      <c r="G14" s="17">
        <f>SUM(G10:G13)</f>
        <v>12.355</v>
      </c>
      <c r="H14" s="17">
        <f>G14-D14</f>
        <v>0</v>
      </c>
      <c r="I14" s="27">
        <f>H14/D14</f>
        <v>0</v>
      </c>
    </row>
    <row r="15" spans="1:9" s="49" customFormat="1" ht="15" x14ac:dyDescent="0.25">
      <c r="A15" s="45" t="s">
        <v>46</v>
      </c>
      <c r="B15" s="48">
        <f>B6-B4</f>
        <v>6.464999999999975</v>
      </c>
      <c r="C15" s="52">
        <f>IF(B4&gt;750,C30,C29)</f>
        <v>7.6999999999999999E-2</v>
      </c>
      <c r="D15" s="46">
        <f t="shared" si="0"/>
        <v>0.49780499999999805</v>
      </c>
      <c r="E15" s="48">
        <f>B15</f>
        <v>6.464999999999975</v>
      </c>
      <c r="F15" s="52">
        <f>C15</f>
        <v>7.6999999999999999E-2</v>
      </c>
      <c r="G15" s="46">
        <f t="shared" si="2"/>
        <v>0.49780499999999805</v>
      </c>
      <c r="H15" s="46">
        <f>G15-D15</f>
        <v>0</v>
      </c>
      <c r="I15" s="47">
        <f>H15/D15</f>
        <v>0</v>
      </c>
    </row>
    <row r="16" spans="1:9" ht="15" x14ac:dyDescent="0.25">
      <c r="A16" s="2" t="s">
        <v>98</v>
      </c>
      <c r="B16" s="1">
        <v>1</v>
      </c>
      <c r="C16" s="5">
        <f>VLOOKUP($B$3,'Data-DO NOT PRINT'!$B$3:$AC$10,12,0)</f>
        <v>0</v>
      </c>
      <c r="D16" s="5">
        <f>B16*C16</f>
        <v>0</v>
      </c>
      <c r="E16" s="1">
        <f>B16</f>
        <v>1</v>
      </c>
      <c r="F16" s="5">
        <f>VLOOKUP($B$3,'Data-DO NOT PRINT'!$B$3:$AC$10,23,0)</f>
        <v>0</v>
      </c>
      <c r="G16" s="5">
        <f>E16*F16</f>
        <v>0</v>
      </c>
      <c r="H16" s="5">
        <f t="shared" ref="H16:H30" si="5">G16-D16</f>
        <v>0</v>
      </c>
      <c r="I16" s="26" t="str">
        <f t="shared" ref="I16:I21" si="6">IF(ISERROR(H16/D16), "",H16/D16)</f>
        <v/>
      </c>
    </row>
    <row r="17" spans="1:9" ht="15" x14ac:dyDescent="0.25">
      <c r="A17" s="2" t="s">
        <v>99</v>
      </c>
      <c r="B17" s="1">
        <f>B4</f>
        <v>150</v>
      </c>
      <c r="C17" s="25">
        <f>VLOOKUP($B$3,'Data-DO NOT PRINT'!$B$3:$AC$10,13,0)</f>
        <v>-2.5999999999999999E-3</v>
      </c>
      <c r="D17" s="5">
        <f>B17*C17</f>
        <v>-0.38999999999999996</v>
      </c>
      <c r="E17" s="1">
        <f>B17</f>
        <v>150</v>
      </c>
      <c r="F17" s="25">
        <f>VLOOKUP($B$3,'Data-DO NOT PRINT'!$B$3:$AC$10,24,0)</f>
        <v>0</v>
      </c>
      <c r="G17" s="5">
        <f>E17*F17</f>
        <v>0</v>
      </c>
      <c r="H17" s="5">
        <f t="shared" si="5"/>
        <v>0.38999999999999996</v>
      </c>
      <c r="I17" s="26">
        <f t="shared" si="6"/>
        <v>-1</v>
      </c>
    </row>
    <row r="18" spans="1:9" ht="15" x14ac:dyDescent="0.25">
      <c r="A18" s="4" t="s">
        <v>47</v>
      </c>
      <c r="B18" s="1">
        <f>B4</f>
        <v>150</v>
      </c>
      <c r="C18" s="25">
        <f>VLOOKUP($B$3,'Data-DO NOT PRINT'!$B$3:$AC$10,14,0)</f>
        <v>2.9999999999999997E-4</v>
      </c>
      <c r="D18" s="5">
        <f t="shared" ref="D18:D21" si="7">B18*C18</f>
        <v>4.4999999999999998E-2</v>
      </c>
      <c r="E18" s="1">
        <f t="shared" ref="E18:E21" si="8">B18</f>
        <v>150</v>
      </c>
      <c r="F18" s="25">
        <f>VLOOKUP($B$3,'Data-DO NOT PRINT'!$B$3:$AC$10,25,0)</f>
        <v>0</v>
      </c>
      <c r="G18" s="5">
        <f t="shared" ref="G18:G21" si="9">E18*F18</f>
        <v>0</v>
      </c>
      <c r="H18" s="5">
        <f t="shared" si="5"/>
        <v>-4.4999999999999998E-2</v>
      </c>
      <c r="I18" s="26">
        <f t="shared" si="6"/>
        <v>-1</v>
      </c>
    </row>
    <row r="19" spans="1:9" ht="15" x14ac:dyDescent="0.25">
      <c r="A19" s="4" t="s">
        <v>48</v>
      </c>
      <c r="B19" s="1">
        <f>B4</f>
        <v>150</v>
      </c>
      <c r="C19" s="25">
        <f>VLOOKUP($B$3,'Data-DO NOT PRINT'!$B$3:$AC$10,15,0)</f>
        <v>0</v>
      </c>
      <c r="D19" s="5">
        <f t="shared" si="7"/>
        <v>0</v>
      </c>
      <c r="E19" s="1">
        <f>B19</f>
        <v>150</v>
      </c>
      <c r="F19" s="25">
        <f>VLOOKUP($B$3,'Data-DO NOT PRINT'!$B$3:$AC$10,26,0)</f>
        <v>0</v>
      </c>
      <c r="G19" s="5">
        <f t="shared" si="9"/>
        <v>0</v>
      </c>
      <c r="H19" s="5">
        <f t="shared" si="5"/>
        <v>0</v>
      </c>
      <c r="I19" s="26" t="str">
        <f t="shared" si="6"/>
        <v/>
      </c>
    </row>
    <row r="20" spans="1:9" ht="15" x14ac:dyDescent="0.25">
      <c r="A20" s="4" t="s">
        <v>49</v>
      </c>
      <c r="B20" s="1">
        <f>B4</f>
        <v>150</v>
      </c>
      <c r="C20" s="25">
        <f>VLOOKUP($B$3,'Data-DO NOT PRINT'!$B$3:$AC$10,9,0)</f>
        <v>0</v>
      </c>
      <c r="D20" s="5">
        <f t="shared" si="7"/>
        <v>0</v>
      </c>
      <c r="E20" s="1">
        <f>B20</f>
        <v>150</v>
      </c>
      <c r="F20" s="25">
        <f>VLOOKUP($B$3,'Data-DO NOT PRINT'!$B$3:$AC$10,20,0)</f>
        <v>0</v>
      </c>
      <c r="G20" s="5">
        <f t="shared" si="9"/>
        <v>0</v>
      </c>
      <c r="H20" s="5">
        <f t="shared" si="5"/>
        <v>0</v>
      </c>
      <c r="I20" s="26" t="str">
        <f t="shared" si="6"/>
        <v/>
      </c>
    </row>
    <row r="21" spans="1:9" ht="15" x14ac:dyDescent="0.25">
      <c r="A21" s="2" t="s">
        <v>50</v>
      </c>
      <c r="B21" s="1">
        <v>1</v>
      </c>
      <c r="C21" s="5">
        <f>VLOOKUP($B$3,'Data-DO NOT PRINT'!$B$3:$AC$10,6,0)</f>
        <v>0</v>
      </c>
      <c r="D21" s="5">
        <f t="shared" si="7"/>
        <v>0</v>
      </c>
      <c r="E21" s="1">
        <f t="shared" si="8"/>
        <v>1</v>
      </c>
      <c r="F21" s="5">
        <f>C21</f>
        <v>0</v>
      </c>
      <c r="G21" s="5">
        <f t="shared" si="9"/>
        <v>0</v>
      </c>
      <c r="H21" s="5">
        <f t="shared" si="5"/>
        <v>0</v>
      </c>
      <c r="I21" s="26" t="str">
        <f t="shared" si="6"/>
        <v/>
      </c>
    </row>
    <row r="22" spans="1:9" ht="15" x14ac:dyDescent="0.25">
      <c r="A22" s="18" t="s">
        <v>51</v>
      </c>
      <c r="B22" s="16"/>
      <c r="C22" s="21"/>
      <c r="D22" s="17">
        <f>SUM(D14:D21)</f>
        <v>12.507804999999998</v>
      </c>
      <c r="E22" s="16"/>
      <c r="F22" s="21"/>
      <c r="G22" s="17">
        <f>SUM(G14:G21)</f>
        <v>12.852804999999998</v>
      </c>
      <c r="H22" s="17">
        <f>G22-D22</f>
        <v>0.34500000000000064</v>
      </c>
      <c r="I22" s="27">
        <f>H22/D22</f>
        <v>2.7582777313845293E-2</v>
      </c>
    </row>
    <row r="23" spans="1:9" ht="15" x14ac:dyDescent="0.25">
      <c r="A23" s="2" t="s">
        <v>52</v>
      </c>
      <c r="B23" s="8">
        <f>B6</f>
        <v>156.46499999999997</v>
      </c>
      <c r="C23" s="25">
        <f>VLOOKUP($B$3,'Data-DO NOT PRINT'!$B$3:$AC$10,16,0)</f>
        <v>6.4000000000000003E-3</v>
      </c>
      <c r="D23" s="5">
        <f t="shared" ref="D23:D24" si="10">B23*C23</f>
        <v>1.0013759999999998</v>
      </c>
      <c r="E23" s="8">
        <f t="shared" ref="E23:E24" si="11">B23</f>
        <v>156.46499999999997</v>
      </c>
      <c r="F23" s="25">
        <f>VLOOKUP($B$3,'Data-DO NOT PRINT'!$B$3:$AC$10,27,0)</f>
        <v>6.6E-3</v>
      </c>
      <c r="G23" s="5">
        <f t="shared" ref="G23:G24" si="12">E23*F23</f>
        <v>1.0326689999999998</v>
      </c>
      <c r="H23" s="5">
        <f t="shared" si="5"/>
        <v>3.1293000000000015E-2</v>
      </c>
      <c r="I23" s="26">
        <f t="shared" ref="I23:I24" si="13">IF(ISERROR(H23/D23), "",H23/D23)</f>
        <v>3.1250000000000021E-2</v>
      </c>
    </row>
    <row r="24" spans="1:9" ht="15" x14ac:dyDescent="0.25">
      <c r="A24" s="2" t="s">
        <v>53</v>
      </c>
      <c r="B24" s="8">
        <f>B6</f>
        <v>156.46499999999997</v>
      </c>
      <c r="C24" s="25">
        <f>VLOOKUP($B$3,'Data-DO NOT PRINT'!$B$3:$AC$10,17,0)</f>
        <v>6.0000000000000001E-3</v>
      </c>
      <c r="D24" s="5">
        <f t="shared" si="10"/>
        <v>0.9387899999999999</v>
      </c>
      <c r="E24" s="8">
        <f t="shared" si="11"/>
        <v>156.46499999999997</v>
      </c>
      <c r="F24" s="25">
        <f>VLOOKUP($B$3,'Data-DO NOT PRINT'!$B$3:$AC$10,28,0)</f>
        <v>5.7999999999999996E-3</v>
      </c>
      <c r="G24" s="5">
        <f t="shared" si="12"/>
        <v>0.90749699999999978</v>
      </c>
      <c r="H24" s="5">
        <f t="shared" si="5"/>
        <v>-3.1293000000000126E-2</v>
      </c>
      <c r="I24" s="26">
        <f t="shared" si="13"/>
        <v>-3.3333333333333472E-2</v>
      </c>
    </row>
    <row r="25" spans="1:9" ht="15" x14ac:dyDescent="0.25">
      <c r="A25" s="18" t="s">
        <v>54</v>
      </c>
      <c r="B25" s="16"/>
      <c r="C25" s="21"/>
      <c r="D25" s="17">
        <f>SUM(D22:D24)</f>
        <v>14.447970999999997</v>
      </c>
      <c r="E25" s="16"/>
      <c r="F25" s="21"/>
      <c r="G25" s="17">
        <f>SUM(G22:G24)</f>
        <v>14.792970999999998</v>
      </c>
      <c r="H25" s="17">
        <f>G25-D25</f>
        <v>0.34500000000000064</v>
      </c>
      <c r="I25" s="27">
        <f>H25/D25</f>
        <v>2.3878785470984175E-2</v>
      </c>
    </row>
    <row r="26" spans="1:9" ht="15" x14ac:dyDescent="0.25">
      <c r="A26" s="2" t="s">
        <v>55</v>
      </c>
      <c r="B26" s="8">
        <f>B6</f>
        <v>156.46499999999997</v>
      </c>
      <c r="C26" s="25">
        <v>3.3999999999999998E-3</v>
      </c>
      <c r="D26" s="5">
        <f t="shared" ref="D26:D28" si="14">B26*C26</f>
        <v>0.53198099999999993</v>
      </c>
      <c r="E26" s="8">
        <f t="shared" ref="E26:E28" si="15">B26</f>
        <v>156.46499999999997</v>
      </c>
      <c r="F26" s="25">
        <v>3.3999999999999998E-3</v>
      </c>
      <c r="G26" s="5">
        <f t="shared" ref="G26:G30" si="16">E26*F26</f>
        <v>0.53198099999999993</v>
      </c>
      <c r="H26" s="5">
        <f t="shared" si="5"/>
        <v>0</v>
      </c>
      <c r="I26" s="26">
        <f t="shared" ref="I26:I30" si="17">IF(ISERROR(H26/D26), "",H26/D26)</f>
        <v>0</v>
      </c>
    </row>
    <row r="27" spans="1:9" ht="15" x14ac:dyDescent="0.25">
      <c r="A27" s="2" t="s">
        <v>56</v>
      </c>
      <c r="B27" s="8">
        <f>B6</f>
        <v>156.46499999999997</v>
      </c>
      <c r="C27" s="25">
        <v>5.0000000000000001E-4</v>
      </c>
      <c r="D27" s="5">
        <f t="shared" si="14"/>
        <v>7.8232499999999983E-2</v>
      </c>
      <c r="E27" s="8">
        <f t="shared" si="15"/>
        <v>156.46499999999997</v>
      </c>
      <c r="F27" s="25">
        <v>5.0000000000000001E-4</v>
      </c>
      <c r="G27" s="5">
        <f t="shared" si="16"/>
        <v>7.8232499999999983E-2</v>
      </c>
      <c r="H27" s="5">
        <f t="shared" si="5"/>
        <v>0</v>
      </c>
      <c r="I27" s="26">
        <f t="shared" si="17"/>
        <v>0</v>
      </c>
    </row>
    <row r="28" spans="1:9" ht="15" x14ac:dyDescent="0.25">
      <c r="A28" s="2" t="s">
        <v>57</v>
      </c>
      <c r="B28" s="1">
        <v>1</v>
      </c>
      <c r="C28" s="5">
        <v>0.25</v>
      </c>
      <c r="D28" s="5">
        <f t="shared" si="14"/>
        <v>0.25</v>
      </c>
      <c r="E28" s="1">
        <f t="shared" si="15"/>
        <v>1</v>
      </c>
      <c r="F28" s="5">
        <v>0.25</v>
      </c>
      <c r="G28" s="5">
        <f t="shared" si="16"/>
        <v>0.25</v>
      </c>
      <c r="H28" s="5">
        <f t="shared" si="5"/>
        <v>0</v>
      </c>
      <c r="I28" s="26">
        <f t="shared" si="17"/>
        <v>0</v>
      </c>
    </row>
    <row r="29" spans="1:9" ht="15" x14ac:dyDescent="0.25">
      <c r="A29" s="2" t="s">
        <v>66</v>
      </c>
      <c r="B29" s="1">
        <f>IF($B$4&gt;750,750,$B$4)</f>
        <v>150</v>
      </c>
      <c r="C29" s="24">
        <v>7.6999999999999999E-2</v>
      </c>
      <c r="D29" s="5">
        <f>B29*C29</f>
        <v>11.55</v>
      </c>
      <c r="E29" s="1">
        <f>B29</f>
        <v>150</v>
      </c>
      <c r="F29" s="24">
        <f>C29</f>
        <v>7.6999999999999999E-2</v>
      </c>
      <c r="G29" s="5">
        <f t="shared" si="16"/>
        <v>11.55</v>
      </c>
      <c r="H29" s="5">
        <f t="shared" si="5"/>
        <v>0</v>
      </c>
      <c r="I29" s="26">
        <f t="shared" si="17"/>
        <v>0</v>
      </c>
    </row>
    <row r="30" spans="1:9" ht="15" x14ac:dyDescent="0.25">
      <c r="A30" s="2" t="s">
        <v>67</v>
      </c>
      <c r="B30" s="1">
        <f>IF($B$4&gt;750,$B$4-750,0)</f>
        <v>0</v>
      </c>
      <c r="C30" s="24">
        <v>8.8999999999999996E-2</v>
      </c>
      <c r="D30" s="5">
        <f t="shared" ref="D30" si="18">B30*C30</f>
        <v>0</v>
      </c>
      <c r="E30" s="1">
        <f>B30</f>
        <v>0</v>
      </c>
      <c r="F30" s="24">
        <f t="shared" ref="F30" si="19">C30</f>
        <v>8.8999999999999996E-2</v>
      </c>
      <c r="G30" s="5">
        <f t="shared" si="16"/>
        <v>0</v>
      </c>
      <c r="H30" s="5">
        <f t="shared" si="5"/>
        <v>0</v>
      </c>
      <c r="I30" s="26" t="str">
        <f t="shared" si="17"/>
        <v/>
      </c>
    </row>
    <row r="31" spans="1:9" x14ac:dyDescent="0.3">
      <c r="A31" s="19"/>
      <c r="B31" s="13"/>
      <c r="C31" s="20"/>
      <c r="D31" s="20"/>
      <c r="E31" s="13"/>
      <c r="F31" s="20"/>
      <c r="G31" s="20"/>
      <c r="H31" s="20"/>
      <c r="I31" s="29"/>
    </row>
    <row r="32" spans="1:9" x14ac:dyDescent="0.3">
      <c r="A32" s="2" t="s">
        <v>58</v>
      </c>
      <c r="D32" s="6">
        <f>SUM(D25:D30)</f>
        <v>26.8581845</v>
      </c>
      <c r="E32" s="1"/>
      <c r="F32" s="5"/>
      <c r="G32" s="6">
        <f>SUM(G25:G30)</f>
        <v>27.203184499999999</v>
      </c>
      <c r="H32" s="6">
        <f>G32-D32</f>
        <v>0.34499999999999886</v>
      </c>
      <c r="I32" s="28">
        <f t="shared" ref="I32:I35" si="20">IF(ISERROR(H32/D32), "",H32/D32)</f>
        <v>1.2845246483432224E-2</v>
      </c>
    </row>
    <row r="33" spans="1:9" x14ac:dyDescent="0.3">
      <c r="A33" s="2" t="s">
        <v>5</v>
      </c>
      <c r="C33" s="7">
        <v>0.13</v>
      </c>
      <c r="D33" s="5">
        <f>C33*D32</f>
        <v>3.491563985</v>
      </c>
      <c r="E33" s="1"/>
      <c r="F33" s="7">
        <v>0.13</v>
      </c>
      <c r="G33" s="5">
        <f>F33*G32</f>
        <v>3.5364139849999998</v>
      </c>
      <c r="H33" s="5">
        <f t="shared" ref="H33:H34" si="21">G33-D33</f>
        <v>4.4849999999999834E-2</v>
      </c>
      <c r="I33" s="26">
        <f t="shared" si="20"/>
        <v>1.2845246483432219E-2</v>
      </c>
    </row>
    <row r="34" spans="1:9" x14ac:dyDescent="0.3">
      <c r="A34" s="2" t="s">
        <v>59</v>
      </c>
      <c r="C34" s="7">
        <v>-0.08</v>
      </c>
      <c r="D34" s="5">
        <f>C34*D32</f>
        <v>-2.1486547599999999</v>
      </c>
      <c r="E34" s="1"/>
      <c r="F34" s="7">
        <v>-0.08</v>
      </c>
      <c r="G34" s="5">
        <f>F34*G32</f>
        <v>-2.17625476</v>
      </c>
      <c r="H34" s="5">
        <f t="shared" si="21"/>
        <v>-2.7600000000000069E-2</v>
      </c>
      <c r="I34" s="26">
        <f t="shared" si="20"/>
        <v>1.2845246483432299E-2</v>
      </c>
    </row>
    <row r="35" spans="1:9" x14ac:dyDescent="0.3">
      <c r="A35" s="2" t="s">
        <v>60</v>
      </c>
      <c r="D35" s="6">
        <f>SUM(D32:D34)</f>
        <v>28.201093725</v>
      </c>
      <c r="E35" s="1"/>
      <c r="F35" s="5"/>
      <c r="G35" s="6">
        <f>SUM(G32:G34)</f>
        <v>28.563343724999999</v>
      </c>
      <c r="H35" s="6">
        <f>G35-D35</f>
        <v>0.36224999999999952</v>
      </c>
      <c r="I35" s="28">
        <f t="shared" si="20"/>
        <v>1.2845246483432248E-2</v>
      </c>
    </row>
    <row r="36" spans="1:9" x14ac:dyDescent="0.3">
      <c r="A36" s="13"/>
      <c r="B36" s="13"/>
      <c r="C36" s="20"/>
      <c r="D36" s="14"/>
      <c r="E36" s="14"/>
      <c r="F36" s="23"/>
      <c r="G36" s="14"/>
      <c r="H36" s="20"/>
      <c r="I36" s="29"/>
    </row>
  </sheetData>
  <mergeCells count="4">
    <mergeCell ref="B8:D8"/>
    <mergeCell ref="E8:G8"/>
    <mergeCell ref="H8:I8"/>
    <mergeCell ref="A1:I1"/>
  </mergeCells>
  <pageMargins left="0.25" right="0.25" top="0.75" bottom="0.75" header="0.3" footer="0.3"/>
  <pageSetup scale="85" orientation="landscape" r:id="rId1"/>
  <ignoredErrors>
    <ignoredError sqref="D14:I21 D23:I25 H22:I22 E22:F22 D22 G22" formula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'Data-DO NOT PRINT'!$B$3:$B$10</xm:f>
          </x14:formula1>
          <xm:sqref>B3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C94B67ED5D1742B6115771699F028D" ma:contentTypeVersion="10" ma:contentTypeDescription="Create a new document." ma:contentTypeScope="" ma:versionID="91c176ad15fc02f3aa9d919a2f2326dd">
  <xsd:schema xmlns:xsd="http://www.w3.org/2001/XMLSchema" xmlns:xs="http://www.w3.org/2001/XMLSchema" xmlns:p="http://schemas.microsoft.com/office/2006/metadata/properties" xmlns:ns2="f0af1d65-dfd0-4b99-b523-def3a954563f" xmlns:ns3="f9175001-c430-4d57-adde-c1c10539e919" xmlns:ns4="ea909525-6dd5-47d7-9eed-71e77e5cedc6" xmlns:ns5="31a38067-a042-4e0e-9037-517587b10700" xmlns:ns6="22557c5e-ecd2-4fce-aafc-6d8488508737" targetNamespace="http://schemas.microsoft.com/office/2006/metadata/properties" ma:root="true" ma:fieldsID="7508b588af1ef7742970cb72d4e7680d" ns2:_="" ns3:_="" ns4:_="" ns5:_="" ns6:_="">
    <xsd:import namespace="f0af1d65-dfd0-4b99-b523-def3a954563f"/>
    <xsd:import namespace="f9175001-c430-4d57-adde-c1c10539e919"/>
    <xsd:import namespace="ea909525-6dd5-47d7-9eed-71e77e5cedc6"/>
    <xsd:import namespace="31a38067-a042-4e0e-9037-517587b10700"/>
    <xsd:import namespace="22557c5e-ecd2-4fce-aafc-6d8488508737"/>
    <xsd:element name="properties">
      <xsd:complexType>
        <xsd:sequence>
          <xsd:element name="documentManagement">
            <xsd:complexType>
              <xsd:all>
                <xsd:element ref="ns2:Hydro_x0020_One_x0020_Data_x0020_Classification"/>
                <xsd:element ref="ns3:Case_x0020_Number_x002f_Docket_x0020_Number" minOccurs="0"/>
                <xsd:element ref="ns3:Issue_x0020_Date"/>
                <xsd:element ref="ns3:Document_x0020_Type"/>
                <xsd:element ref="ns4:Authoring_x0020_Party" minOccurs="0"/>
                <xsd:element ref="ns5:RA_x0020_Contact" minOccurs="0"/>
                <xsd:element ref="ns3:Applicant" minOccurs="0"/>
                <xsd:element ref="ns6:Dir_Approved" minOccurs="0"/>
                <xsd:element ref="ns6:RA_Approved" minOccurs="0"/>
                <xsd:element ref="ns6:Fin_Approved" minOccurs="0"/>
                <xsd:element ref="ns6:Draft_Read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ma:displayName="Hydro One Data Classification" ma:default="Internal Use" ma:format="RadioButtons" ma:internalName="Hydro_x0020_One_x0020_Data_x0020_Classification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Issue_x0020_Date" ma:index="10" ma:displayName="Issue Date" ma:description="Date the document was issued." ma:format="DateOnly" ma:internalName="Issue_x0020_Date">
      <xsd:simpleType>
        <xsd:restriction base="dms:DateTime"/>
      </xsd:simpleType>
    </xsd:element>
    <xsd:element name="Document_x0020_Type" ma:index="11" ma:displayName="Document Type" ma:default="Correspondence" ma:description="Please choose the type of document being submitted." ma:format="Dropdown" ma:internalName="Document_x0020_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Applicant" ma:index="14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Hydro One Sault Ste. Marie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2" nillable="true" ma:displayName="Authoring Party" ma:default="Hydro One Networks - HONI" ma:format="Dropdown" ma:internalName="Authoring_x0020_Party">
      <xsd:simpleType>
        <xsd:union memberTypes="dms:Text">
          <xsd:simpleType>
            <xsd:restriction base="dms:Choice">
              <xsd:enumeration value="Hydro One Networks - HONI"/>
              <xsd:enumeration value="Hydro One Sault Ste Marie - HOSSM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3" nillable="true" ma:displayName="RA Contact" ma:default="178404 - JAS" ma:format="Dropdown" ma:internalName="RA_x0020_Contact">
      <xsd:simpleType>
        <xsd:union memberTypes="dms:Text">
          <xsd:simpleType>
            <xsd:restriction base="dms:Choice">
              <xsd:enumeration value="182932 - AC"/>
              <xsd:enumeration value="584633 - OH"/>
              <xsd:enumeration value="183940 - IM"/>
              <xsd:enumeration value="208166 - HA"/>
              <xsd:enumeration value="184748 - JR"/>
              <xsd:enumeration value="178404 - JAS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57c5e-ecd2-4fce-aafc-6d8488508737" elementFormDefault="qualified">
    <xsd:import namespace="http://schemas.microsoft.com/office/2006/documentManagement/types"/>
    <xsd:import namespace="http://schemas.microsoft.com/office/infopath/2007/PartnerControls"/>
    <xsd:element name="Dir_Approved" ma:index="15" nillable="true" ma:displayName="Dir_Approved" ma:default="0" ma:description="Approved by Director" ma:internalName="Dir_Approved">
      <xsd:simpleType>
        <xsd:restriction base="dms:Boolean"/>
      </xsd:simpleType>
    </xsd:element>
    <xsd:element name="RA_Approved" ma:index="16" nillable="true" ma:displayName="RA_Approved" ma:default="0" ma:description="Approved By Regulatory Affairs" ma:internalName="RA_Approved">
      <xsd:simpleType>
        <xsd:restriction base="dms:Boolean"/>
      </xsd:simpleType>
    </xsd:element>
    <xsd:element name="Fin_Approved" ma:index="17" nillable="true" ma:displayName="Fin_Approved" ma:default="0" ma:description="Financial Review Complete" ma:internalName="Fin_Approved">
      <xsd:simpleType>
        <xsd:restriction base="dms:Boolean"/>
      </xsd:simpleType>
    </xsd:element>
    <xsd:element name="Draft_Ready" ma:index="18" nillable="true" ma:displayName="Draft_Ready" ma:default="0" ma:description="Click this to YES when a draft is ready for Reg Advisor review." ma:internalName="Draft_Ready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_x0020_Number_x002f_Docket_x0020_Number xmlns="f9175001-c430-4d57-adde-c1c10539e919">EB-2018-0042</Case_x0020_Number_x002f_Docket_x0020_Number>
    <Issue_x0020_Date xmlns="f9175001-c430-4d57-adde-c1c10539e919">2018-11-28T05:00:00+00:00</Issue_x0020_Date>
    <Authoring_x0020_Party xmlns="ea909525-6dd5-47d7-9eed-71e77e5cedc6">Hydro One Networks - HONI</Authoring_x0020_Party>
    <Applicant xmlns="f9175001-c430-4d57-adde-c1c10539e919">
      <Value>Hydro One Networks</Value>
    </Applicant>
    <Draft_Ready xmlns="22557c5e-ecd2-4fce-aafc-6d8488508737">true</Draft_Ready>
    <Document_x0020_Type xmlns="f9175001-c430-4d57-adde-c1c10539e919">Prefiled evidence</Document_x0020_Type>
    <RA_x0020_Contact xmlns="31a38067-a042-4e0e-9037-517587b10700">180750 - AZ</RA_x0020_Contact>
    <Hydro_x0020_One_x0020_Data_x0020_Classification xmlns="f0af1d65-dfd0-4b99-b523-def3a954563f">Internal Use</Hydro_x0020_One_x0020_Data_x0020_Classification>
    <RA_Approved xmlns="22557c5e-ecd2-4fce-aafc-6d8488508737">true</RA_Approved>
    <Fin_Approved xmlns="22557c5e-ecd2-4fce-aafc-6d8488508737">false</Fin_Approved>
    <Dir_Approved xmlns="22557c5e-ecd2-4fce-aafc-6d8488508737">false</Dir_Approve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5646DE-D441-4595-AEE5-BA50E804B8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af1d65-dfd0-4b99-b523-def3a954563f"/>
    <ds:schemaRef ds:uri="f9175001-c430-4d57-adde-c1c10539e919"/>
    <ds:schemaRef ds:uri="ea909525-6dd5-47d7-9eed-71e77e5cedc6"/>
    <ds:schemaRef ds:uri="31a38067-a042-4e0e-9037-517587b10700"/>
    <ds:schemaRef ds:uri="22557c5e-ecd2-4fce-aafc-6d84885087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D3A9C4-E8DB-413C-A007-D889045BBA44}">
  <ds:schemaRefs>
    <ds:schemaRef ds:uri="http://www.w3.org/XML/1998/namespace"/>
    <ds:schemaRef ds:uri="http://schemas.microsoft.com/office/2006/metadata/properties"/>
    <ds:schemaRef ds:uri="31a38067-a042-4e0e-9037-517587b10700"/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22557c5e-ecd2-4fce-aafc-6d8488508737"/>
    <ds:schemaRef ds:uri="http://purl.org/dc/elements/1.1/"/>
    <ds:schemaRef ds:uri="ea909525-6dd5-47d7-9eed-71e77e5cedc6"/>
    <ds:schemaRef ds:uri="f9175001-c430-4d57-adde-c1c10539e919"/>
    <ds:schemaRef ds:uri="f0af1d65-dfd0-4b99-b523-def3a954563f"/>
  </ds:schemaRefs>
</ds:datastoreItem>
</file>

<file path=customXml/itemProps3.xml><?xml version="1.0" encoding="utf-8"?>
<ds:datastoreItem xmlns:ds="http://schemas.openxmlformats.org/officeDocument/2006/customXml" ds:itemID="{40591B0B-FA08-46B7-AB4B-854D3ED2F0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Data-DO NOT PRINT</vt:lpstr>
      <vt:lpstr>Summary-DO NOT PRINT</vt:lpstr>
      <vt:lpstr>Res_RPP_Low</vt:lpstr>
      <vt:lpstr>Res_RPP_Typical</vt:lpstr>
      <vt:lpstr>Res_RPP_High</vt:lpstr>
      <vt:lpstr>GS&lt;50kW_RPP</vt:lpstr>
      <vt:lpstr>GS 50-999kW</vt:lpstr>
      <vt:lpstr>GS&gt;1,000kW</vt:lpstr>
      <vt:lpstr>USL</vt:lpstr>
      <vt:lpstr>StLgt</vt:lpstr>
      <vt:lpstr>Res_NonRPP_Typical</vt:lpstr>
      <vt:lpstr>GS&lt;50kW_NonRPP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Bill Impacts_Woodstock</dc:title>
  <dc:creator>SHETH Nikita</dc:creator>
  <cp:lastModifiedBy>KIM Susan</cp:lastModifiedBy>
  <cp:lastPrinted>2018-12-04T20:32:47Z</cp:lastPrinted>
  <dcterms:created xsi:type="dcterms:W3CDTF">2018-11-21T18:56:44Z</dcterms:created>
  <dcterms:modified xsi:type="dcterms:W3CDTF">2019-01-21T19:29:11Z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0x01010064C94B67ED5D1742B6115771699F028D</vt:lpwstr>
  </property>
  <property fmtid="{D5CDD505-2E9C-101B-9397-08002B2CF9AE}" pid="3" name="Order">
    <vt:r8>246700</vt:r8>
  </property>
</Properties>
</file>