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23256" windowHeight="6852" firstSheet="4" activeTab="4"/>
  </bookViews>
  <sheets>
    <sheet name="Data-DO NOT PRINT" sheetId="4" r:id="rId1"/>
    <sheet name="Summary-DO NOT PRINT" sheetId="28" r:id="rId2"/>
    <sheet name="Res_RPP_Low" sheetId="1" r:id="rId3"/>
    <sheet name="Res_RPP_Typical" sheetId="17" r:id="rId4"/>
    <sheet name="Res_RPP_High" sheetId="18" r:id="rId5"/>
    <sheet name="GS&lt;50kW_RPP" sheetId="20" r:id="rId6"/>
    <sheet name="GS 50-4,999kW" sheetId="22" r:id="rId7"/>
    <sheet name="USL" sheetId="24" r:id="rId8"/>
    <sheet name="SenLgt" sheetId="26" r:id="rId9"/>
    <sheet name="StLgt" sheetId="25" r:id="rId10"/>
    <sheet name="Emb_Dist" sheetId="23" r:id="rId11"/>
    <sheet name="Res_NonRPP_Typical" sheetId="19" r:id="rId12"/>
    <sheet name="GS&lt;50 kW_NonRPP" sheetId="27" r:id="rId13"/>
  </sheets>
  <externalReferences>
    <externalReference r:id="rId14"/>
  </externalReferences>
  <calcPr calcId="145621"/>
</workbook>
</file>

<file path=xl/calcChain.xml><?xml version="1.0" encoding="utf-8"?>
<calcChain xmlns="http://schemas.openxmlformats.org/spreadsheetml/2006/main">
  <c r="AC11" i="4" l="1"/>
  <c r="AB11" i="4"/>
  <c r="AC10" i="4"/>
  <c r="AB10" i="4"/>
  <c r="AC9" i="4"/>
  <c r="AB9" i="4"/>
  <c r="AC8" i="4"/>
  <c r="AB8" i="4"/>
  <c r="AC7" i="4"/>
  <c r="AB7" i="4"/>
  <c r="AC5" i="4"/>
  <c r="AC6" i="4" s="1"/>
  <c r="AB5" i="4"/>
  <c r="AB6" i="4" s="1"/>
  <c r="AC3" i="4"/>
  <c r="AC4" i="4" s="1"/>
  <c r="AB3" i="4"/>
  <c r="AB4" i="4" s="1"/>
  <c r="C15" i="27" l="1"/>
  <c r="C15" i="19"/>
  <c r="W10" i="4" l="1"/>
  <c r="W9" i="4"/>
  <c r="W8" i="4"/>
  <c r="W6" i="4"/>
  <c r="W5" i="4"/>
  <c r="W4" i="4"/>
  <c r="W3" i="4"/>
  <c r="W7" i="4"/>
  <c r="F28" i="27" l="1"/>
  <c r="F28" i="19"/>
  <c r="L10" i="4" l="1"/>
  <c r="L9" i="4"/>
  <c r="L8" i="4"/>
  <c r="L7" i="4"/>
  <c r="L6" i="4"/>
  <c r="L5" i="4"/>
  <c r="L4" i="4"/>
  <c r="L3" i="4"/>
  <c r="B11" i="25"/>
  <c r="D14" i="28" l="1"/>
  <c r="D7" i="28"/>
  <c r="D6" i="28"/>
  <c r="D5" i="28"/>
  <c r="B5" i="23" l="1"/>
  <c r="E13" i="28" s="1"/>
  <c r="B12" i="23" l="1"/>
  <c r="B17" i="23"/>
  <c r="B14" i="23"/>
  <c r="B18" i="23"/>
  <c r="B23" i="23"/>
  <c r="B20" i="23"/>
  <c r="B24" i="23"/>
  <c r="B4" i="20"/>
  <c r="D8" i="28" s="1"/>
  <c r="B4" i="27"/>
  <c r="F29" i="27"/>
  <c r="G28" i="27"/>
  <c r="E28" i="27"/>
  <c r="D28" i="27"/>
  <c r="F24" i="27"/>
  <c r="C24" i="27"/>
  <c r="F23" i="27"/>
  <c r="C23" i="27"/>
  <c r="E21" i="27"/>
  <c r="C21" i="27"/>
  <c r="D21" i="27" s="1"/>
  <c r="F20" i="27"/>
  <c r="C20" i="27"/>
  <c r="F19" i="27"/>
  <c r="C19" i="27"/>
  <c r="F18" i="27"/>
  <c r="C18" i="27"/>
  <c r="F17" i="27"/>
  <c r="C17" i="27"/>
  <c r="F16" i="27"/>
  <c r="E16" i="27"/>
  <c r="C16" i="27"/>
  <c r="D16" i="27" s="1"/>
  <c r="F13" i="27"/>
  <c r="C13" i="27"/>
  <c r="F12" i="27"/>
  <c r="E12" i="27"/>
  <c r="C12" i="27"/>
  <c r="D12" i="27" s="1"/>
  <c r="F11" i="27"/>
  <c r="C11" i="27"/>
  <c r="F10" i="27"/>
  <c r="E10" i="27"/>
  <c r="C10" i="27"/>
  <c r="D10" i="27" s="1"/>
  <c r="B5" i="27"/>
  <c r="B29" i="19"/>
  <c r="D29" i="19" s="1"/>
  <c r="F29" i="19"/>
  <c r="F30" i="26"/>
  <c r="G29" i="26"/>
  <c r="H29" i="26" s="1"/>
  <c r="I29" i="26" s="1"/>
  <c r="E29" i="26"/>
  <c r="D29" i="26"/>
  <c r="F25" i="26"/>
  <c r="C25" i="26"/>
  <c r="F24" i="26"/>
  <c r="C24" i="26"/>
  <c r="E22" i="26"/>
  <c r="C22" i="26"/>
  <c r="D22" i="26" s="1"/>
  <c r="F21" i="26"/>
  <c r="C21" i="26"/>
  <c r="F20" i="26"/>
  <c r="C20" i="26"/>
  <c r="F19" i="26"/>
  <c r="C19" i="26"/>
  <c r="F18" i="26"/>
  <c r="C18" i="26"/>
  <c r="F17" i="26"/>
  <c r="G17" i="26" s="1"/>
  <c r="E17" i="26"/>
  <c r="C17" i="26"/>
  <c r="D17" i="26" s="1"/>
  <c r="F14" i="26"/>
  <c r="C14" i="26"/>
  <c r="F13" i="26"/>
  <c r="G13" i="26" s="1"/>
  <c r="E13" i="26"/>
  <c r="C13" i="26"/>
  <c r="D13" i="26" s="1"/>
  <c r="F12" i="26"/>
  <c r="C12" i="26"/>
  <c r="F11" i="26"/>
  <c r="E11" i="26"/>
  <c r="C11" i="26"/>
  <c r="D11" i="26" s="1"/>
  <c r="B6" i="26"/>
  <c r="B5" i="26"/>
  <c r="B4" i="26"/>
  <c r="F29" i="25"/>
  <c r="E28" i="25"/>
  <c r="G28" i="25" s="1"/>
  <c r="D28" i="25"/>
  <c r="F24" i="25"/>
  <c r="C24" i="25"/>
  <c r="F23" i="25"/>
  <c r="C23" i="25"/>
  <c r="E21" i="25"/>
  <c r="C21" i="25"/>
  <c r="D21" i="25" s="1"/>
  <c r="F20" i="25"/>
  <c r="C20" i="25"/>
  <c r="F19" i="25"/>
  <c r="C19" i="25"/>
  <c r="F18" i="25"/>
  <c r="C18" i="25"/>
  <c r="F17" i="25"/>
  <c r="C17" i="25"/>
  <c r="F16" i="25"/>
  <c r="E16" i="25"/>
  <c r="C16" i="25"/>
  <c r="D16" i="25" s="1"/>
  <c r="F14" i="25"/>
  <c r="C14" i="25"/>
  <c r="F13" i="25"/>
  <c r="E13" i="25"/>
  <c r="C13" i="25"/>
  <c r="D13" i="25" s="1"/>
  <c r="F12" i="25"/>
  <c r="C12" i="25"/>
  <c r="F11" i="25"/>
  <c r="E11" i="25"/>
  <c r="C11" i="25"/>
  <c r="D11" i="25" s="1"/>
  <c r="B6" i="25"/>
  <c r="B5" i="25"/>
  <c r="B4" i="25"/>
  <c r="G10" i="27" l="1"/>
  <c r="E29" i="19"/>
  <c r="G29" i="19" s="1"/>
  <c r="H28" i="27"/>
  <c r="I28" i="27" s="1"/>
  <c r="C16" i="26"/>
  <c r="F16" i="26" s="1"/>
  <c r="D12" i="28"/>
  <c r="B30" i="25"/>
  <c r="B29" i="25"/>
  <c r="F15" i="27"/>
  <c r="B29" i="27"/>
  <c r="G11" i="25"/>
  <c r="H11" i="25" s="1"/>
  <c r="I11" i="25" s="1"/>
  <c r="H28" i="25"/>
  <c r="I28" i="25" s="1"/>
  <c r="B31" i="26"/>
  <c r="B30" i="26"/>
  <c r="B12" i="25"/>
  <c r="E12" i="25" s="1"/>
  <c r="G12" i="25" s="1"/>
  <c r="E12" i="28"/>
  <c r="B20" i="26"/>
  <c r="E20" i="26" s="1"/>
  <c r="G20" i="26" s="1"/>
  <c r="D11" i="28"/>
  <c r="B21" i="26"/>
  <c r="D21" i="26" s="1"/>
  <c r="E11" i="28"/>
  <c r="B20" i="27"/>
  <c r="E20" i="27" s="1"/>
  <c r="G20" i="27" s="1"/>
  <c r="D15" i="28"/>
  <c r="H17" i="26"/>
  <c r="I17" i="26" s="1"/>
  <c r="F21" i="27"/>
  <c r="G21" i="27" s="1"/>
  <c r="H21" i="27" s="1"/>
  <c r="I21" i="27" s="1"/>
  <c r="F22" i="26"/>
  <c r="G22" i="26" s="1"/>
  <c r="H22" i="26" s="1"/>
  <c r="I22" i="26" s="1"/>
  <c r="H10" i="27"/>
  <c r="I10" i="27" s="1"/>
  <c r="B7" i="26"/>
  <c r="B16" i="26" s="1"/>
  <c r="G12" i="27"/>
  <c r="H12" i="27" s="1"/>
  <c r="I12" i="27" s="1"/>
  <c r="B6" i="27"/>
  <c r="B23" i="27" s="1"/>
  <c r="B13" i="27"/>
  <c r="B11" i="27"/>
  <c r="E11" i="27" s="1"/>
  <c r="G11" i="27" s="1"/>
  <c r="B17" i="27"/>
  <c r="E17" i="27" s="1"/>
  <c r="G17" i="27" s="1"/>
  <c r="B18" i="27"/>
  <c r="E18" i="27" s="1"/>
  <c r="G18" i="27" s="1"/>
  <c r="B19" i="27"/>
  <c r="E19" i="27" s="1"/>
  <c r="G19" i="27" s="1"/>
  <c r="G16" i="27"/>
  <c r="H16" i="27" s="1"/>
  <c r="I16" i="27" s="1"/>
  <c r="H29" i="19"/>
  <c r="I29" i="19" s="1"/>
  <c r="G11" i="26"/>
  <c r="H11" i="26" s="1"/>
  <c r="I11" i="26" s="1"/>
  <c r="H13" i="26"/>
  <c r="I13" i="26" s="1"/>
  <c r="B24" i="26"/>
  <c r="B14" i="26"/>
  <c r="E14" i="26" s="1"/>
  <c r="G14" i="26" s="1"/>
  <c r="B12" i="26"/>
  <c r="B25" i="26"/>
  <c r="B18" i="26"/>
  <c r="B19" i="26"/>
  <c r="G13" i="25"/>
  <c r="H13" i="25" s="1"/>
  <c r="I13" i="25" s="1"/>
  <c r="G16" i="25"/>
  <c r="H16" i="25" s="1"/>
  <c r="I16" i="25" s="1"/>
  <c r="F21" i="25"/>
  <c r="G21" i="25" s="1"/>
  <c r="H21" i="25" s="1"/>
  <c r="I21" i="25" s="1"/>
  <c r="B24" i="25"/>
  <c r="E24" i="25" s="1"/>
  <c r="G24" i="25" s="1"/>
  <c r="B23" i="25"/>
  <c r="E23" i="25" s="1"/>
  <c r="G23" i="25" s="1"/>
  <c r="B7" i="25"/>
  <c r="B19" i="25"/>
  <c r="B17" i="25"/>
  <c r="B18" i="25"/>
  <c r="B20" i="25"/>
  <c r="B14" i="25"/>
  <c r="D20" i="27" l="1"/>
  <c r="H20" i="27" s="1"/>
  <c r="I20" i="27" s="1"/>
  <c r="D11" i="27"/>
  <c r="H11" i="27" s="1"/>
  <c r="I11" i="27" s="1"/>
  <c r="E16" i="26"/>
  <c r="G16" i="26" s="1"/>
  <c r="D16" i="26"/>
  <c r="D20" i="26"/>
  <c r="H20" i="26" s="1"/>
  <c r="I20" i="26" s="1"/>
  <c r="E21" i="26"/>
  <c r="G21" i="26" s="1"/>
  <c r="H21" i="26" s="1"/>
  <c r="I21" i="26" s="1"/>
  <c r="D12" i="25"/>
  <c r="H12" i="25" s="1"/>
  <c r="I12" i="25" s="1"/>
  <c r="D14" i="26"/>
  <c r="H14" i="26" s="1"/>
  <c r="I14" i="26" s="1"/>
  <c r="B24" i="27"/>
  <c r="D24" i="27" s="1"/>
  <c r="B27" i="26"/>
  <c r="E27" i="26" s="1"/>
  <c r="G27" i="26" s="1"/>
  <c r="B15" i="27"/>
  <c r="D15" i="27" s="1"/>
  <c r="B26" i="27"/>
  <c r="D26" i="27" s="1"/>
  <c r="D30" i="26"/>
  <c r="B27" i="27"/>
  <c r="E27" i="27" s="1"/>
  <c r="G27" i="27" s="1"/>
  <c r="D19" i="27"/>
  <c r="H19" i="27" s="1"/>
  <c r="I19" i="27" s="1"/>
  <c r="B28" i="26"/>
  <c r="E28" i="26" s="1"/>
  <c r="G28" i="26" s="1"/>
  <c r="E13" i="27"/>
  <c r="G13" i="27" s="1"/>
  <c r="D13" i="27"/>
  <c r="D18" i="27"/>
  <c r="H18" i="27" s="1"/>
  <c r="I18" i="27" s="1"/>
  <c r="D17" i="27"/>
  <c r="H17" i="27" s="1"/>
  <c r="I17" i="27" s="1"/>
  <c r="E29" i="27"/>
  <c r="G29" i="27" s="1"/>
  <c r="D29" i="27"/>
  <c r="E23" i="27"/>
  <c r="G23" i="27" s="1"/>
  <c r="D23" i="27"/>
  <c r="D12" i="26"/>
  <c r="E12" i="26"/>
  <c r="G12" i="26" s="1"/>
  <c r="G15" i="26" s="1"/>
  <c r="E25" i="26"/>
  <c r="G25" i="26" s="1"/>
  <c r="D25" i="26"/>
  <c r="D24" i="26"/>
  <c r="E24" i="26"/>
  <c r="G24" i="26" s="1"/>
  <c r="D31" i="26"/>
  <c r="E31" i="26"/>
  <c r="G31" i="26" s="1"/>
  <c r="E19" i="26"/>
  <c r="G19" i="26" s="1"/>
  <c r="D19" i="26"/>
  <c r="E18" i="26"/>
  <c r="G18" i="26" s="1"/>
  <c r="D18" i="26"/>
  <c r="D23" i="25"/>
  <c r="H23" i="25" s="1"/>
  <c r="I23" i="25" s="1"/>
  <c r="D24" i="25"/>
  <c r="H24" i="25" s="1"/>
  <c r="I24" i="25" s="1"/>
  <c r="D20" i="25"/>
  <c r="E20" i="25"/>
  <c r="G20" i="25" s="1"/>
  <c r="B27" i="25"/>
  <c r="B26" i="25"/>
  <c r="D18" i="25"/>
  <c r="E18" i="25"/>
  <c r="G18" i="25" s="1"/>
  <c r="D17" i="25"/>
  <c r="E17" i="25"/>
  <c r="G17" i="25" s="1"/>
  <c r="E14" i="25"/>
  <c r="G14" i="25" s="1"/>
  <c r="D14" i="25"/>
  <c r="D19" i="25"/>
  <c r="E19" i="25"/>
  <c r="G19" i="25" s="1"/>
  <c r="D14" i="27" l="1"/>
  <c r="D22" i="27" s="1"/>
  <c r="D25" i="27" s="1"/>
  <c r="D15" i="26"/>
  <c r="H15" i="26" s="1"/>
  <c r="H16" i="26"/>
  <c r="I16" i="26" s="1"/>
  <c r="D15" i="25"/>
  <c r="D22" i="25" s="1"/>
  <c r="D25" i="25" s="1"/>
  <c r="E30" i="26"/>
  <c r="G30" i="26" s="1"/>
  <c r="H30" i="26" s="1"/>
  <c r="I30" i="26" s="1"/>
  <c r="E26" i="27"/>
  <c r="G26" i="27" s="1"/>
  <c r="H26" i="27" s="1"/>
  <c r="I26" i="27" s="1"/>
  <c r="E24" i="27"/>
  <c r="G24" i="27" s="1"/>
  <c r="H24" i="27" s="1"/>
  <c r="I24" i="27" s="1"/>
  <c r="E15" i="27"/>
  <c r="G15" i="27" s="1"/>
  <c r="H15" i="27" s="1"/>
  <c r="I15" i="27" s="1"/>
  <c r="D27" i="26"/>
  <c r="H27" i="26" s="1"/>
  <c r="I27" i="26" s="1"/>
  <c r="D27" i="27"/>
  <c r="H27" i="27" s="1"/>
  <c r="I27" i="27" s="1"/>
  <c r="D28" i="26"/>
  <c r="H28" i="26" s="1"/>
  <c r="I28" i="26" s="1"/>
  <c r="H17" i="25"/>
  <c r="I17" i="25" s="1"/>
  <c r="H31" i="26"/>
  <c r="I31" i="26" s="1"/>
  <c r="H24" i="26"/>
  <c r="I24" i="26" s="1"/>
  <c r="H12" i="26"/>
  <c r="I12" i="26" s="1"/>
  <c r="H29" i="27"/>
  <c r="I29" i="27" s="1"/>
  <c r="H13" i="27"/>
  <c r="I13" i="27" s="1"/>
  <c r="G14" i="27"/>
  <c r="H23" i="27"/>
  <c r="I23" i="27" s="1"/>
  <c r="H25" i="26"/>
  <c r="I25" i="26" s="1"/>
  <c r="H19" i="26"/>
  <c r="I19" i="26" s="1"/>
  <c r="H18" i="26"/>
  <c r="I18" i="26" s="1"/>
  <c r="G23" i="26"/>
  <c r="D30" i="25"/>
  <c r="E30" i="25"/>
  <c r="G30" i="25" s="1"/>
  <c r="H20" i="25"/>
  <c r="I20" i="25" s="1"/>
  <c r="H18" i="25"/>
  <c r="I18" i="25" s="1"/>
  <c r="D27" i="25"/>
  <c r="E27" i="25"/>
  <c r="G27" i="25" s="1"/>
  <c r="H14" i="25"/>
  <c r="I14" i="25" s="1"/>
  <c r="E26" i="25"/>
  <c r="G26" i="25" s="1"/>
  <c r="D26" i="25"/>
  <c r="H19" i="25"/>
  <c r="I19" i="25" s="1"/>
  <c r="G15" i="25"/>
  <c r="E29" i="25"/>
  <c r="G29" i="25" s="1"/>
  <c r="D29" i="25"/>
  <c r="H14" i="27" l="1"/>
  <c r="F15" i="28" s="1"/>
  <c r="D23" i="26"/>
  <c r="D26" i="26" s="1"/>
  <c r="D33" i="26" s="1"/>
  <c r="G22" i="27"/>
  <c r="H22" i="27" s="1"/>
  <c r="D31" i="27"/>
  <c r="D32" i="27" s="1"/>
  <c r="H30" i="25"/>
  <c r="I30" i="25" s="1"/>
  <c r="I15" i="26"/>
  <c r="G11" i="28" s="1"/>
  <c r="F11" i="28"/>
  <c r="G26" i="26"/>
  <c r="D32" i="25"/>
  <c r="H27" i="25"/>
  <c r="I27" i="25" s="1"/>
  <c r="G22" i="25"/>
  <c r="H15" i="25"/>
  <c r="H29" i="25"/>
  <c r="I29" i="25" s="1"/>
  <c r="H26" i="25"/>
  <c r="I26" i="25" s="1"/>
  <c r="G25" i="27" l="1"/>
  <c r="G31" i="27" s="1"/>
  <c r="I14" i="27"/>
  <c r="G15" i="28" s="1"/>
  <c r="H23" i="26"/>
  <c r="H11" i="28" s="1"/>
  <c r="D33" i="25"/>
  <c r="D34" i="25" s="1"/>
  <c r="D34" i="26"/>
  <c r="D35" i="26"/>
  <c r="D33" i="27"/>
  <c r="D34" i="27" s="1"/>
  <c r="I15" i="25"/>
  <c r="G12" i="28" s="1"/>
  <c r="F12" i="28"/>
  <c r="I22" i="27"/>
  <c r="I15" i="28" s="1"/>
  <c r="H15" i="28"/>
  <c r="G33" i="26"/>
  <c r="H26" i="26"/>
  <c r="H22" i="25"/>
  <c r="G25" i="25"/>
  <c r="G32" i="25" s="1"/>
  <c r="H25" i="27" l="1"/>
  <c r="J15" i="28" s="1"/>
  <c r="I23" i="26"/>
  <c r="I11" i="28" s="1"/>
  <c r="D36" i="26"/>
  <c r="G35" i="26"/>
  <c r="H35" i="26" s="1"/>
  <c r="I35" i="26" s="1"/>
  <c r="I26" i="26"/>
  <c r="K11" i="28" s="1"/>
  <c r="J11" i="28"/>
  <c r="I22" i="25"/>
  <c r="I12" i="28" s="1"/>
  <c r="H12" i="28"/>
  <c r="H31" i="27"/>
  <c r="I31" i="27" s="1"/>
  <c r="G33" i="27"/>
  <c r="H33" i="27" s="1"/>
  <c r="I33" i="27" s="1"/>
  <c r="G32" i="27"/>
  <c r="H32" i="27" s="1"/>
  <c r="I32" i="27" s="1"/>
  <c r="H33" i="26"/>
  <c r="I33" i="26" s="1"/>
  <c r="G34" i="26"/>
  <c r="H34" i="26" s="1"/>
  <c r="I34" i="26" s="1"/>
  <c r="H25" i="25"/>
  <c r="I25" i="27" l="1"/>
  <c r="K15" i="28" s="1"/>
  <c r="G36" i="26"/>
  <c r="H36" i="26" s="1"/>
  <c r="I36" i="26" s="1"/>
  <c r="I25" i="25"/>
  <c r="K12" i="28" s="1"/>
  <c r="J12" i="28"/>
  <c r="G34" i="27"/>
  <c r="H34" i="27" s="1"/>
  <c r="H32" i="25"/>
  <c r="I32" i="25" s="1"/>
  <c r="G33" i="25"/>
  <c r="H33" i="25" l="1"/>
  <c r="I33" i="25" s="1"/>
  <c r="G34" i="25"/>
  <c r="H34" i="25" s="1"/>
  <c r="I34" i="25" s="1"/>
  <c r="M11" i="28"/>
  <c r="L11" i="28"/>
  <c r="I34" i="27"/>
  <c r="M15" i="28" s="1"/>
  <c r="L15" i="28"/>
  <c r="M12" i="28" l="1"/>
  <c r="L12" i="28"/>
  <c r="B4" i="24"/>
  <c r="B17" i="24" s="1"/>
  <c r="E17" i="24" s="1"/>
  <c r="F30" i="24"/>
  <c r="F29" i="24"/>
  <c r="E28" i="24"/>
  <c r="G28" i="24" s="1"/>
  <c r="D28" i="24"/>
  <c r="F24" i="24"/>
  <c r="C24" i="24"/>
  <c r="F23" i="24"/>
  <c r="C23" i="24"/>
  <c r="E21" i="24"/>
  <c r="C21" i="24"/>
  <c r="F21" i="24" s="1"/>
  <c r="F20" i="24"/>
  <c r="C20" i="24"/>
  <c r="F19" i="24"/>
  <c r="C19" i="24"/>
  <c r="F18" i="24"/>
  <c r="C18" i="24"/>
  <c r="F17" i="24"/>
  <c r="C17" i="24"/>
  <c r="F16" i="24"/>
  <c r="E16" i="24"/>
  <c r="C16" i="24"/>
  <c r="D16" i="24" s="1"/>
  <c r="F13" i="24"/>
  <c r="C13" i="24"/>
  <c r="F12" i="24"/>
  <c r="E12" i="24"/>
  <c r="C12" i="24"/>
  <c r="D12" i="24" s="1"/>
  <c r="F11" i="24"/>
  <c r="C11" i="24"/>
  <c r="F10" i="24"/>
  <c r="E10" i="24"/>
  <c r="C10" i="24"/>
  <c r="D10" i="24" s="1"/>
  <c r="B5" i="24"/>
  <c r="F29" i="23"/>
  <c r="E28" i="23"/>
  <c r="G28" i="23" s="1"/>
  <c r="D28" i="23"/>
  <c r="F24" i="23"/>
  <c r="C24" i="23"/>
  <c r="F23" i="23"/>
  <c r="C23" i="23"/>
  <c r="E21" i="23"/>
  <c r="C21" i="23"/>
  <c r="D21" i="23" s="1"/>
  <c r="F20" i="23"/>
  <c r="C20" i="23"/>
  <c r="F19" i="23"/>
  <c r="C19" i="23"/>
  <c r="F18" i="23"/>
  <c r="C18" i="23"/>
  <c r="F17" i="23"/>
  <c r="C17" i="23"/>
  <c r="F16" i="23"/>
  <c r="E16" i="23"/>
  <c r="C16" i="23"/>
  <c r="D16" i="23" s="1"/>
  <c r="F14" i="23"/>
  <c r="C14" i="23"/>
  <c r="F13" i="23"/>
  <c r="E13" i="23"/>
  <c r="C13" i="23"/>
  <c r="D13" i="23" s="1"/>
  <c r="F12" i="23"/>
  <c r="C12" i="23"/>
  <c r="F11" i="23"/>
  <c r="E11" i="23"/>
  <c r="C11" i="23"/>
  <c r="D11" i="23" s="1"/>
  <c r="B6" i="23"/>
  <c r="B4" i="23"/>
  <c r="B4" i="22"/>
  <c r="B5" i="22"/>
  <c r="F29" i="22"/>
  <c r="E28" i="22"/>
  <c r="G28" i="22" s="1"/>
  <c r="D28" i="22"/>
  <c r="F24" i="22"/>
  <c r="C24" i="22"/>
  <c r="F23" i="22"/>
  <c r="C23" i="22"/>
  <c r="E21" i="22"/>
  <c r="C21" i="22"/>
  <c r="F21" i="22" s="1"/>
  <c r="F20" i="22"/>
  <c r="C20" i="22"/>
  <c r="F19" i="22"/>
  <c r="C19" i="22"/>
  <c r="F18" i="22"/>
  <c r="C18" i="22"/>
  <c r="F17" i="22"/>
  <c r="C17" i="22"/>
  <c r="F16" i="22"/>
  <c r="E16" i="22"/>
  <c r="C16" i="22"/>
  <c r="D16" i="22" s="1"/>
  <c r="F14" i="22"/>
  <c r="C14" i="22"/>
  <c r="F13" i="22"/>
  <c r="E13" i="22"/>
  <c r="C13" i="22"/>
  <c r="D13" i="22" s="1"/>
  <c r="F12" i="22"/>
  <c r="C12" i="22"/>
  <c r="F11" i="22"/>
  <c r="E11" i="22"/>
  <c r="C11" i="22"/>
  <c r="D11" i="22" s="1"/>
  <c r="B6" i="22"/>
  <c r="F31" i="20"/>
  <c r="B31" i="20"/>
  <c r="D31" i="20" s="1"/>
  <c r="F30" i="20"/>
  <c r="B30" i="20"/>
  <c r="E30" i="20" s="1"/>
  <c r="G30" i="20" s="1"/>
  <c r="F29" i="20"/>
  <c r="B29" i="20"/>
  <c r="E28" i="20"/>
  <c r="G28" i="20" s="1"/>
  <c r="H28" i="20" s="1"/>
  <c r="I28" i="20" s="1"/>
  <c r="D28" i="20"/>
  <c r="F24" i="20"/>
  <c r="C24" i="20"/>
  <c r="F23" i="20"/>
  <c r="C23" i="20"/>
  <c r="E21" i="20"/>
  <c r="C21" i="20"/>
  <c r="F21" i="20" s="1"/>
  <c r="G21" i="20" s="1"/>
  <c r="F20" i="20"/>
  <c r="C20" i="20"/>
  <c r="B20" i="20"/>
  <c r="F19" i="20"/>
  <c r="C19" i="20"/>
  <c r="B19" i="20"/>
  <c r="F18" i="20"/>
  <c r="C18" i="20"/>
  <c r="B18" i="20"/>
  <c r="F17" i="20"/>
  <c r="C17" i="20"/>
  <c r="B17" i="20"/>
  <c r="F16" i="20"/>
  <c r="G16" i="20" s="1"/>
  <c r="E16" i="20"/>
  <c r="C16" i="20"/>
  <c r="D16" i="20" s="1"/>
  <c r="C15" i="20"/>
  <c r="F15" i="20" s="1"/>
  <c r="F13" i="20"/>
  <c r="C13" i="20"/>
  <c r="B13" i="20"/>
  <c r="F12" i="20"/>
  <c r="E12" i="20"/>
  <c r="C12" i="20"/>
  <c r="D12" i="20" s="1"/>
  <c r="F11" i="20"/>
  <c r="C11" i="20"/>
  <c r="B11" i="20"/>
  <c r="E11" i="20" s="1"/>
  <c r="F10" i="20"/>
  <c r="E10" i="20"/>
  <c r="C10" i="20"/>
  <c r="D10" i="20" s="1"/>
  <c r="B5" i="20"/>
  <c r="B6" i="20" s="1"/>
  <c r="E28" i="19"/>
  <c r="G28" i="19" s="1"/>
  <c r="H28" i="19" s="1"/>
  <c r="I28" i="19" s="1"/>
  <c r="D28" i="19"/>
  <c r="E21" i="19"/>
  <c r="C21" i="19"/>
  <c r="F21" i="19" s="1"/>
  <c r="G21" i="19" s="1"/>
  <c r="B20" i="19"/>
  <c r="F19" i="19"/>
  <c r="C19" i="19"/>
  <c r="B19" i="19"/>
  <c r="F18" i="19"/>
  <c r="B18" i="19"/>
  <c r="F17" i="19"/>
  <c r="B17" i="19"/>
  <c r="E17" i="19" s="1"/>
  <c r="F16" i="19"/>
  <c r="G16" i="19" s="1"/>
  <c r="E16" i="19"/>
  <c r="F15" i="19"/>
  <c r="B13" i="19"/>
  <c r="E13" i="19" s="1"/>
  <c r="E12" i="19"/>
  <c r="B11" i="19"/>
  <c r="E11" i="19" s="1"/>
  <c r="E10" i="19"/>
  <c r="B5" i="19"/>
  <c r="B6" i="19" s="1"/>
  <c r="F31" i="18"/>
  <c r="B31" i="18"/>
  <c r="E31" i="18" s="1"/>
  <c r="G31" i="18" s="1"/>
  <c r="F30" i="18"/>
  <c r="E30" i="18"/>
  <c r="G30" i="18" s="1"/>
  <c r="H30" i="18" s="1"/>
  <c r="I30" i="18" s="1"/>
  <c r="B30" i="18"/>
  <c r="D30" i="18" s="1"/>
  <c r="F29" i="18"/>
  <c r="D29" i="18"/>
  <c r="B29" i="18"/>
  <c r="E29" i="18" s="1"/>
  <c r="G29" i="18" s="1"/>
  <c r="H29" i="18" s="1"/>
  <c r="I29" i="18" s="1"/>
  <c r="G28" i="18"/>
  <c r="H28" i="18" s="1"/>
  <c r="I28" i="18" s="1"/>
  <c r="E28" i="18"/>
  <c r="D28" i="18"/>
  <c r="F24" i="18"/>
  <c r="C24" i="18"/>
  <c r="F23" i="18"/>
  <c r="C23" i="18"/>
  <c r="E21" i="18"/>
  <c r="C21" i="18"/>
  <c r="F21" i="18" s="1"/>
  <c r="F20" i="18"/>
  <c r="C20" i="18"/>
  <c r="B20" i="18"/>
  <c r="E20" i="18" s="1"/>
  <c r="F19" i="18"/>
  <c r="C19" i="18"/>
  <c r="D19" i="18" s="1"/>
  <c r="B19" i="18"/>
  <c r="E19" i="18" s="1"/>
  <c r="F18" i="18"/>
  <c r="C18" i="18"/>
  <c r="B18" i="18"/>
  <c r="E18" i="18" s="1"/>
  <c r="F17" i="18"/>
  <c r="C17" i="18"/>
  <c r="D17" i="18" s="1"/>
  <c r="B17" i="18"/>
  <c r="E17" i="18" s="1"/>
  <c r="F16" i="18"/>
  <c r="G16" i="18" s="1"/>
  <c r="E16" i="18"/>
  <c r="C16" i="18"/>
  <c r="D16" i="18" s="1"/>
  <c r="C15" i="18"/>
  <c r="F15" i="18" s="1"/>
  <c r="F13" i="18"/>
  <c r="C13" i="18"/>
  <c r="B13" i="18"/>
  <c r="E13" i="18" s="1"/>
  <c r="F12" i="18"/>
  <c r="G12" i="18" s="1"/>
  <c r="E12" i="18"/>
  <c r="C12" i="18"/>
  <c r="D12" i="18" s="1"/>
  <c r="F11" i="18"/>
  <c r="E11" i="18"/>
  <c r="C11" i="18"/>
  <c r="B11" i="18"/>
  <c r="F10" i="18"/>
  <c r="E10" i="18"/>
  <c r="C10" i="18"/>
  <c r="D10" i="18" s="1"/>
  <c r="B5" i="18"/>
  <c r="B6" i="18" s="1"/>
  <c r="F31" i="17"/>
  <c r="B31" i="17"/>
  <c r="D31" i="17" s="1"/>
  <c r="F30" i="17"/>
  <c r="B30" i="17"/>
  <c r="E30" i="17" s="1"/>
  <c r="G30" i="17" s="1"/>
  <c r="F29" i="17"/>
  <c r="D29" i="17"/>
  <c r="B29" i="17"/>
  <c r="E29" i="17" s="1"/>
  <c r="G29" i="17" s="1"/>
  <c r="G28" i="17"/>
  <c r="H28" i="17" s="1"/>
  <c r="I28" i="17" s="1"/>
  <c r="E28" i="17"/>
  <c r="D28" i="17"/>
  <c r="F24" i="17"/>
  <c r="C24" i="17"/>
  <c r="F23" i="17"/>
  <c r="C23" i="17"/>
  <c r="E21" i="17"/>
  <c r="C21" i="17"/>
  <c r="F21" i="17" s="1"/>
  <c r="G21" i="17" s="1"/>
  <c r="F20" i="17"/>
  <c r="C20" i="17"/>
  <c r="B20" i="17"/>
  <c r="E20" i="17" s="1"/>
  <c r="F19" i="17"/>
  <c r="C19" i="17"/>
  <c r="B19" i="17"/>
  <c r="E19" i="17" s="1"/>
  <c r="F18" i="17"/>
  <c r="C18" i="17"/>
  <c r="B18" i="17"/>
  <c r="E18" i="17" s="1"/>
  <c r="F17" i="17"/>
  <c r="C17" i="17"/>
  <c r="B17" i="17"/>
  <c r="E17" i="17" s="1"/>
  <c r="F16" i="17"/>
  <c r="G16" i="17" s="1"/>
  <c r="E16" i="17"/>
  <c r="C16" i="17"/>
  <c r="D16" i="17" s="1"/>
  <c r="C15" i="17"/>
  <c r="F15" i="17" s="1"/>
  <c r="F13" i="17"/>
  <c r="C13" i="17"/>
  <c r="B13" i="17"/>
  <c r="E13" i="17" s="1"/>
  <c r="F12" i="17"/>
  <c r="G12" i="17" s="1"/>
  <c r="E12" i="17"/>
  <c r="C12" i="17"/>
  <c r="D12" i="17" s="1"/>
  <c r="F11" i="17"/>
  <c r="C11" i="17"/>
  <c r="B11" i="17"/>
  <c r="F10" i="17"/>
  <c r="E10" i="17"/>
  <c r="C10" i="17"/>
  <c r="D10" i="17" s="1"/>
  <c r="B5" i="17"/>
  <c r="B6" i="17" s="1"/>
  <c r="F20" i="1"/>
  <c r="F19" i="1"/>
  <c r="F18" i="1"/>
  <c r="C21" i="1"/>
  <c r="F21" i="1" s="1"/>
  <c r="C20" i="1"/>
  <c r="C19" i="1"/>
  <c r="C18" i="1"/>
  <c r="C15" i="1"/>
  <c r="E19" i="1"/>
  <c r="B20" i="1"/>
  <c r="E20" i="1" s="1"/>
  <c r="B19" i="1"/>
  <c r="F30" i="1"/>
  <c r="F31" i="1"/>
  <c r="F29" i="1"/>
  <c r="B31" i="1"/>
  <c r="D31" i="1" s="1"/>
  <c r="B30" i="1"/>
  <c r="D30" i="1" s="1"/>
  <c r="B29" i="1"/>
  <c r="E29" i="1" s="1"/>
  <c r="D19" i="1" l="1"/>
  <c r="B20" i="24"/>
  <c r="E20" i="24" s="1"/>
  <c r="G20" i="24" s="1"/>
  <c r="C15" i="24"/>
  <c r="F15" i="24" s="1"/>
  <c r="B30" i="24"/>
  <c r="B29" i="24"/>
  <c r="D13" i="28"/>
  <c r="B19" i="23"/>
  <c r="E19" i="23" s="1"/>
  <c r="G19" i="23" s="1"/>
  <c r="B14" i="22"/>
  <c r="D14" i="22" s="1"/>
  <c r="E9" i="28"/>
  <c r="B18" i="24"/>
  <c r="E18" i="24" s="1"/>
  <c r="G18" i="24" s="1"/>
  <c r="D10" i="28"/>
  <c r="B19" i="22"/>
  <c r="E19" i="22" s="1"/>
  <c r="G19" i="22" s="1"/>
  <c r="D9" i="28"/>
  <c r="D20" i="1"/>
  <c r="G20" i="1"/>
  <c r="G19" i="1"/>
  <c r="G10" i="17"/>
  <c r="H10" i="17" s="1"/>
  <c r="I10" i="17" s="1"/>
  <c r="G13" i="17"/>
  <c r="G20" i="17"/>
  <c r="H16" i="18"/>
  <c r="I16" i="18" s="1"/>
  <c r="G10" i="18"/>
  <c r="H10" i="18" s="1"/>
  <c r="I10" i="18" s="1"/>
  <c r="G11" i="18"/>
  <c r="D19" i="19"/>
  <c r="D30" i="20"/>
  <c r="H30" i="20" s="1"/>
  <c r="I30" i="20" s="1"/>
  <c r="D21" i="18"/>
  <c r="G17" i="17"/>
  <c r="D11" i="18"/>
  <c r="D13" i="20"/>
  <c r="G13" i="23"/>
  <c r="H13" i="23" s="1"/>
  <c r="I13" i="23" s="1"/>
  <c r="B6" i="24"/>
  <c r="B11" i="24"/>
  <c r="E11" i="24" s="1"/>
  <c r="G11" i="24" s="1"/>
  <c r="H12" i="18"/>
  <c r="I12" i="18" s="1"/>
  <c r="G18" i="18"/>
  <c r="G17" i="19"/>
  <c r="D11" i="17"/>
  <c r="G13" i="18"/>
  <c r="G17" i="18"/>
  <c r="H17" i="18" s="1"/>
  <c r="I17" i="18" s="1"/>
  <c r="G12" i="20"/>
  <c r="H12" i="20" s="1"/>
  <c r="I12" i="20" s="1"/>
  <c r="G19" i="17"/>
  <c r="G20" i="18"/>
  <c r="H16" i="20"/>
  <c r="I16" i="20" s="1"/>
  <c r="H12" i="17"/>
  <c r="I12" i="17" s="1"/>
  <c r="G18" i="17"/>
  <c r="G19" i="18"/>
  <c r="H19" i="18" s="1"/>
  <c r="I19" i="18" s="1"/>
  <c r="G10" i="20"/>
  <c r="H10" i="20" s="1"/>
  <c r="I10" i="20" s="1"/>
  <c r="D11" i="20"/>
  <c r="B7" i="23"/>
  <c r="D24" i="23" s="1"/>
  <c r="G16" i="23"/>
  <c r="H16" i="23" s="1"/>
  <c r="I16" i="23" s="1"/>
  <c r="D21" i="17"/>
  <c r="H21" i="17" s="1"/>
  <c r="I21" i="17" s="1"/>
  <c r="G11" i="20"/>
  <c r="E31" i="20"/>
  <c r="G31" i="20" s="1"/>
  <c r="H31" i="20" s="1"/>
  <c r="I31" i="20" s="1"/>
  <c r="E18" i="19"/>
  <c r="E19" i="19"/>
  <c r="G19" i="19" s="1"/>
  <c r="E20" i="19"/>
  <c r="F21" i="23"/>
  <c r="G21" i="23" s="1"/>
  <c r="H21" i="23" s="1"/>
  <c r="I21" i="23" s="1"/>
  <c r="D14" i="23"/>
  <c r="E12" i="23"/>
  <c r="G12" i="23" s="1"/>
  <c r="G11" i="23"/>
  <c r="H11" i="23" s="1"/>
  <c r="I11" i="23" s="1"/>
  <c r="H28" i="23"/>
  <c r="I28" i="23" s="1"/>
  <c r="B13" i="24"/>
  <c r="E13" i="24" s="1"/>
  <c r="G13" i="24" s="1"/>
  <c r="B19" i="24"/>
  <c r="E19" i="24" s="1"/>
  <c r="G19" i="24" s="1"/>
  <c r="G12" i="24"/>
  <c r="H12" i="24" s="1"/>
  <c r="I12" i="24" s="1"/>
  <c r="G16" i="24"/>
  <c r="H16" i="24" s="1"/>
  <c r="I16" i="24" s="1"/>
  <c r="G17" i="24"/>
  <c r="G21" i="24"/>
  <c r="H28" i="24"/>
  <c r="I28" i="24" s="1"/>
  <c r="G10" i="24"/>
  <c r="H10" i="24" s="1"/>
  <c r="I10" i="24" s="1"/>
  <c r="D21" i="24"/>
  <c r="D17" i="24"/>
  <c r="B20" i="22"/>
  <c r="E20" i="22" s="1"/>
  <c r="G20" i="22" s="1"/>
  <c r="B17" i="22"/>
  <c r="E17" i="22" s="1"/>
  <c r="G17" i="22" s="1"/>
  <c r="B23" i="22"/>
  <c r="B7" i="22"/>
  <c r="G16" i="22"/>
  <c r="H16" i="22" s="1"/>
  <c r="I16" i="22" s="1"/>
  <c r="B18" i="22"/>
  <c r="E18" i="22" s="1"/>
  <c r="G18" i="22" s="1"/>
  <c r="B24" i="22"/>
  <c r="G13" i="22"/>
  <c r="H13" i="22" s="1"/>
  <c r="I13" i="22" s="1"/>
  <c r="H28" i="22"/>
  <c r="I28" i="22" s="1"/>
  <c r="B12" i="22"/>
  <c r="E12" i="22" s="1"/>
  <c r="G12" i="22" s="1"/>
  <c r="G21" i="22"/>
  <c r="G11" i="22"/>
  <c r="H11" i="22" s="1"/>
  <c r="I11" i="22" s="1"/>
  <c r="D21" i="22"/>
  <c r="E17" i="20"/>
  <c r="G17" i="20" s="1"/>
  <c r="D17" i="20"/>
  <c r="E18" i="20"/>
  <c r="G18" i="20" s="1"/>
  <c r="D18" i="20"/>
  <c r="E19" i="20"/>
  <c r="G19" i="20" s="1"/>
  <c r="D19" i="20"/>
  <c r="E20" i="20"/>
  <c r="G20" i="20" s="1"/>
  <c r="D20" i="20"/>
  <c r="D21" i="20"/>
  <c r="H21" i="20" s="1"/>
  <c r="I21" i="20" s="1"/>
  <c r="E29" i="20"/>
  <c r="G29" i="20" s="1"/>
  <c r="D29" i="20"/>
  <c r="B26" i="20"/>
  <c r="B24" i="20"/>
  <c r="B23" i="20"/>
  <c r="B27" i="20"/>
  <c r="E13" i="20"/>
  <c r="G13" i="20" s="1"/>
  <c r="B15" i="20"/>
  <c r="D21" i="19"/>
  <c r="H21" i="19" s="1"/>
  <c r="I21" i="19" s="1"/>
  <c r="G18" i="19"/>
  <c r="B26" i="19"/>
  <c r="B24" i="19"/>
  <c r="B23" i="19"/>
  <c r="B27" i="19"/>
  <c r="B15" i="19"/>
  <c r="D18" i="18"/>
  <c r="D20" i="18"/>
  <c r="B27" i="18"/>
  <c r="B15" i="18"/>
  <c r="B26" i="18"/>
  <c r="B24" i="18"/>
  <c r="B23" i="18"/>
  <c r="G21" i="18"/>
  <c r="D13" i="18"/>
  <c r="D31" i="18"/>
  <c r="H31" i="18" s="1"/>
  <c r="I31" i="18" s="1"/>
  <c r="H29" i="17"/>
  <c r="I29" i="17" s="1"/>
  <c r="D30" i="17"/>
  <c r="H30" i="17" s="1"/>
  <c r="I30" i="17" s="1"/>
  <c r="E31" i="17"/>
  <c r="G31" i="17" s="1"/>
  <c r="H31" i="17" s="1"/>
  <c r="I31" i="17" s="1"/>
  <c r="E11" i="17"/>
  <c r="G11" i="17" s="1"/>
  <c r="B26" i="17"/>
  <c r="B24" i="17"/>
  <c r="B23" i="17"/>
  <c r="B15" i="17"/>
  <c r="B27" i="17"/>
  <c r="H16" i="17"/>
  <c r="I16" i="17" s="1"/>
  <c r="D17" i="17"/>
  <c r="D18" i="17"/>
  <c r="D19" i="17"/>
  <c r="D20" i="17"/>
  <c r="D13" i="17"/>
  <c r="D21" i="1"/>
  <c r="G29" i="1"/>
  <c r="E30" i="1"/>
  <c r="G30" i="1" s="1"/>
  <c r="H30" i="1" s="1"/>
  <c r="I30" i="1" s="1"/>
  <c r="E31" i="1"/>
  <c r="G31" i="1" s="1"/>
  <c r="H31" i="1" s="1"/>
  <c r="I31" i="1" s="1"/>
  <c r="D29" i="1"/>
  <c r="H19" i="1" l="1"/>
  <c r="I19" i="1" s="1"/>
  <c r="D20" i="24"/>
  <c r="H20" i="24" s="1"/>
  <c r="I20" i="24" s="1"/>
  <c r="E14" i="22"/>
  <c r="G14" i="22" s="1"/>
  <c r="H14" i="22" s="1"/>
  <c r="I14" i="22" s="1"/>
  <c r="H18" i="17"/>
  <c r="I18" i="17" s="1"/>
  <c r="H20" i="1"/>
  <c r="I20" i="1" s="1"/>
  <c r="B26" i="24"/>
  <c r="D26" i="24" s="1"/>
  <c r="B15" i="24"/>
  <c r="D11" i="24"/>
  <c r="D18" i="24"/>
  <c r="H18" i="24" s="1"/>
  <c r="I18" i="24" s="1"/>
  <c r="H13" i="17"/>
  <c r="I13" i="17" s="1"/>
  <c r="H29" i="1"/>
  <c r="I29" i="1" s="1"/>
  <c r="H11" i="17"/>
  <c r="I11" i="17" s="1"/>
  <c r="D20" i="22"/>
  <c r="H20" i="22" s="1"/>
  <c r="I20" i="22" s="1"/>
  <c r="H19" i="17"/>
  <c r="I19" i="17" s="1"/>
  <c r="H21" i="22"/>
  <c r="I21" i="22" s="1"/>
  <c r="D14" i="20"/>
  <c r="H13" i="20"/>
  <c r="I13" i="20" s="1"/>
  <c r="G14" i="18"/>
  <c r="H21" i="18"/>
  <c r="I21" i="18" s="1"/>
  <c r="H18" i="18"/>
  <c r="I18" i="18" s="1"/>
  <c r="B27" i="23"/>
  <c r="E27" i="23" s="1"/>
  <c r="G27" i="23" s="1"/>
  <c r="H11" i="20"/>
  <c r="I11" i="20" s="1"/>
  <c r="H19" i="19"/>
  <c r="I19" i="19" s="1"/>
  <c r="H20" i="18"/>
  <c r="I20" i="18" s="1"/>
  <c r="H20" i="17"/>
  <c r="I20" i="17" s="1"/>
  <c r="H11" i="18"/>
  <c r="I11" i="18" s="1"/>
  <c r="H17" i="17"/>
  <c r="I17" i="17" s="1"/>
  <c r="E30" i="24"/>
  <c r="G30" i="24" s="1"/>
  <c r="B23" i="24"/>
  <c r="D23" i="24" s="1"/>
  <c r="B24" i="24"/>
  <c r="D24" i="24" s="1"/>
  <c r="E14" i="23"/>
  <c r="G14" i="23" s="1"/>
  <c r="G15" i="23" s="1"/>
  <c r="B27" i="24"/>
  <c r="D27" i="24" s="1"/>
  <c r="E24" i="23"/>
  <c r="G24" i="23" s="1"/>
  <c r="H24" i="23" s="1"/>
  <c r="I24" i="23" s="1"/>
  <c r="E26" i="24"/>
  <c r="G26" i="24" s="1"/>
  <c r="H26" i="24" s="1"/>
  <c r="I26" i="24" s="1"/>
  <c r="G14" i="17"/>
  <c r="H13" i="18"/>
  <c r="I13" i="18" s="1"/>
  <c r="D13" i="24"/>
  <c r="H13" i="24" s="1"/>
  <c r="I13" i="24" s="1"/>
  <c r="B26" i="23"/>
  <c r="D26" i="23" s="1"/>
  <c r="D19" i="24"/>
  <c r="H19" i="24" s="1"/>
  <c r="I19" i="24" s="1"/>
  <c r="B29" i="23"/>
  <c r="D29" i="23" s="1"/>
  <c r="D12" i="23"/>
  <c r="H12" i="23" s="1"/>
  <c r="I12" i="23" s="1"/>
  <c r="D19" i="23"/>
  <c r="H19" i="23" s="1"/>
  <c r="I19" i="23" s="1"/>
  <c r="H17" i="24"/>
  <c r="I17" i="24" s="1"/>
  <c r="H11" i="24"/>
  <c r="I11" i="24" s="1"/>
  <c r="G14" i="24"/>
  <c r="H21" i="24"/>
  <c r="I21" i="24" s="1"/>
  <c r="E20" i="23"/>
  <c r="G20" i="23" s="1"/>
  <c r="D20" i="23"/>
  <c r="E17" i="23"/>
  <c r="G17" i="23" s="1"/>
  <c r="D17" i="23"/>
  <c r="E18" i="23"/>
  <c r="G18" i="23" s="1"/>
  <c r="D18" i="23"/>
  <c r="B26" i="22"/>
  <c r="B29" i="22"/>
  <c r="B27" i="22"/>
  <c r="D27" i="22" s="1"/>
  <c r="D19" i="22"/>
  <c r="H19" i="22" s="1"/>
  <c r="I19" i="22" s="1"/>
  <c r="D18" i="22"/>
  <c r="H18" i="22" s="1"/>
  <c r="I18" i="22" s="1"/>
  <c r="D12" i="22"/>
  <c r="D15" i="22" s="1"/>
  <c r="D17" i="22"/>
  <c r="H17" i="22" s="1"/>
  <c r="I17" i="22" s="1"/>
  <c r="E24" i="22"/>
  <c r="G24" i="22" s="1"/>
  <c r="D24" i="22"/>
  <c r="E23" i="22"/>
  <c r="G23" i="22" s="1"/>
  <c r="D23" i="22"/>
  <c r="H20" i="20"/>
  <c r="I20" i="20" s="1"/>
  <c r="H18" i="20"/>
  <c r="I18" i="20" s="1"/>
  <c r="E24" i="20"/>
  <c r="G24" i="20" s="1"/>
  <c r="D24" i="20"/>
  <c r="E26" i="20"/>
  <c r="G26" i="20" s="1"/>
  <c r="D26" i="20"/>
  <c r="D15" i="20"/>
  <c r="E15" i="20"/>
  <c r="G15" i="20" s="1"/>
  <c r="E27" i="20"/>
  <c r="G27" i="20" s="1"/>
  <c r="D27" i="20"/>
  <c r="G14" i="20"/>
  <c r="H19" i="20"/>
  <c r="I19" i="20" s="1"/>
  <c r="H17" i="20"/>
  <c r="I17" i="20" s="1"/>
  <c r="E23" i="20"/>
  <c r="G23" i="20" s="1"/>
  <c r="D23" i="20"/>
  <c r="H29" i="20"/>
  <c r="I29" i="20" s="1"/>
  <c r="E23" i="19"/>
  <c r="E24" i="19"/>
  <c r="E27" i="19"/>
  <c r="G27" i="19" s="1"/>
  <c r="D27" i="19"/>
  <c r="E15" i="19"/>
  <c r="G15" i="19" s="1"/>
  <c r="D15" i="19"/>
  <c r="D26" i="19"/>
  <c r="E26" i="19"/>
  <c r="G26" i="19" s="1"/>
  <c r="D14" i="18"/>
  <c r="E15" i="18"/>
  <c r="G15" i="18" s="1"/>
  <c r="D15" i="18"/>
  <c r="E27" i="18"/>
  <c r="G27" i="18" s="1"/>
  <c r="D27" i="18"/>
  <c r="D24" i="18"/>
  <c r="E24" i="18"/>
  <c r="G24" i="18" s="1"/>
  <c r="E23" i="18"/>
  <c r="G23" i="18" s="1"/>
  <c r="D23" i="18"/>
  <c r="D26" i="18"/>
  <c r="E26" i="18"/>
  <c r="G26" i="18" s="1"/>
  <c r="D14" i="17"/>
  <c r="E27" i="17"/>
  <c r="G27" i="17" s="1"/>
  <c r="D27" i="17"/>
  <c r="E15" i="17"/>
  <c r="G15" i="17" s="1"/>
  <c r="D15" i="17"/>
  <c r="E23" i="17"/>
  <c r="G23" i="17" s="1"/>
  <c r="D23" i="17"/>
  <c r="D26" i="17"/>
  <c r="E26" i="17"/>
  <c r="G26" i="17" s="1"/>
  <c r="E24" i="17"/>
  <c r="G24" i="17" s="1"/>
  <c r="D24" i="17"/>
  <c r="F24" i="19"/>
  <c r="F23" i="19"/>
  <c r="F13" i="19"/>
  <c r="G13" i="19" s="1"/>
  <c r="F12" i="19"/>
  <c r="G12" i="19" s="1"/>
  <c r="C24" i="19"/>
  <c r="D24" i="19" s="1"/>
  <c r="C23" i="19"/>
  <c r="D23" i="19" s="1"/>
  <c r="C11" i="19"/>
  <c r="D11" i="19" s="1"/>
  <c r="C20" i="19"/>
  <c r="D20" i="19" s="1"/>
  <c r="C12" i="19"/>
  <c r="D12" i="19" s="1"/>
  <c r="C16" i="19"/>
  <c r="D16" i="19" s="1"/>
  <c r="H16" i="19" s="1"/>
  <c r="I16" i="19" s="1"/>
  <c r="C17" i="19"/>
  <c r="D17" i="19" s="1"/>
  <c r="H17" i="19" s="1"/>
  <c r="I17" i="19" s="1"/>
  <c r="C18" i="19"/>
  <c r="D18" i="19" s="1"/>
  <c r="H18" i="19" s="1"/>
  <c r="I18" i="19" s="1"/>
  <c r="C10" i="19"/>
  <c r="D10" i="19" s="1"/>
  <c r="F11" i="19"/>
  <c r="G11" i="19" s="1"/>
  <c r="F10" i="19"/>
  <c r="G10" i="19" s="1"/>
  <c r="F20" i="19"/>
  <c r="G20" i="19" s="1"/>
  <c r="G15" i="22" l="1"/>
  <c r="G22" i="22" s="1"/>
  <c r="G25" i="22" s="1"/>
  <c r="E27" i="22"/>
  <c r="G27" i="22" s="1"/>
  <c r="H27" i="22" s="1"/>
  <c r="I27" i="22" s="1"/>
  <c r="H14" i="18"/>
  <c r="I14" i="18" s="1"/>
  <c r="G7" i="28" s="1"/>
  <c r="D15" i="24"/>
  <c r="E15" i="24"/>
  <c r="G15" i="24" s="1"/>
  <c r="H11" i="19"/>
  <c r="I11" i="19" s="1"/>
  <c r="E24" i="24"/>
  <c r="G24" i="24" s="1"/>
  <c r="H24" i="24" s="1"/>
  <c r="I24" i="24" s="1"/>
  <c r="E23" i="24"/>
  <c r="G23" i="24" s="1"/>
  <c r="H23" i="24" s="1"/>
  <c r="I23" i="24" s="1"/>
  <c r="H14" i="23"/>
  <c r="I14" i="23" s="1"/>
  <c r="H12" i="19"/>
  <c r="I12" i="19" s="1"/>
  <c r="H10" i="19"/>
  <c r="I10" i="19" s="1"/>
  <c r="D22" i="20"/>
  <c r="D25" i="20" s="1"/>
  <c r="D33" i="20" s="1"/>
  <c r="E27" i="24"/>
  <c r="G27" i="24" s="1"/>
  <c r="H27" i="24" s="1"/>
  <c r="I27" i="24" s="1"/>
  <c r="H20" i="19"/>
  <c r="I20" i="19" s="1"/>
  <c r="D27" i="23"/>
  <c r="H27" i="23" s="1"/>
  <c r="I27" i="23" s="1"/>
  <c r="G14" i="19"/>
  <c r="G22" i="19" s="1"/>
  <c r="G24" i="19"/>
  <c r="H24" i="19" s="1"/>
  <c r="I24" i="19" s="1"/>
  <c r="G23" i="19"/>
  <c r="H23" i="19" s="1"/>
  <c r="I23" i="19" s="1"/>
  <c r="H15" i="18"/>
  <c r="I15" i="18" s="1"/>
  <c r="D14" i="24"/>
  <c r="D30" i="24"/>
  <c r="H30" i="24" s="1"/>
  <c r="I30" i="24" s="1"/>
  <c r="H14" i="17"/>
  <c r="I14" i="17" s="1"/>
  <c r="G6" i="28" s="1"/>
  <c r="E29" i="24"/>
  <c r="G29" i="24" s="1"/>
  <c r="D29" i="24"/>
  <c r="H15" i="17"/>
  <c r="I15" i="17" s="1"/>
  <c r="D22" i="18"/>
  <c r="D25" i="18" s="1"/>
  <c r="D33" i="18" s="1"/>
  <c r="E26" i="23"/>
  <c r="G26" i="23" s="1"/>
  <c r="H26" i="23" s="1"/>
  <c r="I26" i="23" s="1"/>
  <c r="D15" i="23"/>
  <c r="D22" i="23" s="1"/>
  <c r="D22" i="17"/>
  <c r="D25" i="17" s="1"/>
  <c r="D33" i="17" s="1"/>
  <c r="E29" i="23"/>
  <c r="G29" i="23" s="1"/>
  <c r="H29" i="23" s="1"/>
  <c r="I29" i="23" s="1"/>
  <c r="D23" i="23"/>
  <c r="E23" i="23"/>
  <c r="G23" i="23" s="1"/>
  <c r="H18" i="23"/>
  <c r="I18" i="23" s="1"/>
  <c r="H20" i="23"/>
  <c r="I20" i="23" s="1"/>
  <c r="H17" i="23"/>
  <c r="I17" i="23" s="1"/>
  <c r="G22" i="23"/>
  <c r="E29" i="22"/>
  <c r="G29" i="22" s="1"/>
  <c r="D29" i="22"/>
  <c r="E26" i="22"/>
  <c r="G26" i="22" s="1"/>
  <c r="D26" i="22"/>
  <c r="H12" i="22"/>
  <c r="I12" i="22" s="1"/>
  <c r="D22" i="22"/>
  <c r="D25" i="22" s="1"/>
  <c r="H24" i="22"/>
  <c r="I24" i="22" s="1"/>
  <c r="H23" i="22"/>
  <c r="I23" i="22" s="1"/>
  <c r="H24" i="20"/>
  <c r="I24" i="20" s="1"/>
  <c r="H14" i="20"/>
  <c r="G22" i="20"/>
  <c r="H23" i="20"/>
  <c r="I23" i="20" s="1"/>
  <c r="H27" i="20"/>
  <c r="I27" i="20" s="1"/>
  <c r="H26" i="20"/>
  <c r="I26" i="20" s="1"/>
  <c r="H15" i="20"/>
  <c r="I15" i="20" s="1"/>
  <c r="H27" i="19"/>
  <c r="I27" i="19" s="1"/>
  <c r="H15" i="19"/>
  <c r="I15" i="19" s="1"/>
  <c r="H26" i="19"/>
  <c r="I26" i="19" s="1"/>
  <c r="G22" i="18"/>
  <c r="G25" i="18" s="1"/>
  <c r="H27" i="18"/>
  <c r="I27" i="18" s="1"/>
  <c r="H23" i="18"/>
  <c r="I23" i="18" s="1"/>
  <c r="H24" i="18"/>
  <c r="I24" i="18" s="1"/>
  <c r="H26" i="18"/>
  <c r="I26" i="18" s="1"/>
  <c r="H27" i="17"/>
  <c r="I27" i="17" s="1"/>
  <c r="H23" i="17"/>
  <c r="I23" i="17" s="1"/>
  <c r="G22" i="17"/>
  <c r="H24" i="17"/>
  <c r="I24" i="17" s="1"/>
  <c r="H26" i="17"/>
  <c r="I26" i="17" s="1"/>
  <c r="H15" i="22" l="1"/>
  <c r="I15" i="22" s="1"/>
  <c r="G9" i="28" s="1"/>
  <c r="F7" i="28"/>
  <c r="H15" i="24"/>
  <c r="I15" i="24" s="1"/>
  <c r="G22" i="24"/>
  <c r="G25" i="24" s="1"/>
  <c r="D22" i="24"/>
  <c r="F6" i="28"/>
  <c r="H14" i="24"/>
  <c r="F10" i="28" s="1"/>
  <c r="H29" i="24"/>
  <c r="I29" i="24" s="1"/>
  <c r="D25" i="23"/>
  <c r="D31" i="23" s="1"/>
  <c r="D32" i="23" s="1"/>
  <c r="D33" i="23" s="1"/>
  <c r="H26" i="22"/>
  <c r="I26" i="22" s="1"/>
  <c r="H15" i="23"/>
  <c r="H29" i="22"/>
  <c r="I29" i="22" s="1"/>
  <c r="H23" i="23"/>
  <c r="I23" i="23" s="1"/>
  <c r="I14" i="20"/>
  <c r="G8" i="28" s="1"/>
  <c r="F8" i="28"/>
  <c r="H22" i="23"/>
  <c r="I22" i="23" s="1"/>
  <c r="G25" i="23"/>
  <c r="D31" i="22"/>
  <c r="H22" i="22"/>
  <c r="G31" i="22"/>
  <c r="H25" i="22"/>
  <c r="D35" i="20"/>
  <c r="D34" i="20"/>
  <c r="H22" i="20"/>
  <c r="G25" i="20"/>
  <c r="G25" i="19"/>
  <c r="H22" i="18"/>
  <c r="D35" i="18"/>
  <c r="D34" i="18"/>
  <c r="G33" i="18"/>
  <c r="H25" i="18"/>
  <c r="D35" i="17"/>
  <c r="D34" i="17"/>
  <c r="G25" i="17"/>
  <c r="H22" i="17"/>
  <c r="F9" i="28" l="1"/>
  <c r="I14" i="24"/>
  <c r="G10" i="28" s="1"/>
  <c r="H22" i="24"/>
  <c r="H10" i="28" s="1"/>
  <c r="I15" i="23"/>
  <c r="G13" i="28" s="1"/>
  <c r="D25" i="24"/>
  <c r="D32" i="24" s="1"/>
  <c r="F13" i="28"/>
  <c r="D36" i="17"/>
  <c r="D36" i="18"/>
  <c r="I22" i="17"/>
  <c r="I6" i="28" s="1"/>
  <c r="H6" i="28"/>
  <c r="I25" i="18"/>
  <c r="K7" i="28" s="1"/>
  <c r="J7" i="28"/>
  <c r="I22" i="18"/>
  <c r="I7" i="28" s="1"/>
  <c r="H7" i="28"/>
  <c r="I22" i="20"/>
  <c r="I8" i="28" s="1"/>
  <c r="H8" i="28"/>
  <c r="I13" i="28"/>
  <c r="H13" i="28"/>
  <c r="I22" i="22"/>
  <c r="I9" i="28" s="1"/>
  <c r="H9" i="28"/>
  <c r="D32" i="22"/>
  <c r="D33" i="22" s="1"/>
  <c r="I25" i="22"/>
  <c r="K9" i="28" s="1"/>
  <c r="J9" i="28"/>
  <c r="D36" i="20"/>
  <c r="G32" i="24"/>
  <c r="H25" i="23"/>
  <c r="I25" i="23" s="1"/>
  <c r="G31" i="23"/>
  <c r="H31" i="22"/>
  <c r="I31" i="22" s="1"/>
  <c r="G32" i="22"/>
  <c r="G33" i="20"/>
  <c r="H25" i="20"/>
  <c r="G31" i="19"/>
  <c r="G35" i="18"/>
  <c r="H35" i="18" s="1"/>
  <c r="I35" i="18" s="1"/>
  <c r="H33" i="18"/>
  <c r="I33" i="18" s="1"/>
  <c r="G34" i="18"/>
  <c r="H34" i="18" s="1"/>
  <c r="I34" i="18" s="1"/>
  <c r="G33" i="17"/>
  <c r="H25" i="17"/>
  <c r="C13" i="19"/>
  <c r="D13" i="19" s="1"/>
  <c r="I22" i="24" l="1"/>
  <c r="I10" i="28" s="1"/>
  <c r="D33" i="24"/>
  <c r="D34" i="24"/>
  <c r="H25" i="24"/>
  <c r="J10" i="28" s="1"/>
  <c r="G34" i="24"/>
  <c r="D14" i="19"/>
  <c r="H13" i="19"/>
  <c r="I13" i="19" s="1"/>
  <c r="H32" i="22"/>
  <c r="I32" i="22" s="1"/>
  <c r="I25" i="17"/>
  <c r="K6" i="28" s="1"/>
  <c r="J6" i="28"/>
  <c r="K13" i="28"/>
  <c r="J13" i="28"/>
  <c r="I25" i="20"/>
  <c r="K8" i="28" s="1"/>
  <c r="J8" i="28"/>
  <c r="H32" i="24"/>
  <c r="I32" i="24" s="1"/>
  <c r="G33" i="24"/>
  <c r="H31" i="23"/>
  <c r="I31" i="23" s="1"/>
  <c r="G32" i="23"/>
  <c r="H32" i="23" s="1"/>
  <c r="I32" i="23" s="1"/>
  <c r="G33" i="22"/>
  <c r="H33" i="22" s="1"/>
  <c r="H33" i="20"/>
  <c r="I33" i="20" s="1"/>
  <c r="G35" i="20"/>
  <c r="H35" i="20" s="1"/>
  <c r="I35" i="20" s="1"/>
  <c r="G34" i="20"/>
  <c r="H34" i="20" s="1"/>
  <c r="I34" i="20" s="1"/>
  <c r="G33" i="19"/>
  <c r="G32" i="19"/>
  <c r="G36" i="18"/>
  <c r="H36" i="18" s="1"/>
  <c r="H33" i="17"/>
  <c r="I33" i="17" s="1"/>
  <c r="G35" i="17"/>
  <c r="H35" i="17" s="1"/>
  <c r="I35" i="17" s="1"/>
  <c r="G34" i="17"/>
  <c r="H34" i="17" s="1"/>
  <c r="I34" i="17" s="1"/>
  <c r="F24" i="1"/>
  <c r="F23" i="1"/>
  <c r="F17" i="1"/>
  <c r="F16" i="1"/>
  <c r="F13" i="1"/>
  <c r="F12" i="1"/>
  <c r="F11" i="1"/>
  <c r="F10" i="1"/>
  <c r="C24" i="1"/>
  <c r="C23" i="1"/>
  <c r="C17" i="1"/>
  <c r="C16" i="1"/>
  <c r="D16" i="1" s="1"/>
  <c r="C13" i="1"/>
  <c r="C12" i="1"/>
  <c r="D12" i="1" s="1"/>
  <c r="C11" i="1"/>
  <c r="C10" i="1"/>
  <c r="D10" i="1" s="1"/>
  <c r="E16" i="1"/>
  <c r="B5" i="1"/>
  <c r="B17" i="1"/>
  <c r="E28" i="1"/>
  <c r="G28" i="1" s="1"/>
  <c r="H28" i="1" s="1"/>
  <c r="I28" i="1" s="1"/>
  <c r="E12" i="1"/>
  <c r="E10" i="1"/>
  <c r="D28" i="1"/>
  <c r="D35" i="24" l="1"/>
  <c r="I25" i="24"/>
  <c r="K10" i="28" s="1"/>
  <c r="H34" i="24"/>
  <c r="I34" i="24" s="1"/>
  <c r="G35" i="24"/>
  <c r="H33" i="24"/>
  <c r="I33" i="24" s="1"/>
  <c r="D22" i="19"/>
  <c r="H14" i="19"/>
  <c r="I36" i="18"/>
  <c r="M7" i="28" s="1"/>
  <c r="L7" i="28"/>
  <c r="I33" i="22"/>
  <c r="M9" i="28" s="1"/>
  <c r="L9" i="28"/>
  <c r="G33" i="23"/>
  <c r="H33" i="23" s="1"/>
  <c r="G36" i="20"/>
  <c r="H36" i="20" s="1"/>
  <c r="G34" i="19"/>
  <c r="G36" i="17"/>
  <c r="H36" i="17" s="1"/>
  <c r="G16" i="1"/>
  <c r="H16" i="1" s="1"/>
  <c r="I16" i="1" s="1"/>
  <c r="G12" i="1"/>
  <c r="H12" i="1" s="1"/>
  <c r="I12" i="1" s="1"/>
  <c r="G10" i="1"/>
  <c r="D17" i="1"/>
  <c r="B13" i="1"/>
  <c r="E13" i="1" s="1"/>
  <c r="G13" i="1" s="1"/>
  <c r="E17" i="1"/>
  <c r="G17" i="1" s="1"/>
  <c r="E21" i="1"/>
  <c r="G21" i="1" s="1"/>
  <c r="H21" i="1" s="1"/>
  <c r="I21" i="1" s="1"/>
  <c r="B18" i="1"/>
  <c r="D18" i="1" s="1"/>
  <c r="B6" i="1"/>
  <c r="F15" i="1" s="1"/>
  <c r="B11" i="1"/>
  <c r="E11" i="1" s="1"/>
  <c r="G11" i="1" s="1"/>
  <c r="H35" i="24" l="1"/>
  <c r="I35" i="24" s="1"/>
  <c r="M10" i="28" s="1"/>
  <c r="F14" i="28"/>
  <c r="I14" i="19"/>
  <c r="G14" i="28" s="1"/>
  <c r="D25" i="19"/>
  <c r="H22" i="19"/>
  <c r="I36" i="17"/>
  <c r="M6" i="28" s="1"/>
  <c r="L6" i="28"/>
  <c r="H17" i="1"/>
  <c r="I17" i="1" s="1"/>
  <c r="I36" i="20"/>
  <c r="M8" i="28" s="1"/>
  <c r="L8" i="28"/>
  <c r="I33" i="23"/>
  <c r="M13" i="28" s="1"/>
  <c r="L13" i="28"/>
  <c r="G14" i="1"/>
  <c r="H10" i="1"/>
  <c r="I10" i="1" s="1"/>
  <c r="D13" i="1"/>
  <c r="H13" i="1" s="1"/>
  <c r="I13" i="1" s="1"/>
  <c r="B27" i="1"/>
  <c r="D27" i="1" s="1"/>
  <c r="B24" i="1"/>
  <c r="B23" i="1"/>
  <c r="D23" i="1" s="1"/>
  <c r="B26" i="1"/>
  <c r="D26" i="1" s="1"/>
  <c r="E18" i="1"/>
  <c r="G18" i="1" s="1"/>
  <c r="H18" i="1" s="1"/>
  <c r="I18" i="1" s="1"/>
  <c r="D11" i="1"/>
  <c r="H11" i="1" s="1"/>
  <c r="I11" i="1" s="1"/>
  <c r="B15" i="1"/>
  <c r="L10" i="28" l="1"/>
  <c r="H14" i="28"/>
  <c r="I22" i="19"/>
  <c r="I14" i="28" s="1"/>
  <c r="D31" i="19"/>
  <c r="H25" i="19"/>
  <c r="D14" i="1"/>
  <c r="H14" i="1" s="1"/>
  <c r="E27" i="1"/>
  <c r="G27" i="1" s="1"/>
  <c r="H27" i="1" s="1"/>
  <c r="I27" i="1" s="1"/>
  <c r="E23" i="1"/>
  <c r="G23" i="1" s="1"/>
  <c r="H23" i="1" s="1"/>
  <c r="I23" i="1" s="1"/>
  <c r="E26" i="1"/>
  <c r="G26" i="1" s="1"/>
  <c r="H26" i="1" s="1"/>
  <c r="I26" i="1" s="1"/>
  <c r="D24" i="1"/>
  <c r="E24" i="1"/>
  <c r="G24" i="1" s="1"/>
  <c r="D15" i="1"/>
  <c r="E15" i="1"/>
  <c r="G15" i="1" s="1"/>
  <c r="H24" i="1" l="1"/>
  <c r="I24" i="1" s="1"/>
  <c r="J14" i="28"/>
  <c r="I25" i="19"/>
  <c r="K14" i="28" s="1"/>
  <c r="D33" i="19"/>
  <c r="H33" i="19" s="1"/>
  <c r="I33" i="19" s="1"/>
  <c r="D32" i="19"/>
  <c r="H31" i="19"/>
  <c r="I31" i="19" s="1"/>
  <c r="I14" i="1"/>
  <c r="G5" i="28" s="1"/>
  <c r="F5" i="28"/>
  <c r="D22" i="1"/>
  <c r="D25" i="1" s="1"/>
  <c r="D33" i="1" s="1"/>
  <c r="H15" i="1"/>
  <c r="I15" i="1" s="1"/>
  <c r="G22" i="1"/>
  <c r="D34" i="19" l="1"/>
  <c r="H34" i="19" s="1"/>
  <c r="H32" i="19"/>
  <c r="I32" i="19" s="1"/>
  <c r="D35" i="1"/>
  <c r="D34" i="1"/>
  <c r="H22" i="1"/>
  <c r="G25" i="1"/>
  <c r="I34" i="19" l="1"/>
  <c r="M14" i="28" s="1"/>
  <c r="L14" i="28"/>
  <c r="I22" i="1"/>
  <c r="I5" i="28" s="1"/>
  <c r="H5" i="28"/>
  <c r="D36" i="1"/>
  <c r="H25" i="1"/>
  <c r="G33" i="1"/>
  <c r="I25" i="1" l="1"/>
  <c r="K5" i="28" s="1"/>
  <c r="J5" i="28"/>
  <c r="H33" i="1"/>
  <c r="I33" i="1" s="1"/>
  <c r="G35" i="1"/>
  <c r="H35" i="1" s="1"/>
  <c r="I35" i="1" s="1"/>
  <c r="G34" i="1"/>
  <c r="H34" i="1" s="1"/>
  <c r="I34" i="1" s="1"/>
  <c r="G36" i="1" l="1"/>
  <c r="H36" i="1" s="1"/>
  <c r="I36" i="1" l="1"/>
  <c r="M5" i="28" s="1"/>
  <c r="L5" i="28"/>
</calcChain>
</file>

<file path=xl/sharedStrings.xml><?xml version="1.0" encoding="utf-8"?>
<sst xmlns="http://schemas.openxmlformats.org/spreadsheetml/2006/main" count="540" uniqueCount="101">
  <si>
    <t>Rates</t>
  </si>
  <si>
    <t>Volume</t>
  </si>
  <si>
    <t>Charge</t>
  </si>
  <si>
    <t>Peak</t>
  </si>
  <si>
    <t>Loss Factor</t>
  </si>
  <si>
    <t>HST</t>
  </si>
  <si>
    <t>SME Charge</t>
  </si>
  <si>
    <t>TOU On-peak</t>
  </si>
  <si>
    <t>TOU Mid-peak</t>
  </si>
  <si>
    <t>TOU Off-peak</t>
  </si>
  <si>
    <t>Consumption</t>
  </si>
  <si>
    <t>Service Area</t>
  </si>
  <si>
    <t>Rate Class</t>
  </si>
  <si>
    <t>Current DX Fix</t>
  </si>
  <si>
    <t>Current DX Vol</t>
  </si>
  <si>
    <t>Current GA Rider</t>
  </si>
  <si>
    <t>Proposed DX Fix</t>
  </si>
  <si>
    <t>Proposed DX Vol</t>
  </si>
  <si>
    <t>Proposed GA Rider</t>
  </si>
  <si>
    <t>Current RTSR-N</t>
  </si>
  <si>
    <t>Current RTSR-C</t>
  </si>
  <si>
    <t>Proposed RTSR-N</t>
  </si>
  <si>
    <t>Proposed RTSR-C</t>
  </si>
  <si>
    <t>USL</t>
  </si>
  <si>
    <t>StLgt</t>
  </si>
  <si>
    <t>SenLgt</t>
  </si>
  <si>
    <t>Emb_Dist</t>
  </si>
  <si>
    <t>Connections</t>
  </si>
  <si>
    <t>Uplifted Consumption</t>
  </si>
  <si>
    <t>DVA Rate Rider-Fixed</t>
  </si>
  <si>
    <t>DVA Rate Rider-Vol</t>
  </si>
  <si>
    <t>Current LV Charge</t>
  </si>
  <si>
    <t>Current Rate Riders-Fixed</t>
  </si>
  <si>
    <t>Current Rate Riders-Vol</t>
  </si>
  <si>
    <t>CBR Class B Rider</t>
  </si>
  <si>
    <t>Proposed LV Charge</t>
  </si>
  <si>
    <t>Proposed Rate Riders-Fixed</t>
  </si>
  <si>
    <t>Proposed Rate Riders-Vol</t>
  </si>
  <si>
    <t>Current-OEB Approved</t>
  </si>
  <si>
    <t>Impact</t>
  </si>
  <si>
    <t>$ Change</t>
  </si>
  <si>
    <t>% Change</t>
  </si>
  <si>
    <t>Residential_RPP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</si>
  <si>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</si>
  <si>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</si>
  <si>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</si>
  <si>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</si>
  <si>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</si>
  <si>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 on Cost of Power</t>
  </si>
  <si>
    <t>CBR Class B Rate Riders</t>
  </si>
  <si>
    <t>GA Rate Riders</t>
  </si>
  <si>
    <t>Low Voltage Service Charge</t>
  </si>
  <si>
    <t>Smart Meter Entity Charge (if applicable)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</si>
  <si>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</si>
  <si>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</si>
  <si>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</si>
  <si>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</si>
  <si>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</si>
  <si>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</si>
  <si>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</si>
  <si>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Total Bill on TOU (before Taxes)</t>
  </si>
  <si>
    <t>8% Rebate</t>
  </si>
  <si>
    <t>Total Bill on TOU</t>
  </si>
  <si>
    <t>Residential_NonRPP</t>
  </si>
  <si>
    <t>Monthly Peak (kW)</t>
  </si>
  <si>
    <t>Monthly Consumption (kWh)</t>
  </si>
  <si>
    <t>Average IESO Wholesale Market Price</t>
  </si>
  <si>
    <t>Uplifted Consumption (kWh)</t>
  </si>
  <si>
    <t>Energy First Tier</t>
  </si>
  <si>
    <t>Energy Second Tier</t>
  </si>
  <si>
    <t>Units</t>
  </si>
  <si>
    <t>Sub-Total</t>
  </si>
  <si>
    <t>Total Bill</t>
  </si>
  <si>
    <t>$</t>
  </si>
  <si>
    <t>%</t>
  </si>
  <si>
    <t>HCHI</t>
  </si>
  <si>
    <t xml:space="preserve">RATE CLASSES </t>
  </si>
  <si>
    <t>Charge Determinants</t>
  </si>
  <si>
    <t>A (DX-Excl Pass Through)</t>
  </si>
  <si>
    <t>B (DX-Incl Pass Through)</t>
  </si>
  <si>
    <t>C (Total Delivery)</t>
  </si>
  <si>
    <t>kWh</t>
  </si>
  <si>
    <t>kW</t>
  </si>
  <si>
    <t>RESIDENTIAL - RPP</t>
  </si>
  <si>
    <t>GENERAL SERVICE LESS THAN 50 kW - RPP</t>
  </si>
  <si>
    <t>GENERAL SERVICE 50 TO 4,999 KW - Non-RPP (Other)</t>
  </si>
  <si>
    <t>UNMETERED SCATTERED LOAD - RPP</t>
  </si>
  <si>
    <t>SENTINEL LIGHTING - RPP</t>
  </si>
  <si>
    <t>RESIDENTIAL - Non-RPP (Retailer)</t>
  </si>
  <si>
    <t>GENERAL SERVICE LESS THAN 50 kW - Non-RPP (Retailer)</t>
  </si>
  <si>
    <t>STREET LIGHTING - RPP</t>
  </si>
  <si>
    <t>EMBEDDED DISTRIBUTOR - Non-RPP (Other)</t>
  </si>
  <si>
    <t>Haldimand</t>
  </si>
  <si>
    <t>Non-RPP Retailer Avg. Price</t>
  </si>
  <si>
    <t>GS&lt;50kW_RPP</t>
  </si>
  <si>
    <t>GS&lt;50kW_NonRPP</t>
  </si>
  <si>
    <t>GS 50-4,999kW</t>
  </si>
  <si>
    <t>Bill Impacts – Haldimand County Hydro Inc.</t>
  </si>
  <si>
    <t>Deferral/Variance Account Rate Rider - Fixed</t>
  </si>
  <si>
    <t>Deferral/Variance Account Rate Rider - Volumetric</t>
  </si>
  <si>
    <t>Proposed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</si>
</sst>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0.0000"/>
    <numFmt numFmtId="167" formatCode="&quot;$&quot;#,##0.000"/>
    <numFmt numFmtId="168" formatCode="&quot;$&quot;#,##0.0000"/>
    <numFmt numFmtId="169" formatCode="0.0%"/>
    <numFmt numFmtId="170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4" borderId="0" xfId="0" applyFont="1" applyFill="1"/>
    <xf numFmtId="165" fontId="0" fillId="4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0" borderId="0" xfId="0" applyNumberFormat="1"/>
    <xf numFmtId="165" fontId="0" fillId="4" borderId="0" xfId="0" applyNumberFormat="1" applyFill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1" applyNumberFormat="1" applyFont="1" applyAlignment="1">
      <alignment horizontal="center"/>
    </xf>
    <xf numFmtId="169" fontId="2" fillId="5" borderId="0" xfId="1" applyNumberFormat="1" applyFont="1" applyFill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4" borderId="0" xfId="1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5" borderId="0" xfId="0" applyNumberFormat="1" applyFill="1" applyAlignment="1">
      <alignment horizontal="center"/>
    </xf>
    <xf numFmtId="0" fontId="5" fillId="0" borderId="3" xfId="4" applyFont="1" applyBorder="1" applyAlignment="1" applyProtection="1">
      <alignment horizontal="center" vertical="center"/>
    </xf>
    <xf numFmtId="0" fontId="5" fillId="2" borderId="3" xfId="4" applyFont="1" applyFill="1" applyBorder="1" applyAlignment="1" applyProtection="1">
      <alignment horizontal="center" vertical="center"/>
    </xf>
    <xf numFmtId="169" fontId="5" fillId="2" borderId="3" xfId="1" applyNumberFormat="1" applyFont="1" applyFill="1" applyBorder="1" applyAlignment="1" applyProtection="1">
      <alignment horizontal="center" vertical="center"/>
    </xf>
    <xf numFmtId="0" fontId="6" fillId="0" borderId="3" xfId="4" applyFont="1" applyBorder="1" applyAlignment="1" applyProtection="1">
      <alignment horizontal="center" vertical="center"/>
    </xf>
    <xf numFmtId="37" fontId="6" fillId="0" borderId="3" xfId="3" applyNumberFormat="1" applyFont="1" applyBorder="1" applyAlignment="1" applyProtection="1">
      <alignment horizontal="center" vertical="center"/>
    </xf>
    <xf numFmtId="3" fontId="6" fillId="0" borderId="3" xfId="4" applyNumberFormat="1" applyFont="1" applyBorder="1" applyAlignment="1" applyProtection="1">
      <alignment horizontal="center" vertical="center"/>
    </xf>
    <xf numFmtId="165" fontId="7" fillId="0" borderId="3" xfId="5" applyNumberFormat="1" applyFont="1" applyBorder="1" applyAlignment="1" applyProtection="1">
      <alignment horizontal="center" vertical="center"/>
    </xf>
    <xf numFmtId="169" fontId="7" fillId="0" borderId="3" xfId="1" applyNumberFormat="1" applyFont="1" applyBorder="1" applyAlignment="1" applyProtection="1">
      <alignment horizontal="center" vertical="center"/>
    </xf>
    <xf numFmtId="0" fontId="6" fillId="0" borderId="3" xfId="4" applyFont="1" applyFill="1" applyBorder="1" applyAlignment="1" applyProtection="1">
      <alignment horizontal="center" vertical="center"/>
    </xf>
    <xf numFmtId="37" fontId="6" fillId="0" borderId="3" xfId="3" applyNumberFormat="1" applyFont="1" applyFill="1" applyBorder="1" applyAlignment="1" applyProtection="1">
      <alignment horizontal="center" vertical="center"/>
    </xf>
    <xf numFmtId="3" fontId="6" fillId="0" borderId="3" xfId="4" applyNumberFormat="1" applyFont="1" applyFill="1" applyBorder="1" applyAlignment="1" applyProtection="1">
      <alignment horizontal="center" vertical="center"/>
    </xf>
    <xf numFmtId="165" fontId="7" fillId="0" borderId="3" xfId="5" applyNumberFormat="1" applyFont="1" applyFill="1" applyBorder="1" applyAlignment="1" applyProtection="1">
      <alignment horizontal="center" vertical="center"/>
    </xf>
    <xf numFmtId="169" fontId="7" fillId="0" borderId="3" xfId="1" applyNumberFormat="1" applyFont="1" applyFill="1" applyBorder="1" applyAlignment="1" applyProtection="1">
      <alignment horizontal="center" vertical="center"/>
    </xf>
    <xf numFmtId="4" fontId="6" fillId="0" borderId="3" xfId="4" applyNumberFormat="1" applyFont="1" applyBorder="1" applyAlignment="1" applyProtection="1">
      <alignment horizontal="center" vertical="center"/>
    </xf>
    <xf numFmtId="0" fontId="2" fillId="0" borderId="0" xfId="0" applyFont="1" applyFill="1" applyAlignment="1">
      <alignment horizontal="left"/>
    </xf>
    <xf numFmtId="165" fontId="0" fillId="0" borderId="0" xfId="0" applyNumberFormat="1" applyFill="1" applyAlignment="1">
      <alignment horizontal="center"/>
    </xf>
    <xf numFmtId="0" fontId="0" fillId="0" borderId="0" xfId="0" applyFill="1"/>
    <xf numFmtId="3" fontId="0" fillId="0" borderId="0" xfId="0" applyNumberForma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/>
    </xf>
    <xf numFmtId="169" fontId="1" fillId="0" borderId="0" xfId="1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17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6" borderId="3" xfId="4" applyFont="1" applyFill="1" applyBorder="1" applyAlignment="1" applyProtection="1">
      <alignment horizontal="left" vertical="center"/>
    </xf>
    <xf numFmtId="0" fontId="5" fillId="0" borderId="1" xfId="4" applyFont="1" applyBorder="1" applyAlignment="1" applyProtection="1">
      <alignment horizontal="center" vertical="center" wrapText="1"/>
    </xf>
    <xf numFmtId="0" fontId="5" fillId="0" borderId="2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 vertical="center" wrapText="1"/>
    </xf>
    <xf numFmtId="0" fontId="5" fillId="0" borderId="5" xfId="4" applyFont="1" applyBorder="1" applyAlignment="1" applyProtection="1">
      <alignment horizontal="center" vertical="center" wrapText="1"/>
    </xf>
    <xf numFmtId="0" fontId="5" fillId="0" borderId="6" xfId="4" applyFont="1" applyBorder="1" applyAlignment="1" applyProtection="1">
      <alignment horizontal="center" vertical="center" wrapText="1"/>
    </xf>
    <xf numFmtId="0" fontId="5" fillId="0" borderId="7" xfId="4" applyFont="1" applyBorder="1" applyAlignment="1" applyProtection="1">
      <alignment horizontal="center" vertical="center" wrapText="1"/>
    </xf>
    <xf numFmtId="0" fontId="6" fillId="6" borderId="8" xfId="4" applyFont="1" applyFill="1" applyBorder="1" applyAlignment="1" applyProtection="1">
      <alignment horizontal="left" vertical="center"/>
    </xf>
    <xf numFmtId="0" fontId="6" fillId="6" borderId="9" xfId="4" applyFont="1" applyFill="1" applyBorder="1" applyAlignment="1" applyProtection="1">
      <alignment horizontal="left" vertical="center"/>
    </xf>
    <xf numFmtId="0" fontId="6" fillId="0" borderId="8" xfId="4" applyFont="1" applyFill="1" applyBorder="1" applyAlignment="1" applyProtection="1">
      <alignment horizontal="left" vertical="center"/>
    </xf>
    <xf numFmtId="0" fontId="6" fillId="0" borderId="9" xfId="4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/>
    </xf>
    <xf numFmtId="0" fontId="5" fillId="0" borderId="3" xfId="4" applyFont="1" applyBorder="1" applyAlignment="1" applyProtection="1">
      <alignment horizontal="center" vertical="center"/>
    </xf>
    <xf numFmtId="0" fontId="5" fillId="0" borderId="1" xfId="4" applyFont="1" applyBorder="1" applyAlignment="1" applyProtection="1">
      <alignment horizontal="center" vertical="center"/>
    </xf>
    <xf numFmtId="0" fontId="5" fillId="0" borderId="2" xfId="4" applyFont="1" applyBorder="1" applyAlignment="1" applyProtection="1">
      <alignment horizontal="center" vertical="center"/>
    </xf>
    <xf numFmtId="0" fontId="5" fillId="0" borderId="6" xfId="4" applyFont="1" applyBorder="1" applyAlignment="1" applyProtection="1">
      <alignment horizontal="center" vertical="center"/>
    </xf>
    <xf numFmtId="0" fontId="5" fillId="0" borderId="7" xfId="4" applyFont="1" applyBorder="1" applyAlignment="1" applyProtection="1">
      <alignment horizontal="center" vertical="center"/>
    </xf>
    <xf numFmtId="0" fontId="5" fillId="3" borderId="3" xfId="4" applyFont="1" applyFill="1" applyBorder="1" applyAlignment="1" applyProtection="1">
      <alignment horizontal="center" vertical="center"/>
    </xf>
    <xf numFmtId="0" fontId="5" fillId="3" borderId="1" xfId="4" applyFont="1" applyFill="1" applyBorder="1" applyAlignment="1" applyProtection="1">
      <alignment horizontal="center" vertical="center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6" xfId="4" applyFont="1" applyFill="1" applyBorder="1" applyAlignment="1" applyProtection="1">
      <alignment horizontal="center" vertical="center"/>
    </xf>
    <xf numFmtId="0" fontId="5" fillId="3" borderId="7" xfId="4" applyFont="1" applyFill="1" applyBorder="1" applyAlignment="1" applyProtection="1">
      <alignment horizontal="center" vertical="center"/>
    </xf>
    <xf numFmtId="0" fontId="5" fillId="5" borderId="3" xfId="4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</cellXfs>
  <cellStyles count="7">
    <cellStyle name="Comma" xfId="3" builtinId="3"/>
    <cellStyle name="Comma 4" xfId="2"/>
    <cellStyle name="Currency 2" xfId="5"/>
    <cellStyle name="Normal" xfId="0" builtinId="0"/>
    <cellStyle name="Normal 2" xfId="4"/>
    <cellStyle name="Percent" xfId="1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NI_App%20C_RG_HCHI_updated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9">
          <cell r="J39">
            <v>6.5182716913281145E-3</v>
          </cell>
        </row>
        <row r="40">
          <cell r="J40">
            <v>5.907183551531978E-3</v>
          </cell>
        </row>
        <row r="41">
          <cell r="J41">
            <v>2.4999608692746342</v>
          </cell>
        </row>
        <row r="42">
          <cell r="J42">
            <v>5.9071721561805195E-3</v>
          </cell>
        </row>
        <row r="43">
          <cell r="J43">
            <v>1.814830332570651</v>
          </cell>
        </row>
        <row r="44">
          <cell r="J44">
            <v>1.8056629868017109</v>
          </cell>
        </row>
        <row r="45">
          <cell r="J45">
            <v>2.9934144249071335</v>
          </cell>
        </row>
        <row r="50">
          <cell r="J50">
            <v>5.8437569353558998E-3</v>
          </cell>
        </row>
        <row r="51">
          <cell r="J51">
            <v>5.3567771400003933E-3</v>
          </cell>
        </row>
        <row r="52">
          <cell r="J52">
            <v>2.2748771813684572</v>
          </cell>
        </row>
        <row r="53">
          <cell r="J53">
            <v>5.3567772828049158E-3</v>
          </cell>
        </row>
        <row r="54">
          <cell r="J54">
            <v>1.668389655611086</v>
          </cell>
        </row>
        <row r="55">
          <cell r="J55">
            <v>1.6343041056691068</v>
          </cell>
        </row>
        <row r="56">
          <cell r="J56">
            <v>2.8482471607402688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opLeftCell="L1" workbookViewId="0">
      <selection activeCell="AB10" sqref="AB10"/>
    </sheetView>
  </sheetViews>
  <sheetFormatPr defaultRowHeight="14.4" x14ac:dyDescent="0.3"/>
  <cols>
    <col min="1" max="1" width="14.5546875" customWidth="1"/>
    <col min="2" max="2" width="19.6640625" bestFit="1" customWidth="1"/>
    <col min="3" max="3" width="12.88671875" bestFit="1" customWidth="1"/>
    <col min="4" max="4" width="11.109375" customWidth="1"/>
    <col min="5" max="5" width="12" customWidth="1"/>
    <col min="6" max="6" width="12.6640625" customWidth="1"/>
    <col min="7" max="7" width="11.44140625" bestFit="1" customWidth="1"/>
    <col min="8" max="8" width="13.6640625" bestFit="1" customWidth="1"/>
    <col min="9" max="9" width="14.109375" bestFit="1" customWidth="1"/>
    <col min="10" max="10" width="16.33203125" customWidth="1"/>
    <col min="11" max="11" width="16.88671875" bestFit="1" customWidth="1"/>
    <col min="12" max="12" width="18.5546875" customWidth="1"/>
    <col min="13" max="13" width="15.88671875" customWidth="1"/>
    <col min="14" max="14" width="16.109375" customWidth="1"/>
    <col min="15" max="15" width="11.88671875" customWidth="1"/>
    <col min="16" max="16" width="12.44140625" customWidth="1"/>
    <col min="17" max="17" width="9.109375" customWidth="1"/>
    <col min="18" max="18" width="11" customWidth="1"/>
    <col min="19" max="19" width="12.109375" customWidth="1"/>
    <col min="20" max="21" width="12" customWidth="1"/>
    <col min="22" max="22" width="13" customWidth="1"/>
    <col min="23" max="23" width="12.88671875" customWidth="1"/>
    <col min="24" max="24" width="12.5546875" customWidth="1"/>
    <col min="25" max="25" width="13.88671875" customWidth="1"/>
    <col min="26" max="26" width="10.5546875" customWidth="1"/>
    <col min="27" max="27" width="10.6640625" customWidth="1"/>
    <col min="28" max="29" width="11.33203125" customWidth="1"/>
  </cols>
  <sheetData>
    <row r="1" spans="1:29" ht="15" x14ac:dyDescent="0.25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3">
        <v>28</v>
      </c>
    </row>
    <row r="2" spans="1:29" s="13" customFormat="1" ht="45" x14ac:dyDescent="0.25">
      <c r="A2" s="13" t="s">
        <v>11</v>
      </c>
      <c r="B2" s="13" t="s">
        <v>12</v>
      </c>
      <c r="C2" s="13" t="s">
        <v>10</v>
      </c>
      <c r="D2" s="13" t="s">
        <v>3</v>
      </c>
      <c r="E2" s="13" t="s">
        <v>27</v>
      </c>
      <c r="F2" s="13" t="s">
        <v>4</v>
      </c>
      <c r="G2" s="13" t="s">
        <v>6</v>
      </c>
      <c r="H2" s="13" t="s">
        <v>13</v>
      </c>
      <c r="I2" s="13" t="s">
        <v>14</v>
      </c>
      <c r="J2" s="13" t="s">
        <v>31</v>
      </c>
      <c r="K2" s="13" t="s">
        <v>32</v>
      </c>
      <c r="L2" s="13" t="s">
        <v>33</v>
      </c>
      <c r="M2" s="13" t="s">
        <v>29</v>
      </c>
      <c r="N2" s="13" t="s">
        <v>30</v>
      </c>
      <c r="O2" s="13" t="s">
        <v>34</v>
      </c>
      <c r="P2" s="13" t="s">
        <v>15</v>
      </c>
      <c r="Q2" s="13" t="s">
        <v>19</v>
      </c>
      <c r="R2" s="13" t="s">
        <v>20</v>
      </c>
      <c r="S2" s="13" t="s">
        <v>16</v>
      </c>
      <c r="T2" s="13" t="s">
        <v>17</v>
      </c>
      <c r="U2" s="13" t="s">
        <v>35</v>
      </c>
      <c r="V2" s="13" t="s">
        <v>36</v>
      </c>
      <c r="W2" s="13" t="s">
        <v>37</v>
      </c>
      <c r="X2" s="13" t="s">
        <v>29</v>
      </c>
      <c r="Y2" s="13" t="s">
        <v>30</v>
      </c>
      <c r="Z2" s="13" t="s">
        <v>34</v>
      </c>
      <c r="AA2" s="13" t="s">
        <v>18</v>
      </c>
      <c r="AB2" s="13" t="s">
        <v>21</v>
      </c>
      <c r="AC2" s="13" t="s">
        <v>22</v>
      </c>
    </row>
    <row r="3" spans="1:29" s="1" customFormat="1" x14ac:dyDescent="0.3">
      <c r="A3" s="59" t="s">
        <v>92</v>
      </c>
      <c r="B3" s="3" t="s">
        <v>42</v>
      </c>
      <c r="C3" s="11">
        <v>750</v>
      </c>
      <c r="F3" s="1">
        <v>1.0654999999999999</v>
      </c>
      <c r="G3" s="1">
        <v>0.56999999999999995</v>
      </c>
      <c r="H3" s="1">
        <v>28.2</v>
      </c>
      <c r="I3" s="1">
        <v>9.9000000000000008E-3</v>
      </c>
      <c r="J3" s="1">
        <v>4.0000000000000002E-4</v>
      </c>
      <c r="K3" s="1">
        <v>-0.28000000000000003</v>
      </c>
      <c r="L3" s="1">
        <f>-0.0015+0.0002-0.0001</f>
        <v>-1.4E-3</v>
      </c>
      <c r="M3" s="1">
        <v>0</v>
      </c>
      <c r="N3" s="1">
        <v>0</v>
      </c>
      <c r="O3" s="1">
        <v>0</v>
      </c>
      <c r="P3" s="1">
        <v>0</v>
      </c>
      <c r="Q3" s="1">
        <v>6.4000000000000003E-3</v>
      </c>
      <c r="R3" s="9">
        <v>6.0000000000000001E-3</v>
      </c>
      <c r="S3" s="1">
        <v>31.91</v>
      </c>
      <c r="T3" s="9">
        <v>5.0000000000000001E-3</v>
      </c>
      <c r="U3" s="1">
        <v>4.0000000000000002E-4</v>
      </c>
      <c r="V3" s="1">
        <v>-0.32</v>
      </c>
      <c r="W3" s="1">
        <f>0.0002-0.0001</f>
        <v>1E-4</v>
      </c>
      <c r="X3" s="1">
        <v>0</v>
      </c>
      <c r="Y3" s="1">
        <v>0</v>
      </c>
      <c r="Z3" s="1">
        <v>0</v>
      </c>
      <c r="AA3" s="1">
        <v>0</v>
      </c>
      <c r="AB3" s="9">
        <f>ROUND('[1]15. RTSR Rates to Forecast'!J39,4)</f>
        <v>6.4999999999999997E-3</v>
      </c>
      <c r="AC3" s="9">
        <f>ROUND('[1]15. RTSR Rates to Forecast'!J50,4)</f>
        <v>5.7999999999999996E-3</v>
      </c>
    </row>
    <row r="4" spans="1:29" s="1" customFormat="1" x14ac:dyDescent="0.3">
      <c r="A4" s="59"/>
      <c r="B4" s="3" t="s">
        <v>63</v>
      </c>
      <c r="C4" s="11">
        <v>750</v>
      </c>
      <c r="F4" s="1">
        <v>1.0654999999999999</v>
      </c>
      <c r="G4" s="1">
        <v>0.56999999999999995</v>
      </c>
      <c r="H4" s="1">
        <v>28.2</v>
      </c>
      <c r="I4" s="1">
        <v>9.9000000000000008E-3</v>
      </c>
      <c r="J4" s="1">
        <v>4.0000000000000002E-4</v>
      </c>
      <c r="K4" s="1">
        <v>-0.28000000000000003</v>
      </c>
      <c r="L4" s="1">
        <f>L3</f>
        <v>-1.4E-3</v>
      </c>
      <c r="M4" s="1">
        <v>0</v>
      </c>
      <c r="N4" s="1">
        <v>0</v>
      </c>
      <c r="O4" s="1">
        <v>0</v>
      </c>
      <c r="P4" s="1">
        <v>0</v>
      </c>
      <c r="Q4" s="1">
        <v>6.4000000000000003E-3</v>
      </c>
      <c r="R4" s="9">
        <v>6.0000000000000001E-3</v>
      </c>
      <c r="S4" s="1">
        <v>31.91</v>
      </c>
      <c r="T4" s="9">
        <v>5.0000000000000001E-3</v>
      </c>
      <c r="U4" s="1">
        <v>4.0000000000000002E-4</v>
      </c>
      <c r="V4" s="1">
        <v>-0.32</v>
      </c>
      <c r="W4" s="1">
        <f>W3</f>
        <v>1E-4</v>
      </c>
      <c r="X4" s="1">
        <v>0</v>
      </c>
      <c r="Y4" s="1">
        <v>0</v>
      </c>
      <c r="Z4" s="1">
        <v>0</v>
      </c>
      <c r="AA4" s="1">
        <v>0</v>
      </c>
      <c r="AB4" s="9">
        <f>AB3</f>
        <v>6.4999999999999997E-3</v>
      </c>
      <c r="AC4" s="9">
        <f>AC3</f>
        <v>5.7999999999999996E-3</v>
      </c>
    </row>
    <row r="5" spans="1:29" s="1" customFormat="1" x14ac:dyDescent="0.3">
      <c r="A5" s="59"/>
      <c r="B5" s="58" t="s">
        <v>94</v>
      </c>
      <c r="C5" s="11">
        <v>2000</v>
      </c>
      <c r="F5" s="1">
        <v>1.0654999999999999</v>
      </c>
      <c r="G5" s="1">
        <v>0.56999999999999995</v>
      </c>
      <c r="H5" s="1">
        <v>26.94</v>
      </c>
      <c r="I5" s="9">
        <v>1.9E-2</v>
      </c>
      <c r="J5" s="1">
        <v>4.0000000000000002E-4</v>
      </c>
      <c r="K5" s="1">
        <v>-0.27</v>
      </c>
      <c r="L5" s="9">
        <f>-0.0002+0.0002-0.001</f>
        <v>-1E-3</v>
      </c>
      <c r="M5" s="1">
        <v>0</v>
      </c>
      <c r="N5" s="1">
        <v>0</v>
      </c>
      <c r="O5" s="1">
        <v>0</v>
      </c>
      <c r="P5" s="1">
        <v>0</v>
      </c>
      <c r="Q5" s="1">
        <v>5.7999999999999996E-3</v>
      </c>
      <c r="R5" s="1">
        <v>5.4999999999999997E-3</v>
      </c>
      <c r="S5" s="1">
        <v>26.94</v>
      </c>
      <c r="T5" s="9">
        <v>1.9E-2</v>
      </c>
      <c r="U5" s="1">
        <v>4.0000000000000002E-4</v>
      </c>
      <c r="V5" s="1">
        <v>-0.27</v>
      </c>
      <c r="W5" s="1">
        <f>0.0002-0.0002</f>
        <v>0</v>
      </c>
      <c r="X5" s="1">
        <v>0</v>
      </c>
      <c r="Y5" s="1">
        <v>0</v>
      </c>
      <c r="Z5" s="1">
        <v>0</v>
      </c>
      <c r="AA5" s="1">
        <v>0</v>
      </c>
      <c r="AB5" s="9">
        <f>ROUND('[1]15. RTSR Rates to Forecast'!J40,4)</f>
        <v>5.8999999999999999E-3</v>
      </c>
      <c r="AC5" s="9">
        <f>ROUND('[1]15. RTSR Rates to Forecast'!J51,4)</f>
        <v>5.4000000000000003E-3</v>
      </c>
    </row>
    <row r="6" spans="1:29" s="1" customFormat="1" x14ac:dyDescent="0.3">
      <c r="A6" s="59"/>
      <c r="B6" s="58" t="s">
        <v>95</v>
      </c>
      <c r="C6" s="11">
        <v>2000</v>
      </c>
      <c r="F6" s="1">
        <v>1.0654999999999999</v>
      </c>
      <c r="G6" s="1">
        <v>0.56999999999999995</v>
      </c>
      <c r="H6" s="1">
        <v>26.94</v>
      </c>
      <c r="I6" s="9">
        <v>1.9E-2</v>
      </c>
      <c r="J6" s="1">
        <v>4.0000000000000002E-4</v>
      </c>
      <c r="K6" s="1">
        <v>-0.27</v>
      </c>
      <c r="L6" s="9">
        <f>L5</f>
        <v>-1E-3</v>
      </c>
      <c r="M6" s="1">
        <v>0</v>
      </c>
      <c r="N6" s="1">
        <v>0</v>
      </c>
      <c r="O6" s="1">
        <v>0</v>
      </c>
      <c r="P6" s="1">
        <v>0</v>
      </c>
      <c r="Q6" s="1">
        <v>5.7999999999999996E-3</v>
      </c>
      <c r="R6" s="1">
        <v>5.4999999999999997E-3</v>
      </c>
      <c r="S6" s="1">
        <v>26.94</v>
      </c>
      <c r="T6" s="9">
        <v>1.9E-2</v>
      </c>
      <c r="U6" s="1">
        <v>4.0000000000000002E-4</v>
      </c>
      <c r="V6" s="1">
        <v>-0.27</v>
      </c>
      <c r="W6" s="1">
        <f>W5</f>
        <v>0</v>
      </c>
      <c r="X6" s="1">
        <v>0</v>
      </c>
      <c r="Y6" s="1">
        <v>0</v>
      </c>
      <c r="Z6" s="1">
        <v>0</v>
      </c>
      <c r="AA6" s="1">
        <v>0</v>
      </c>
      <c r="AB6" s="9">
        <f>AB5</f>
        <v>5.8999999999999999E-3</v>
      </c>
      <c r="AC6" s="9">
        <f>AC5</f>
        <v>5.4000000000000003E-3</v>
      </c>
    </row>
    <row r="7" spans="1:29" s="1" customFormat="1" x14ac:dyDescent="0.3">
      <c r="A7" s="59"/>
      <c r="B7" s="58" t="s">
        <v>96</v>
      </c>
      <c r="C7" s="11">
        <v>50000</v>
      </c>
      <c r="D7" s="11">
        <v>75</v>
      </c>
      <c r="E7" s="11"/>
      <c r="F7" s="1">
        <v>1.0654999999999999</v>
      </c>
      <c r="G7" s="1">
        <v>0</v>
      </c>
      <c r="H7" s="1">
        <v>83.61</v>
      </c>
      <c r="I7" s="1">
        <v>3.9339</v>
      </c>
      <c r="J7" s="9">
        <v>0.155</v>
      </c>
      <c r="K7" s="1">
        <v>-0.84</v>
      </c>
      <c r="L7" s="1">
        <f>-0.0393-0.1394+0.0195</f>
        <v>-0.15920000000000001</v>
      </c>
      <c r="M7" s="1">
        <v>0</v>
      </c>
      <c r="N7" s="1">
        <v>0</v>
      </c>
      <c r="O7" s="1">
        <v>0</v>
      </c>
      <c r="P7" s="1">
        <v>0</v>
      </c>
      <c r="Q7" s="1">
        <v>2.4546000000000001</v>
      </c>
      <c r="R7" s="1">
        <v>2.3357000000000001</v>
      </c>
      <c r="S7" s="1">
        <v>83.61</v>
      </c>
      <c r="T7" s="1">
        <v>3.9339</v>
      </c>
      <c r="U7" s="9">
        <v>0.155</v>
      </c>
      <c r="V7" s="1">
        <v>-0.84</v>
      </c>
      <c r="W7" s="1">
        <f>-0.0393+0.0195</f>
        <v>-1.9800000000000002E-2</v>
      </c>
      <c r="X7" s="1">
        <v>0</v>
      </c>
      <c r="Y7" s="1">
        <v>0</v>
      </c>
      <c r="Z7" s="1">
        <v>0</v>
      </c>
      <c r="AA7" s="1">
        <v>0</v>
      </c>
      <c r="AB7" s="9">
        <f>ROUND('[1]15. RTSR Rates to Forecast'!J41,4)</f>
        <v>2.5</v>
      </c>
      <c r="AC7" s="9">
        <f>ROUND('[1]15. RTSR Rates to Forecast'!J52,4)</f>
        <v>2.2749000000000001</v>
      </c>
    </row>
    <row r="8" spans="1:29" s="1" customFormat="1" x14ac:dyDescent="0.3">
      <c r="A8" s="59"/>
      <c r="B8" s="3" t="s">
        <v>23</v>
      </c>
      <c r="C8" s="11">
        <v>500</v>
      </c>
      <c r="D8" s="11"/>
      <c r="E8" s="11">
        <v>1</v>
      </c>
      <c r="F8" s="1">
        <v>1.0654999999999999</v>
      </c>
      <c r="G8" s="1">
        <v>0</v>
      </c>
      <c r="H8" s="1">
        <v>19.510000000000002</v>
      </c>
      <c r="I8" s="1">
        <v>2.5000000000000001E-3</v>
      </c>
      <c r="J8" s="1">
        <v>4.0000000000000002E-4</v>
      </c>
      <c r="K8" s="57">
        <v>-0.2</v>
      </c>
      <c r="L8" s="1">
        <f>-0.00003-0.0015+0.0002</f>
        <v>-1.33E-3</v>
      </c>
      <c r="M8" s="1">
        <v>0</v>
      </c>
      <c r="N8" s="1">
        <v>0</v>
      </c>
      <c r="O8" s="1">
        <v>0</v>
      </c>
      <c r="P8" s="1">
        <v>0</v>
      </c>
      <c r="Q8" s="1">
        <v>5.7999999999999996E-3</v>
      </c>
      <c r="R8" s="1">
        <v>5.4999999999999997E-3</v>
      </c>
      <c r="S8" s="1">
        <v>19.510000000000002</v>
      </c>
      <c r="T8" s="1">
        <v>2.5000000000000001E-3</v>
      </c>
      <c r="U8" s="1">
        <v>4.0000000000000002E-4</v>
      </c>
      <c r="V8" s="1">
        <v>-0.2</v>
      </c>
      <c r="W8" s="1">
        <f>-0.00003+0.0002</f>
        <v>1.7000000000000001E-4</v>
      </c>
      <c r="X8" s="1">
        <v>0</v>
      </c>
      <c r="Y8" s="1">
        <v>0</v>
      </c>
      <c r="Z8" s="1">
        <v>0</v>
      </c>
      <c r="AA8" s="1">
        <v>0</v>
      </c>
      <c r="AB8" s="9">
        <f>ROUND('[1]15. RTSR Rates to Forecast'!J42,4)</f>
        <v>5.8999999999999999E-3</v>
      </c>
      <c r="AC8" s="9">
        <f>ROUND('[1]15. RTSR Rates to Forecast'!J53,4)</f>
        <v>5.4000000000000003E-3</v>
      </c>
    </row>
    <row r="9" spans="1:29" s="1" customFormat="1" x14ac:dyDescent="0.3">
      <c r="A9" s="59"/>
      <c r="B9" s="3" t="s">
        <v>25</v>
      </c>
      <c r="C9" s="11">
        <v>77</v>
      </c>
      <c r="D9" s="12">
        <v>0.21</v>
      </c>
      <c r="E9" s="11">
        <v>1</v>
      </c>
      <c r="F9" s="1">
        <v>1.0654999999999999</v>
      </c>
      <c r="G9" s="1">
        <v>0</v>
      </c>
      <c r="H9" s="1">
        <v>14.23</v>
      </c>
      <c r="I9" s="9">
        <v>36.726100000000002</v>
      </c>
      <c r="J9" s="1">
        <v>0.1099</v>
      </c>
      <c r="K9" s="1">
        <v>-0.14000000000000001</v>
      </c>
      <c r="L9" s="1">
        <f>-0.3673-4.1655+0.6224</f>
        <v>-3.9104000000000001</v>
      </c>
      <c r="M9" s="1">
        <v>0</v>
      </c>
      <c r="N9" s="1">
        <v>0</v>
      </c>
      <c r="O9" s="1">
        <v>0</v>
      </c>
      <c r="P9" s="1">
        <v>0</v>
      </c>
      <c r="Q9" s="1">
        <v>1.7819</v>
      </c>
      <c r="R9" s="9">
        <v>1.7130000000000001</v>
      </c>
      <c r="S9" s="1">
        <v>14.23</v>
      </c>
      <c r="T9" s="9">
        <v>36.726100000000002</v>
      </c>
      <c r="U9" s="1">
        <v>0.1099</v>
      </c>
      <c r="V9" s="1">
        <v>-0.14000000000000001</v>
      </c>
      <c r="W9" s="1">
        <f>-0.3673+0.6224</f>
        <v>0.25509999999999994</v>
      </c>
      <c r="X9" s="1">
        <v>0</v>
      </c>
      <c r="Y9" s="1">
        <v>0</v>
      </c>
      <c r="Z9" s="1">
        <v>0</v>
      </c>
      <c r="AA9" s="1">
        <v>0</v>
      </c>
      <c r="AB9" s="9">
        <f>ROUND('[1]15. RTSR Rates to Forecast'!J43,4)</f>
        <v>1.8148</v>
      </c>
      <c r="AC9" s="9">
        <f>ROUND('[1]15. RTSR Rates to Forecast'!J54,4)</f>
        <v>1.6684000000000001</v>
      </c>
    </row>
    <row r="10" spans="1:29" s="1" customFormat="1" x14ac:dyDescent="0.3">
      <c r="A10" s="59"/>
      <c r="B10" s="3" t="s">
        <v>24</v>
      </c>
      <c r="C10" s="11">
        <v>170000</v>
      </c>
      <c r="D10" s="12">
        <v>550</v>
      </c>
      <c r="E10" s="11">
        <v>2973</v>
      </c>
      <c r="F10" s="1">
        <v>1.0654999999999999</v>
      </c>
      <c r="G10" s="1">
        <v>0</v>
      </c>
      <c r="H10" s="57">
        <v>5.7</v>
      </c>
      <c r="I10" s="1">
        <v>14.588200000000001</v>
      </c>
      <c r="J10" s="9">
        <v>0.113</v>
      </c>
      <c r="K10" s="1">
        <v>-0.06</v>
      </c>
      <c r="L10" s="1">
        <f>-0.1459-1.443+0.2152</f>
        <v>-1.3736999999999999</v>
      </c>
      <c r="M10" s="1">
        <v>0</v>
      </c>
      <c r="N10" s="1">
        <v>0</v>
      </c>
      <c r="O10" s="1">
        <v>0</v>
      </c>
      <c r="P10" s="1">
        <v>0</v>
      </c>
      <c r="Q10" s="1">
        <v>1.7728999999999999</v>
      </c>
      <c r="R10" s="9">
        <v>1.6779999999999999</v>
      </c>
      <c r="S10" s="1">
        <v>5.7</v>
      </c>
      <c r="T10" s="1">
        <v>14.588200000000001</v>
      </c>
      <c r="U10" s="1">
        <v>0.113</v>
      </c>
      <c r="V10" s="1">
        <v>-0.06</v>
      </c>
      <c r="W10" s="1">
        <f>-0.1459+0.2152</f>
        <v>6.93E-2</v>
      </c>
      <c r="X10" s="1">
        <v>0</v>
      </c>
      <c r="Y10" s="1">
        <v>0</v>
      </c>
      <c r="Z10" s="1">
        <v>0</v>
      </c>
      <c r="AA10" s="1">
        <v>0</v>
      </c>
      <c r="AB10" s="9">
        <f>ROUND('[1]15. RTSR Rates to Forecast'!J44,4)</f>
        <v>1.8057000000000001</v>
      </c>
      <c r="AC10" s="9">
        <f>ROUND('[1]15. RTSR Rates to Forecast'!J55,4)</f>
        <v>1.6343000000000001</v>
      </c>
    </row>
    <row r="11" spans="1:29" s="1" customFormat="1" x14ac:dyDescent="0.3">
      <c r="A11" s="59"/>
      <c r="B11" s="3" t="s">
        <v>26</v>
      </c>
      <c r="C11" s="11">
        <v>6055000</v>
      </c>
      <c r="D11" s="11">
        <v>18970</v>
      </c>
      <c r="E11" s="11"/>
      <c r="F11" s="1">
        <v>1.0287999999999999</v>
      </c>
      <c r="G11" s="1">
        <v>0</v>
      </c>
      <c r="H11" s="1">
        <v>464.17</v>
      </c>
      <c r="I11" s="1">
        <v>1.4303999999999999</v>
      </c>
      <c r="J11" s="9">
        <v>0</v>
      </c>
      <c r="K11" s="1">
        <v>-4.6399999999999997</v>
      </c>
      <c r="L11" s="1">
        <v>-1.43E-2</v>
      </c>
      <c r="M11" s="1">
        <v>0</v>
      </c>
      <c r="N11" s="1">
        <v>0</v>
      </c>
      <c r="O11" s="1">
        <v>0</v>
      </c>
      <c r="P11" s="1">
        <v>0</v>
      </c>
      <c r="Q11" s="1">
        <v>2.9390999999999998</v>
      </c>
      <c r="R11" s="1">
        <v>2.9243999999999999</v>
      </c>
      <c r="S11" s="1">
        <v>464.17</v>
      </c>
      <c r="T11" s="1">
        <v>1.4303999999999999</v>
      </c>
      <c r="U11" s="1">
        <v>0</v>
      </c>
      <c r="V11" s="1">
        <v>-4.6399999999999997</v>
      </c>
      <c r="W11" s="1">
        <v>-1.43E-2</v>
      </c>
      <c r="X11" s="1">
        <v>0</v>
      </c>
      <c r="Y11" s="1">
        <v>0</v>
      </c>
      <c r="Z11" s="1">
        <v>0</v>
      </c>
      <c r="AA11" s="1">
        <v>0</v>
      </c>
      <c r="AB11" s="9">
        <f>ROUND('[1]15. RTSR Rates to Forecast'!J45,4)</f>
        <v>2.9933999999999998</v>
      </c>
      <c r="AC11" s="9">
        <f>ROUND('[1]15. RTSR Rates to Forecast'!J56,4)</f>
        <v>2.8481999999999998</v>
      </c>
    </row>
  </sheetData>
  <mergeCells count="1">
    <mergeCell ref="A3:A11"/>
  </mergeCells>
  <pageMargins left="0.7" right="0.7" top="0.75" bottom="0.75" header="0.3" footer="0.3"/>
  <ignoredErrors>
    <ignoredError sqref="L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H26" sqref="H26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3" customWidth="1"/>
    <col min="7" max="7" width="13.5546875" customWidth="1"/>
    <col min="8" max="8" width="12.44140625" customWidth="1"/>
    <col min="9" max="9" width="11.88671875" style="27" customWidth="1"/>
  </cols>
  <sheetData>
    <row r="1" spans="1:9" ht="15.6" x14ac:dyDescent="0.3">
      <c r="A1" s="86" t="s">
        <v>97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24</v>
      </c>
    </row>
    <row r="4" spans="1:9" ht="15" x14ac:dyDescent="0.25">
      <c r="A4" s="2" t="s">
        <v>65</v>
      </c>
      <c r="B4" s="31">
        <f>VLOOKUP($B$3,'Data-DO NOT PRINT'!$B$3:$AC$11,2,0)</f>
        <v>170000</v>
      </c>
    </row>
    <row r="5" spans="1:9" ht="15" x14ac:dyDescent="0.25">
      <c r="A5" s="2" t="s">
        <v>64</v>
      </c>
      <c r="B5" s="10">
        <f>VLOOKUP($B$3,'Data-DO NOT PRINT'!$B$3:$AC$11,3)</f>
        <v>550</v>
      </c>
    </row>
    <row r="6" spans="1:9" ht="15" x14ac:dyDescent="0.25">
      <c r="A6" s="2" t="s">
        <v>4</v>
      </c>
      <c r="B6" s="10">
        <f>VLOOKUP(B3,'Data-DO NOT PRINT'!B3:Y11,5,0)</f>
        <v>1.0654999999999999</v>
      </c>
    </row>
    <row r="7" spans="1:9" ht="15" x14ac:dyDescent="0.25">
      <c r="A7" s="2" t="s">
        <v>28</v>
      </c>
      <c r="B7" s="31">
        <f>B4*B6</f>
        <v>181134.99999999997</v>
      </c>
    </row>
    <row r="8" spans="1:9" ht="15" x14ac:dyDescent="0.25">
      <c r="A8" s="2"/>
      <c r="B8" s="10"/>
    </row>
    <row r="9" spans="1:9" ht="15" x14ac:dyDescent="0.25">
      <c r="B9" s="83" t="s">
        <v>38</v>
      </c>
      <c r="C9" s="83"/>
      <c r="D9" s="83"/>
      <c r="E9" s="83" t="s">
        <v>100</v>
      </c>
      <c r="F9" s="83"/>
      <c r="G9" s="83"/>
      <c r="H9" s="83" t="s">
        <v>39</v>
      </c>
      <c r="I9" s="83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40</v>
      </c>
      <c r="I10" s="29" t="s">
        <v>41</v>
      </c>
    </row>
    <row r="11" spans="1:9" ht="15" x14ac:dyDescent="0.25">
      <c r="A11" s="2" t="s">
        <v>43</v>
      </c>
      <c r="B11" s="11">
        <f>VLOOKUP($B$3,'Data-DO NOT PRINT'!$B$3:$AC$11,4)</f>
        <v>2973</v>
      </c>
      <c r="C11" s="5">
        <f>VLOOKUP($B$3,'Data-DO NOT PRINT'!$B$3:$AC$11,7,0)</f>
        <v>5.7</v>
      </c>
      <c r="D11" s="5">
        <f t="shared" ref="D11:D14" si="0">B11*C11</f>
        <v>16946.100000000002</v>
      </c>
      <c r="E11" s="11">
        <f t="shared" ref="E11:E14" si="1">B11</f>
        <v>2973</v>
      </c>
      <c r="F11" s="5">
        <f>VLOOKUP($B$3,'Data-DO NOT PRINT'!$B$3:$AC$11,18,0)</f>
        <v>5.7</v>
      </c>
      <c r="G11" s="5">
        <f t="shared" ref="G11:G14" si="2">E11*F11</f>
        <v>16946.100000000002</v>
      </c>
      <c r="H11" s="5">
        <f t="shared" ref="H11:H14" si="3">G11-D11</f>
        <v>0</v>
      </c>
      <c r="I11" s="27">
        <f>IF(ISERROR(H11/D11), "",H11/D11)</f>
        <v>0</v>
      </c>
    </row>
    <row r="12" spans="1:9" ht="15" x14ac:dyDescent="0.25">
      <c r="A12" s="2" t="s">
        <v>44</v>
      </c>
      <c r="B12" s="11">
        <f>B5</f>
        <v>550</v>
      </c>
      <c r="C12" s="26">
        <f>VLOOKUP($B$3,'Data-DO NOT PRINT'!$B$3:$AC$11,8,0)</f>
        <v>14.588200000000001</v>
      </c>
      <c r="D12" s="5">
        <f t="shared" si="0"/>
        <v>8023.51</v>
      </c>
      <c r="E12" s="11">
        <f t="shared" si="1"/>
        <v>550</v>
      </c>
      <c r="F12" s="26">
        <f>VLOOKUP($B$3,'Data-DO NOT PRINT'!$B$3:$AC$11,19,0)</f>
        <v>14.588200000000001</v>
      </c>
      <c r="G12" s="5">
        <f t="shared" si="2"/>
        <v>8023.51</v>
      </c>
      <c r="H12" s="5">
        <f t="shared" si="3"/>
        <v>0</v>
      </c>
      <c r="I12" s="27">
        <f t="shared" ref="I12:I14" si="4">IF(ISERROR(H12/D12), "",H12/D12)</f>
        <v>0</v>
      </c>
    </row>
    <row r="13" spans="1:9" ht="15" x14ac:dyDescent="0.25">
      <c r="A13" s="2" t="s">
        <v>45</v>
      </c>
      <c r="B13" s="1">
        <v>1</v>
      </c>
      <c r="C13" s="5">
        <f>VLOOKUP($B$3,'Data-DO NOT PRINT'!$B$3:$AC$11,10,0)</f>
        <v>-0.06</v>
      </c>
      <c r="D13" s="5">
        <f t="shared" si="0"/>
        <v>-0.06</v>
      </c>
      <c r="E13" s="1">
        <f t="shared" si="1"/>
        <v>1</v>
      </c>
      <c r="F13" s="5">
        <f>VLOOKUP($B$3,'Data-DO NOT PRINT'!$B$3:$AC$11,21,0)</f>
        <v>-0.06</v>
      </c>
      <c r="G13" s="5">
        <f t="shared" si="2"/>
        <v>-0.06</v>
      </c>
      <c r="H13" s="5">
        <f t="shared" si="3"/>
        <v>0</v>
      </c>
      <c r="I13" s="27">
        <f t="shared" si="4"/>
        <v>0</v>
      </c>
    </row>
    <row r="14" spans="1:9" ht="15" x14ac:dyDescent="0.25">
      <c r="A14" s="2" t="s">
        <v>46</v>
      </c>
      <c r="B14" s="11">
        <f>B5</f>
        <v>550</v>
      </c>
      <c r="C14" s="26">
        <f>VLOOKUP($B$3,'Data-DO NOT PRINT'!$B$3:$AC$11,11,0)</f>
        <v>-1.3736999999999999</v>
      </c>
      <c r="D14" s="5">
        <f t="shared" si="0"/>
        <v>-755.53499999999997</v>
      </c>
      <c r="E14" s="11">
        <f t="shared" si="1"/>
        <v>550</v>
      </c>
      <c r="F14" s="26">
        <f>VLOOKUP($B$3,'Data-DO NOT PRINT'!$B$3:$AC$11,22,0)</f>
        <v>6.93E-2</v>
      </c>
      <c r="G14" s="5">
        <f t="shared" si="2"/>
        <v>38.115000000000002</v>
      </c>
      <c r="H14" s="5">
        <f t="shared" si="3"/>
        <v>793.65</v>
      </c>
      <c r="I14" s="27">
        <f t="shared" si="4"/>
        <v>-1.0504476960034943</v>
      </c>
    </row>
    <row r="15" spans="1:9" ht="15" x14ac:dyDescent="0.25">
      <c r="A15" s="19" t="s">
        <v>47</v>
      </c>
      <c r="B15" s="17"/>
      <c r="C15" s="22"/>
      <c r="D15" s="18">
        <f>SUM(D11:D14)</f>
        <v>24214.014999999999</v>
      </c>
      <c r="E15" s="16"/>
      <c r="F15" s="18"/>
      <c r="G15" s="18">
        <f>SUM(G11:G14)</f>
        <v>25007.665000000001</v>
      </c>
      <c r="H15" s="18">
        <f>G15-D15</f>
        <v>793.65000000000146</v>
      </c>
      <c r="I15" s="28">
        <f>H15/D15</f>
        <v>3.2776472633720653E-2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ref="H16:H29" si="5">G16-D16</f>
        <v>0</v>
      </c>
      <c r="I16" s="27" t="str">
        <f t="shared" ref="I16:I21" si="6">IF(ISERROR(H16/D16), "",H16/D16)</f>
        <v/>
      </c>
    </row>
    <row r="17" spans="1:9" ht="15" x14ac:dyDescent="0.25">
      <c r="A17" s="2" t="s">
        <v>99</v>
      </c>
      <c r="B17" s="11">
        <f>B5</f>
        <v>550</v>
      </c>
      <c r="C17" s="26">
        <f>VLOOKUP($B$3,'Data-DO NOT PRINT'!$B$3:$AC$11,13,0)</f>
        <v>0</v>
      </c>
      <c r="D17" s="5">
        <f>B17*C17</f>
        <v>0</v>
      </c>
      <c r="E17" s="11">
        <f>B17</f>
        <v>550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49</v>
      </c>
      <c r="B18" s="11">
        <f>B5</f>
        <v>550</v>
      </c>
      <c r="C18" s="26">
        <f>VLOOKUP($B$3,'Data-DO NOT PRINT'!$B$3:$AC$11,14,0)</f>
        <v>0</v>
      </c>
      <c r="D18" s="5">
        <f t="shared" ref="D18:D21" si="7">B18*C18</f>
        <v>0</v>
      </c>
      <c r="E18" s="11">
        <f t="shared" ref="E18:E21" si="8">B18</f>
        <v>550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50</v>
      </c>
      <c r="B19" s="11">
        <f>B4</f>
        <v>170000</v>
      </c>
      <c r="C19" s="26">
        <f>VLOOKUP($B$3,'Data-DO NOT PRINT'!$B$3:$AC$11,15,0)</f>
        <v>0</v>
      </c>
      <c r="D19" s="5">
        <f t="shared" si="7"/>
        <v>0</v>
      </c>
      <c r="E19" s="11">
        <f>B19</f>
        <v>170000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51</v>
      </c>
      <c r="B20" s="11">
        <f>B5</f>
        <v>550</v>
      </c>
      <c r="C20" s="26">
        <f>VLOOKUP($B$3,'Data-DO NOT PRINT'!$B$3:$AC$11,9,0)</f>
        <v>0.113</v>
      </c>
      <c r="D20" s="5">
        <f t="shared" si="7"/>
        <v>62.15</v>
      </c>
      <c r="E20" s="11">
        <f>B20</f>
        <v>550</v>
      </c>
      <c r="F20" s="26">
        <f>VLOOKUP($B$3,'Data-DO NOT PRINT'!$B$3:$AC$11,20,0)</f>
        <v>0.113</v>
      </c>
      <c r="G20" s="5">
        <f t="shared" si="9"/>
        <v>62.15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52</v>
      </c>
      <c r="B21" s="1">
        <v>1</v>
      </c>
      <c r="C21" s="5">
        <f>VLOOKUP($B$3,'Data-DO NOT PRINT'!$B$3:$AC$11,6,0)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7" t="str">
        <f t="shared" si="6"/>
        <v/>
      </c>
    </row>
    <row r="22" spans="1:9" ht="15" x14ac:dyDescent="0.25">
      <c r="A22" s="19" t="s">
        <v>53</v>
      </c>
      <c r="B22" s="17"/>
      <c r="C22" s="22"/>
      <c r="D22" s="18">
        <f>SUM(D15:D21)</f>
        <v>24276.165000000001</v>
      </c>
      <c r="E22" s="17"/>
      <c r="F22" s="22"/>
      <c r="G22" s="18">
        <f>SUM(G15:G21)</f>
        <v>25069.815000000002</v>
      </c>
      <c r="H22" s="18">
        <f>G22-D22</f>
        <v>793.65000000000146</v>
      </c>
      <c r="I22" s="28">
        <f>H22/D22</f>
        <v>3.2692560789564638E-2</v>
      </c>
    </row>
    <row r="23" spans="1:9" ht="15" x14ac:dyDescent="0.25">
      <c r="A23" s="2" t="s">
        <v>54</v>
      </c>
      <c r="B23" s="11">
        <f>B5</f>
        <v>550</v>
      </c>
      <c r="C23" s="26">
        <f>VLOOKUP($B$3,'Data-DO NOT PRINT'!$B$3:$AC$11,16,0)</f>
        <v>1.7728999999999999</v>
      </c>
      <c r="D23" s="5">
        <f t="shared" ref="D23:D24" si="10">B23*C23</f>
        <v>975.09499999999991</v>
      </c>
      <c r="E23" s="11">
        <f t="shared" ref="E23:E24" si="11">B23</f>
        <v>550</v>
      </c>
      <c r="F23" s="26">
        <f>VLOOKUP($B$3,'Data-DO NOT PRINT'!$B$3:$AC$11,27,0)</f>
        <v>1.8057000000000001</v>
      </c>
      <c r="G23" s="5">
        <f t="shared" ref="G23:G24" si="12">E23*F23</f>
        <v>993.13499999999999</v>
      </c>
      <c r="H23" s="5">
        <f t="shared" si="5"/>
        <v>18.040000000000077</v>
      </c>
      <c r="I23" s="27">
        <f t="shared" ref="I23:I24" si="13">IF(ISERROR(H23/D23), "",H23/D23)</f>
        <v>1.8500761464267663E-2</v>
      </c>
    </row>
    <row r="24" spans="1:9" ht="15" x14ac:dyDescent="0.25">
      <c r="A24" s="2" t="s">
        <v>55</v>
      </c>
      <c r="B24" s="11">
        <f>B5</f>
        <v>550</v>
      </c>
      <c r="C24" s="26">
        <f>VLOOKUP($B$3,'Data-DO NOT PRINT'!$B$3:$AC$11,17,0)</f>
        <v>1.6779999999999999</v>
      </c>
      <c r="D24" s="5">
        <f t="shared" si="10"/>
        <v>922.9</v>
      </c>
      <c r="E24" s="11">
        <f t="shared" si="11"/>
        <v>550</v>
      </c>
      <c r="F24" s="26">
        <f>VLOOKUP($B$3,'Data-DO NOT PRINT'!$B$3:$AC$11,28,0)</f>
        <v>1.6343000000000001</v>
      </c>
      <c r="G24" s="5">
        <f t="shared" si="12"/>
        <v>898.86500000000001</v>
      </c>
      <c r="H24" s="5">
        <f t="shared" si="5"/>
        <v>-24.034999999999968</v>
      </c>
      <c r="I24" s="27">
        <f t="shared" si="13"/>
        <v>-2.6042908224076247E-2</v>
      </c>
    </row>
    <row r="25" spans="1:9" ht="15" x14ac:dyDescent="0.25">
      <c r="A25" s="19" t="s">
        <v>56</v>
      </c>
      <c r="B25" s="17"/>
      <c r="C25" s="22"/>
      <c r="D25" s="18">
        <f>SUM(D22:D24)</f>
        <v>26174.160000000003</v>
      </c>
      <c r="E25" s="17"/>
      <c r="F25" s="22"/>
      <c r="G25" s="18">
        <f>SUM(G22:G24)</f>
        <v>26961.815000000002</v>
      </c>
      <c r="H25" s="18">
        <f>G25-D25</f>
        <v>787.65499999999884</v>
      </c>
      <c r="I25" s="28">
        <f>H25/D25</f>
        <v>3.0092847296723131E-2</v>
      </c>
    </row>
    <row r="26" spans="1:9" ht="15" x14ac:dyDescent="0.25">
      <c r="A26" s="2" t="s">
        <v>57</v>
      </c>
      <c r="B26" s="11">
        <f>B7</f>
        <v>181134.99999999997</v>
      </c>
      <c r="C26" s="26">
        <v>3.3999999999999998E-3</v>
      </c>
      <c r="D26" s="5">
        <f t="shared" ref="D26:D28" si="14">B26*C26</f>
        <v>615.85899999999992</v>
      </c>
      <c r="E26" s="11">
        <f t="shared" ref="E26:E28" si="15">B26</f>
        <v>181134.99999999997</v>
      </c>
      <c r="F26" s="26">
        <v>3.3999999999999998E-3</v>
      </c>
      <c r="G26" s="5">
        <f t="shared" ref="G26:G29" si="16">E26*F26</f>
        <v>615.85899999999992</v>
      </c>
      <c r="H26" s="5">
        <f t="shared" si="5"/>
        <v>0</v>
      </c>
      <c r="I26" s="27">
        <f t="shared" ref="I26:I29" si="17">IF(ISERROR(H26/D26), "",H26/D26)</f>
        <v>0</v>
      </c>
    </row>
    <row r="27" spans="1:9" ht="15" x14ac:dyDescent="0.25">
      <c r="A27" s="2" t="s">
        <v>58</v>
      </c>
      <c r="B27" s="11">
        <f>B7</f>
        <v>181134.99999999997</v>
      </c>
      <c r="C27" s="26">
        <v>5.0000000000000001E-4</v>
      </c>
      <c r="D27" s="5">
        <f t="shared" si="14"/>
        <v>90.567499999999981</v>
      </c>
      <c r="E27" s="11">
        <f t="shared" si="15"/>
        <v>181134.99999999997</v>
      </c>
      <c r="F27" s="26">
        <v>5.0000000000000001E-4</v>
      </c>
      <c r="G27" s="5">
        <f t="shared" si="16"/>
        <v>90.567499999999981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59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68</v>
      </c>
      <c r="B29" s="11">
        <f>IF($B$4&gt;750,750,$B$4)</f>
        <v>750</v>
      </c>
      <c r="C29" s="25">
        <v>7.6999999999999999E-2</v>
      </c>
      <c r="D29" s="5">
        <f>B29*C29</f>
        <v>57.75</v>
      </c>
      <c r="E29" s="11">
        <f>B29</f>
        <v>750</v>
      </c>
      <c r="F29" s="25">
        <f>C29</f>
        <v>7.6999999999999999E-2</v>
      </c>
      <c r="G29" s="5">
        <f t="shared" si="16"/>
        <v>57.75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69</v>
      </c>
      <c r="B30" s="11">
        <f>IF($B$4&gt;750,$B$4-750,0)</f>
        <v>169250</v>
      </c>
      <c r="C30" s="25">
        <v>8.8999999999999996E-2</v>
      </c>
      <c r="D30" s="5">
        <f>B30*C30</f>
        <v>15063.25</v>
      </c>
      <c r="E30" s="11">
        <f>B30</f>
        <v>169250</v>
      </c>
      <c r="F30" s="25">
        <v>8.8999999999999996E-2</v>
      </c>
      <c r="G30" s="5">
        <f t="shared" ref="G30" si="18">E30*F30</f>
        <v>15063.25</v>
      </c>
      <c r="H30" s="5">
        <f t="shared" ref="H30" si="19">G30-D30</f>
        <v>0</v>
      </c>
      <c r="I30" s="27">
        <f t="shared" ref="I30" si="20">IF(ISERROR(H30/D30), "",H30/D30)</f>
        <v>0</v>
      </c>
    </row>
    <row r="31" spans="1:9" x14ac:dyDescent="0.3">
      <c r="A31" s="20"/>
      <c r="B31" s="14"/>
      <c r="C31" s="21"/>
      <c r="D31" s="21"/>
      <c r="E31" s="14"/>
      <c r="F31" s="21"/>
      <c r="G31" s="21"/>
      <c r="H31" s="21"/>
      <c r="I31" s="30"/>
    </row>
    <row r="32" spans="1:9" x14ac:dyDescent="0.3">
      <c r="A32" s="2" t="s">
        <v>60</v>
      </c>
      <c r="D32" s="6">
        <f>SUM(D25:D30)</f>
        <v>42001.836500000005</v>
      </c>
      <c r="E32" s="1"/>
      <c r="F32" s="5"/>
      <c r="G32" s="6">
        <f>SUM(G25:G30)</f>
        <v>42789.491500000004</v>
      </c>
      <c r="H32" s="6">
        <f>G32-D32</f>
        <v>787.65499999999884</v>
      </c>
      <c r="I32" s="29">
        <f t="shared" ref="I32:I34" si="21">IF(ISERROR(H32/D32), "",H32/D32)</f>
        <v>1.8752870484603661E-2</v>
      </c>
    </row>
    <row r="33" spans="1:9" x14ac:dyDescent="0.3">
      <c r="A33" s="2" t="s">
        <v>5</v>
      </c>
      <c r="C33" s="7">
        <v>0.13</v>
      </c>
      <c r="D33" s="5">
        <f>C33*D32</f>
        <v>5460.2387450000006</v>
      </c>
      <c r="E33" s="1"/>
      <c r="F33" s="7">
        <v>0.13</v>
      </c>
      <c r="G33" s="5">
        <f>F33*G32</f>
        <v>5562.6338950000008</v>
      </c>
      <c r="H33" s="5">
        <f t="shared" ref="H33" si="22">G33-D33</f>
        <v>102.39515000000029</v>
      </c>
      <c r="I33" s="27">
        <f t="shared" si="21"/>
        <v>1.875287048460374E-2</v>
      </c>
    </row>
    <row r="34" spans="1:9" x14ac:dyDescent="0.3">
      <c r="A34" s="2" t="s">
        <v>62</v>
      </c>
      <c r="D34" s="6">
        <f>SUM(D32:D33)</f>
        <v>47462.075245000007</v>
      </c>
      <c r="E34" s="1"/>
      <c r="F34" s="5"/>
      <c r="G34" s="6">
        <f>SUM(G32:G33)</f>
        <v>48352.125395000003</v>
      </c>
      <c r="H34" s="6">
        <f>G34-D34</f>
        <v>890.05014999999548</v>
      </c>
      <c r="I34" s="29">
        <f t="shared" si="21"/>
        <v>1.8752870484603595E-2</v>
      </c>
    </row>
    <row r="35" spans="1:9" x14ac:dyDescent="0.3">
      <c r="A35" s="14"/>
      <c r="B35" s="14"/>
      <c r="C35" s="21"/>
      <c r="D35" s="15"/>
      <c r="E35" s="15"/>
      <c r="F35" s="24"/>
      <c r="G35" s="15"/>
      <c r="H35" s="21"/>
      <c r="I35" s="30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5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3" customWidth="1"/>
    <col min="7" max="7" width="13.5546875" customWidth="1"/>
    <col min="8" max="8" width="12.44140625" customWidth="1"/>
    <col min="9" max="9" width="11.88671875" style="27" customWidth="1"/>
  </cols>
  <sheetData>
    <row r="1" spans="1:9" ht="15.6" x14ac:dyDescent="0.3">
      <c r="A1" s="86" t="s">
        <v>97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26</v>
      </c>
    </row>
    <row r="4" spans="1:9" ht="15" x14ac:dyDescent="0.25">
      <c r="A4" s="2" t="s">
        <v>65</v>
      </c>
      <c r="B4" s="31">
        <f>VLOOKUP($B$3,'Data-DO NOT PRINT'!$B$3:$AC$11,2,0)</f>
        <v>6055000</v>
      </c>
    </row>
    <row r="5" spans="1:9" ht="15" x14ac:dyDescent="0.25">
      <c r="A5" s="2" t="s">
        <v>64</v>
      </c>
      <c r="B5" s="31">
        <f>VLOOKUP($B$3,'Data-DO NOT PRINT'!$B$3:$AC$11,3,0)</f>
        <v>18970</v>
      </c>
    </row>
    <row r="6" spans="1:9" ht="15" x14ac:dyDescent="0.25">
      <c r="A6" s="2" t="s">
        <v>4</v>
      </c>
      <c r="B6" s="10">
        <f>VLOOKUP(B3,'Data-DO NOT PRINT'!B3:Y11,5,0)</f>
        <v>1.0287999999999999</v>
      </c>
    </row>
    <row r="7" spans="1:9" ht="15" x14ac:dyDescent="0.25">
      <c r="A7" s="2" t="s">
        <v>28</v>
      </c>
      <c r="B7" s="31">
        <f>B4*B6</f>
        <v>6229384</v>
      </c>
    </row>
    <row r="8" spans="1:9" ht="15" x14ac:dyDescent="0.25">
      <c r="A8" s="2"/>
      <c r="B8" s="10"/>
    </row>
    <row r="9" spans="1:9" ht="15" x14ac:dyDescent="0.25">
      <c r="B9" s="83" t="s">
        <v>38</v>
      </c>
      <c r="C9" s="83"/>
      <c r="D9" s="83"/>
      <c r="E9" s="83" t="s">
        <v>100</v>
      </c>
      <c r="F9" s="83"/>
      <c r="G9" s="83"/>
      <c r="H9" s="83" t="s">
        <v>39</v>
      </c>
      <c r="I9" s="83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40</v>
      </c>
      <c r="I10" s="29" t="s">
        <v>41</v>
      </c>
    </row>
    <row r="11" spans="1:9" ht="15" x14ac:dyDescent="0.25">
      <c r="A11" s="2" t="s">
        <v>43</v>
      </c>
      <c r="B11" s="1">
        <v>1</v>
      </c>
      <c r="C11" s="5">
        <f>VLOOKUP($B$3,'Data-DO NOT PRINT'!$B$3:$AC$11,7,0)</f>
        <v>464.17</v>
      </c>
      <c r="D11" s="5">
        <f t="shared" ref="D11:D14" si="0">B11*C11</f>
        <v>464.17</v>
      </c>
      <c r="E11" s="1">
        <f t="shared" ref="E11:E14" si="1">B11</f>
        <v>1</v>
      </c>
      <c r="F11" s="5">
        <f>VLOOKUP($B$3,'Data-DO NOT PRINT'!$B$3:$AC$11,18,0)</f>
        <v>464.17</v>
      </c>
      <c r="G11" s="5">
        <f t="shared" ref="G11:G14" si="2">E11*F11</f>
        <v>464.17</v>
      </c>
      <c r="H11" s="5">
        <f t="shared" ref="H11:H14" si="3">G11-D11</f>
        <v>0</v>
      </c>
      <c r="I11" s="27">
        <f>IF(ISERROR(H11/D11), "",H11/D11)</f>
        <v>0</v>
      </c>
    </row>
    <row r="12" spans="1:9" ht="15" x14ac:dyDescent="0.25">
      <c r="A12" s="2" t="s">
        <v>44</v>
      </c>
      <c r="B12" s="11">
        <f>B5</f>
        <v>18970</v>
      </c>
      <c r="C12" s="26">
        <f>VLOOKUP($B$3,'Data-DO NOT PRINT'!$B$3:$AC$11,8,0)</f>
        <v>1.4303999999999999</v>
      </c>
      <c r="D12" s="5">
        <f t="shared" si="0"/>
        <v>27134.687999999998</v>
      </c>
      <c r="E12" s="11">
        <f t="shared" si="1"/>
        <v>18970</v>
      </c>
      <c r="F12" s="26">
        <f>VLOOKUP($B$3,'Data-DO NOT PRINT'!$B$3:$AC$11,19,0)</f>
        <v>1.4303999999999999</v>
      </c>
      <c r="G12" s="5">
        <f t="shared" si="2"/>
        <v>27134.687999999998</v>
      </c>
      <c r="H12" s="5">
        <f t="shared" si="3"/>
        <v>0</v>
      </c>
      <c r="I12" s="27">
        <f t="shared" ref="I12:I15" si="4">IF(ISERROR(H12/D12), "",H12/D12)</f>
        <v>0</v>
      </c>
    </row>
    <row r="13" spans="1:9" ht="15" x14ac:dyDescent="0.25">
      <c r="A13" s="2" t="s">
        <v>45</v>
      </c>
      <c r="B13" s="1">
        <v>1</v>
      </c>
      <c r="C13" s="5">
        <f>VLOOKUP($B$3,'Data-DO NOT PRINT'!$B$3:$AC$11,10,0)</f>
        <v>-4.6399999999999997</v>
      </c>
      <c r="D13" s="5">
        <f t="shared" si="0"/>
        <v>-4.6399999999999997</v>
      </c>
      <c r="E13" s="1">
        <f t="shared" si="1"/>
        <v>1</v>
      </c>
      <c r="F13" s="5">
        <f>VLOOKUP($B$3,'Data-DO NOT PRINT'!$B$3:$AC$11,21,0)</f>
        <v>-4.6399999999999997</v>
      </c>
      <c r="G13" s="5">
        <f t="shared" si="2"/>
        <v>-4.6399999999999997</v>
      </c>
      <c r="H13" s="5">
        <f t="shared" si="3"/>
        <v>0</v>
      </c>
      <c r="I13" s="27">
        <f t="shared" si="4"/>
        <v>0</v>
      </c>
    </row>
    <row r="14" spans="1:9" ht="15" x14ac:dyDescent="0.25">
      <c r="A14" s="2" t="s">
        <v>46</v>
      </c>
      <c r="B14" s="11">
        <f>B5</f>
        <v>18970</v>
      </c>
      <c r="C14" s="26">
        <f>VLOOKUP($B$3,'Data-DO NOT PRINT'!$B$3:$AC$11,11,0)</f>
        <v>-1.43E-2</v>
      </c>
      <c r="D14" s="5">
        <f t="shared" si="0"/>
        <v>-271.27100000000002</v>
      </c>
      <c r="E14" s="11">
        <f t="shared" si="1"/>
        <v>18970</v>
      </c>
      <c r="F14" s="26">
        <f>VLOOKUP($B$3,'Data-DO NOT PRINT'!$B$3:$AC$11,22,0)</f>
        <v>-1.43E-2</v>
      </c>
      <c r="G14" s="5">
        <f t="shared" si="2"/>
        <v>-271.27100000000002</v>
      </c>
      <c r="H14" s="5">
        <f t="shared" si="3"/>
        <v>0</v>
      </c>
      <c r="I14" s="27">
        <f t="shared" si="4"/>
        <v>0</v>
      </c>
    </row>
    <row r="15" spans="1:9" ht="15" x14ac:dyDescent="0.25">
      <c r="A15" s="19" t="s">
        <v>47</v>
      </c>
      <c r="B15" s="17"/>
      <c r="C15" s="22"/>
      <c r="D15" s="18">
        <f>SUM(D11:D14)</f>
        <v>27322.946999999996</v>
      </c>
      <c r="E15" s="16"/>
      <c r="F15" s="18"/>
      <c r="G15" s="18">
        <f>SUM(G11:G14)</f>
        <v>27322.946999999996</v>
      </c>
      <c r="H15" s="18">
        <f>G15-D15</f>
        <v>0</v>
      </c>
      <c r="I15" s="28">
        <f t="shared" si="4"/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ref="H16:H29" si="5">G16-D16</f>
        <v>0</v>
      </c>
      <c r="I16" s="27" t="str">
        <f t="shared" ref="I16:I22" si="6">IF(ISERROR(H16/D16), "",H16/D16)</f>
        <v/>
      </c>
    </row>
    <row r="17" spans="1:9" ht="15" x14ac:dyDescent="0.25">
      <c r="A17" s="2" t="s">
        <v>99</v>
      </c>
      <c r="B17" s="11">
        <f>B5</f>
        <v>18970</v>
      </c>
      <c r="C17" s="26">
        <f>VLOOKUP($B$3,'Data-DO NOT PRINT'!$B$3:$AC$11,13,0)</f>
        <v>0</v>
      </c>
      <c r="D17" s="5">
        <f>B17*C17</f>
        <v>0</v>
      </c>
      <c r="E17" s="11">
        <f>B17</f>
        <v>18970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49</v>
      </c>
      <c r="B18" s="11">
        <f>B5</f>
        <v>18970</v>
      </c>
      <c r="C18" s="26">
        <f>VLOOKUP($B$3,'Data-DO NOT PRINT'!$B$3:$AC$11,14,0)</f>
        <v>0</v>
      </c>
      <c r="D18" s="5">
        <f t="shared" ref="D18:D21" si="7">B18*C18</f>
        <v>0</v>
      </c>
      <c r="E18" s="11">
        <f t="shared" ref="E18:E21" si="8">B18</f>
        <v>18970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50</v>
      </c>
      <c r="B19" s="11">
        <f>B4</f>
        <v>6055000</v>
      </c>
      <c r="C19" s="26">
        <f>VLOOKUP($B$3,'Data-DO NOT PRINT'!$B$3:$AC$11,15,0)</f>
        <v>0</v>
      </c>
      <c r="D19" s="5">
        <f t="shared" si="7"/>
        <v>0</v>
      </c>
      <c r="E19" s="11">
        <f>B19</f>
        <v>6055000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51</v>
      </c>
      <c r="B20" s="11">
        <f>B5</f>
        <v>18970</v>
      </c>
      <c r="C20" s="26">
        <f>VLOOKUP($B$3,'Data-DO NOT PRINT'!$B$3:$AC$11,9,0)</f>
        <v>0</v>
      </c>
      <c r="D20" s="5">
        <f t="shared" si="7"/>
        <v>0</v>
      </c>
      <c r="E20" s="11">
        <f>B20</f>
        <v>18970</v>
      </c>
      <c r="F20" s="26">
        <f>VLOOKUP($B$3,'Data-DO NOT PRINT'!$B$3:$AC$11,20,0)</f>
        <v>0</v>
      </c>
      <c r="G20" s="5">
        <f t="shared" si="9"/>
        <v>0</v>
      </c>
      <c r="H20" s="5">
        <f t="shared" si="5"/>
        <v>0</v>
      </c>
      <c r="I20" s="27" t="str">
        <f t="shared" si="6"/>
        <v/>
      </c>
    </row>
    <row r="21" spans="1:9" ht="15" x14ac:dyDescent="0.25">
      <c r="A21" s="2" t="s">
        <v>52</v>
      </c>
      <c r="B21" s="1">
        <v>1</v>
      </c>
      <c r="C21" s="5">
        <f>VLOOKUP($B$3,'Data-DO NOT PRINT'!$B$3:$AC$11,6,0)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7" t="str">
        <f t="shared" si="6"/>
        <v/>
      </c>
    </row>
    <row r="22" spans="1:9" ht="15" x14ac:dyDescent="0.25">
      <c r="A22" s="19" t="s">
        <v>53</v>
      </c>
      <c r="B22" s="17"/>
      <c r="C22" s="22"/>
      <c r="D22" s="18">
        <f>SUM(D15:D21)</f>
        <v>27322.946999999996</v>
      </c>
      <c r="E22" s="17"/>
      <c r="F22" s="22"/>
      <c r="G22" s="18">
        <f>SUM(G15:G21)</f>
        <v>27322.946999999996</v>
      </c>
      <c r="H22" s="18">
        <f>G22-D22</f>
        <v>0</v>
      </c>
      <c r="I22" s="28">
        <f t="shared" si="6"/>
        <v>0</v>
      </c>
    </row>
    <row r="23" spans="1:9" ht="15" x14ac:dyDescent="0.25">
      <c r="A23" s="2" t="s">
        <v>54</v>
      </c>
      <c r="B23" s="11">
        <f>B5</f>
        <v>18970</v>
      </c>
      <c r="C23" s="26">
        <f>VLOOKUP($B$3,'Data-DO NOT PRINT'!$B$3:$AC$11,16,0)</f>
        <v>2.9390999999999998</v>
      </c>
      <c r="D23" s="5">
        <f t="shared" ref="D23:D24" si="10">B23*C23</f>
        <v>55754.726999999999</v>
      </c>
      <c r="E23" s="11">
        <f t="shared" ref="E23:E24" si="11">B23</f>
        <v>18970</v>
      </c>
      <c r="F23" s="26">
        <f>VLOOKUP($B$3,'Data-DO NOT PRINT'!$B$3:$AC$11,27,0)</f>
        <v>2.9933999999999998</v>
      </c>
      <c r="G23" s="5">
        <f t="shared" ref="G23:G24" si="12">E23*F23</f>
        <v>56784.797999999995</v>
      </c>
      <c r="H23" s="5">
        <f t="shared" si="5"/>
        <v>1030.0709999999963</v>
      </c>
      <c r="I23" s="27">
        <f t="shared" ref="I23:I25" si="13">IF(ISERROR(H23/D23), "",H23/D23)</f>
        <v>1.8475043380626655E-2</v>
      </c>
    </row>
    <row r="24" spans="1:9" ht="15" x14ac:dyDescent="0.25">
      <c r="A24" s="2" t="s">
        <v>55</v>
      </c>
      <c r="B24" s="11">
        <f>B5</f>
        <v>18970</v>
      </c>
      <c r="C24" s="26">
        <f>VLOOKUP($B$3,'Data-DO NOT PRINT'!$B$3:$AC$11,17,0)</f>
        <v>2.9243999999999999</v>
      </c>
      <c r="D24" s="5">
        <f t="shared" si="10"/>
        <v>55475.867999999995</v>
      </c>
      <c r="E24" s="11">
        <f t="shared" si="11"/>
        <v>18970</v>
      </c>
      <c r="F24" s="26">
        <f>VLOOKUP($B$3,'Data-DO NOT PRINT'!$B$3:$AC$11,28,0)</f>
        <v>2.8481999999999998</v>
      </c>
      <c r="G24" s="5">
        <f t="shared" si="12"/>
        <v>54030.353999999999</v>
      </c>
      <c r="H24" s="5">
        <f t="shared" si="5"/>
        <v>-1445.5139999999956</v>
      </c>
      <c r="I24" s="27">
        <f t="shared" si="13"/>
        <v>-2.6056627000410264E-2</v>
      </c>
    </row>
    <row r="25" spans="1:9" ht="15" x14ac:dyDescent="0.25">
      <c r="A25" s="19" t="s">
        <v>56</v>
      </c>
      <c r="B25" s="17"/>
      <c r="C25" s="22"/>
      <c r="D25" s="18">
        <f>SUM(D22:D24)</f>
        <v>138553.54199999999</v>
      </c>
      <c r="E25" s="17"/>
      <c r="F25" s="22"/>
      <c r="G25" s="18">
        <f>SUM(G22:G24)</f>
        <v>138138.09899999999</v>
      </c>
      <c r="H25" s="18">
        <f>G25-D25</f>
        <v>-415.4429999999993</v>
      </c>
      <c r="I25" s="28">
        <f t="shared" si="13"/>
        <v>-2.9984293003494588E-3</v>
      </c>
    </row>
    <row r="26" spans="1:9" ht="15" x14ac:dyDescent="0.25">
      <c r="A26" s="2" t="s">
        <v>57</v>
      </c>
      <c r="B26" s="11">
        <f>B7</f>
        <v>6229384</v>
      </c>
      <c r="C26" s="26">
        <v>3.3999999999999998E-3</v>
      </c>
      <c r="D26" s="5">
        <f t="shared" ref="D26:D28" si="14">B26*C26</f>
        <v>21179.905599999998</v>
      </c>
      <c r="E26" s="11">
        <f t="shared" ref="E26:E28" si="15">B26</f>
        <v>6229384</v>
      </c>
      <c r="F26" s="26">
        <v>3.3999999999999998E-3</v>
      </c>
      <c r="G26" s="5">
        <f t="shared" ref="G26:G29" si="16">E26*F26</f>
        <v>21179.905599999998</v>
      </c>
      <c r="H26" s="5">
        <f t="shared" si="5"/>
        <v>0</v>
      </c>
      <c r="I26" s="27">
        <f t="shared" ref="I26:I29" si="17">IF(ISERROR(H26/D26), "",H26/D26)</f>
        <v>0</v>
      </c>
    </row>
    <row r="27" spans="1:9" ht="15" x14ac:dyDescent="0.25">
      <c r="A27" s="2" t="s">
        <v>58</v>
      </c>
      <c r="B27" s="11">
        <f>B7</f>
        <v>6229384</v>
      </c>
      <c r="C27" s="26">
        <v>5.0000000000000001E-4</v>
      </c>
      <c r="D27" s="5">
        <f t="shared" si="14"/>
        <v>3114.692</v>
      </c>
      <c r="E27" s="11">
        <f t="shared" si="15"/>
        <v>6229384</v>
      </c>
      <c r="F27" s="26">
        <v>5.0000000000000001E-4</v>
      </c>
      <c r="G27" s="5">
        <f t="shared" si="16"/>
        <v>3114.692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59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66</v>
      </c>
      <c r="B29" s="11">
        <f>B7</f>
        <v>6229384</v>
      </c>
      <c r="C29" s="26">
        <v>0.1101</v>
      </c>
      <c r="D29" s="5">
        <f>B29*C29</f>
        <v>685855.17839999998</v>
      </c>
      <c r="E29" s="11">
        <f>B29</f>
        <v>6229384</v>
      </c>
      <c r="F29" s="26">
        <f>C29</f>
        <v>0.1101</v>
      </c>
      <c r="G29" s="5">
        <f t="shared" si="16"/>
        <v>685855.17839999998</v>
      </c>
      <c r="H29" s="5">
        <f t="shared" si="5"/>
        <v>0</v>
      </c>
      <c r="I29" s="27">
        <f t="shared" si="17"/>
        <v>0</v>
      </c>
    </row>
    <row r="30" spans="1:9" ht="15" x14ac:dyDescent="0.25">
      <c r="A30" s="20"/>
      <c r="B30" s="14"/>
      <c r="C30" s="21"/>
      <c r="D30" s="21"/>
      <c r="E30" s="14"/>
      <c r="F30" s="21"/>
      <c r="G30" s="21"/>
      <c r="H30" s="21"/>
      <c r="I30" s="30"/>
    </row>
    <row r="31" spans="1:9" x14ac:dyDescent="0.3">
      <c r="A31" s="2" t="s">
        <v>60</v>
      </c>
      <c r="D31" s="6">
        <f>SUM(D25:D29)</f>
        <v>848703.56799999997</v>
      </c>
      <c r="E31" s="1"/>
      <c r="F31" s="5"/>
      <c r="G31" s="6">
        <f>SUM(G25:G29)</f>
        <v>848288.125</v>
      </c>
      <c r="H31" s="6">
        <f>G31-D31</f>
        <v>-415.4429999999702</v>
      </c>
      <c r="I31" s="29">
        <f t="shared" ref="I31:I33" si="18">IF(ISERROR(H31/D31), "",H31/D31)</f>
        <v>-4.8950306757750096E-4</v>
      </c>
    </row>
    <row r="32" spans="1:9" x14ac:dyDescent="0.3">
      <c r="A32" s="2" t="s">
        <v>5</v>
      </c>
      <c r="C32" s="7">
        <v>0.13</v>
      </c>
      <c r="D32" s="5">
        <f>C32*D31</f>
        <v>110331.46384</v>
      </c>
      <c r="E32" s="1"/>
      <c r="F32" s="7">
        <v>0.13</v>
      </c>
      <c r="G32" s="5">
        <f>F32*G31</f>
        <v>110277.45625</v>
      </c>
      <c r="H32" s="5">
        <f t="shared" ref="H32" si="19">G32-D32</f>
        <v>-54.007589999993797</v>
      </c>
      <c r="I32" s="27">
        <f t="shared" si="18"/>
        <v>-4.8950306757747993E-4</v>
      </c>
    </row>
    <row r="33" spans="1:9" x14ac:dyDescent="0.3">
      <c r="A33" s="2" t="s">
        <v>62</v>
      </c>
      <c r="D33" s="6">
        <f>SUM(D31:D32)</f>
        <v>959035.03183999995</v>
      </c>
      <c r="E33" s="1"/>
      <c r="F33" s="5"/>
      <c r="G33" s="6">
        <f>SUM(G31:G32)</f>
        <v>958565.58125000005</v>
      </c>
      <c r="H33" s="6">
        <f>G33-D33</f>
        <v>-469.45058999990579</v>
      </c>
      <c r="I33" s="29">
        <f t="shared" si="18"/>
        <v>-4.8950306757743786E-4</v>
      </c>
    </row>
    <row r="34" spans="1:9" x14ac:dyDescent="0.3">
      <c r="A34" s="14"/>
      <c r="B34" s="14"/>
      <c r="C34" s="21"/>
      <c r="D34" s="15"/>
      <c r="E34" s="15"/>
      <c r="F34" s="24"/>
      <c r="G34" s="15"/>
      <c r="H34" s="21"/>
      <c r="I34" s="30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6:I21 D23:H24 D22:H22 D25:H25 I23:I24 D15:H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26" sqref="G26"/>
    </sheetView>
  </sheetViews>
  <sheetFormatPr defaultRowHeight="14.4" x14ac:dyDescent="0.3"/>
  <cols>
    <col min="1" max="1" width="57.44140625" style="1" bestFit="1" customWidth="1"/>
    <col min="2" max="2" width="19.6640625" style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6" t="s">
        <v>97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63</v>
      </c>
    </row>
    <row r="4" spans="1:9" ht="15" x14ac:dyDescent="0.25">
      <c r="A4" s="2" t="s">
        <v>65</v>
      </c>
      <c r="B4" s="10">
        <v>750</v>
      </c>
    </row>
    <row r="5" spans="1:9" ht="15" x14ac:dyDescent="0.25">
      <c r="A5" s="2" t="s">
        <v>4</v>
      </c>
      <c r="B5" s="10">
        <f>VLOOKUP(B3,'Data-DO NOT PRINT'!B3:Y11,5,0)</f>
        <v>1.0654999999999999</v>
      </c>
    </row>
    <row r="6" spans="1:9" ht="15" x14ac:dyDescent="0.25">
      <c r="A6" s="2" t="s">
        <v>67</v>
      </c>
      <c r="B6" s="10">
        <f>B4*B5</f>
        <v>799.12499999999989</v>
      </c>
    </row>
    <row r="7" spans="1:9" ht="15" x14ac:dyDescent="0.25">
      <c r="A7" s="2"/>
      <c r="B7" s="10"/>
    </row>
    <row r="8" spans="1:9" ht="15" x14ac:dyDescent="0.25">
      <c r="B8" s="83" t="s">
        <v>38</v>
      </c>
      <c r="C8" s="83"/>
      <c r="D8" s="83"/>
      <c r="E8" s="83" t="s">
        <v>100</v>
      </c>
      <c r="F8" s="83"/>
      <c r="G8" s="83"/>
      <c r="H8" s="83" t="s">
        <v>39</v>
      </c>
      <c r="I8" s="83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40</v>
      </c>
      <c r="I9" s="29" t="s">
        <v>41</v>
      </c>
    </row>
    <row r="10" spans="1:9" ht="15" x14ac:dyDescent="0.25">
      <c r="A10" s="2" t="s">
        <v>43</v>
      </c>
      <c r="B10" s="1">
        <v>1</v>
      </c>
      <c r="C10" s="5">
        <f>VLOOKUP($B$3,'Data-DO NOT PRINT'!$B$3:$AC$11,7,0)</f>
        <v>28.2</v>
      </c>
      <c r="D10" s="5">
        <f t="shared" ref="D10:D13" si="0">B10*C10</f>
        <v>28.2</v>
      </c>
      <c r="E10" s="1">
        <f t="shared" ref="E10:E13" si="1">B10</f>
        <v>1</v>
      </c>
      <c r="F10" s="5">
        <f>VLOOKUP($B$3,'Data-DO NOT PRINT'!$B$3:$AC$11,18,0)</f>
        <v>31.91</v>
      </c>
      <c r="G10" s="5">
        <f t="shared" ref="G10:G13" si="2">E10*F10</f>
        <v>31.91</v>
      </c>
      <c r="H10" s="5">
        <f t="shared" ref="H10:H13" si="3">G10-D10</f>
        <v>3.7100000000000009</v>
      </c>
      <c r="I10" s="27">
        <f>IF(ISERROR(H10/D10), "",H10/D10)</f>
        <v>0.13156028368794329</v>
      </c>
    </row>
    <row r="11" spans="1:9" ht="15" x14ac:dyDescent="0.25">
      <c r="A11" s="2" t="s">
        <v>44</v>
      </c>
      <c r="B11" s="1">
        <f>B4</f>
        <v>750</v>
      </c>
      <c r="C11" s="26">
        <f>VLOOKUP($B$3,'Data-DO NOT PRINT'!$B$3:$AC$11,8,0)</f>
        <v>9.9000000000000008E-3</v>
      </c>
      <c r="D11" s="5">
        <f t="shared" si="0"/>
        <v>7.4250000000000007</v>
      </c>
      <c r="E11" s="1">
        <f t="shared" si="1"/>
        <v>750</v>
      </c>
      <c r="F11" s="26">
        <f>VLOOKUP($B$3,'Data-DO NOT PRINT'!$B$3:$AC$11,19,0)</f>
        <v>5.0000000000000001E-3</v>
      </c>
      <c r="G11" s="5">
        <f t="shared" si="2"/>
        <v>3.75</v>
      </c>
      <c r="H11" s="5">
        <f t="shared" si="3"/>
        <v>-3.6750000000000007</v>
      </c>
      <c r="I11" s="27">
        <f t="shared" ref="I11:I13" si="4">IF(ISERROR(H11/D11), "",H11/D11)</f>
        <v>-0.49494949494949497</v>
      </c>
    </row>
    <row r="12" spans="1:9" ht="15" x14ac:dyDescent="0.25">
      <c r="A12" s="2" t="s">
        <v>45</v>
      </c>
      <c r="B12" s="1">
        <v>1</v>
      </c>
      <c r="C12" s="5">
        <f>VLOOKUP($B$3,'Data-DO NOT PRINT'!$B$3:$AC$11,10,0)</f>
        <v>-0.28000000000000003</v>
      </c>
      <c r="D12" s="5">
        <f t="shared" si="0"/>
        <v>-0.28000000000000003</v>
      </c>
      <c r="E12" s="1">
        <f t="shared" si="1"/>
        <v>1</v>
      </c>
      <c r="F12" s="5">
        <f>VLOOKUP($B$3,'Data-DO NOT PRINT'!$B$3:$AC$11,21,0)</f>
        <v>-0.32</v>
      </c>
      <c r="G12" s="5">
        <f t="shared" si="2"/>
        <v>-0.32</v>
      </c>
      <c r="H12" s="5">
        <f t="shared" si="3"/>
        <v>-3.999999999999998E-2</v>
      </c>
      <c r="I12" s="27">
        <f t="shared" si="4"/>
        <v>0.14285714285714277</v>
      </c>
    </row>
    <row r="13" spans="1:9" ht="15" x14ac:dyDescent="0.25">
      <c r="A13" s="2" t="s">
        <v>46</v>
      </c>
      <c r="B13" s="1">
        <f>B4</f>
        <v>750</v>
      </c>
      <c r="C13" s="26">
        <f>VLOOKUP($B$3,'Data-DO NOT PRINT'!$B$3:$AC$11,11,0)</f>
        <v>-1.4E-3</v>
      </c>
      <c r="D13" s="5">
        <f t="shared" si="0"/>
        <v>-1.05</v>
      </c>
      <c r="E13" s="1">
        <f t="shared" si="1"/>
        <v>750</v>
      </c>
      <c r="F13" s="26">
        <f>VLOOKUP($B$3,'Data-DO NOT PRINT'!$B$3:$AC$11,22,0)</f>
        <v>1E-4</v>
      </c>
      <c r="G13" s="5">
        <f t="shared" si="2"/>
        <v>7.4999999999999997E-2</v>
      </c>
      <c r="H13" s="5">
        <f t="shared" si="3"/>
        <v>1.125</v>
      </c>
      <c r="I13" s="27">
        <f t="shared" si="4"/>
        <v>-1.0714285714285714</v>
      </c>
    </row>
    <row r="14" spans="1:9" ht="15" x14ac:dyDescent="0.25">
      <c r="A14" s="19" t="s">
        <v>47</v>
      </c>
      <c r="B14" s="17"/>
      <c r="C14" s="22"/>
      <c r="D14" s="18">
        <f>SUM(D10:D13)</f>
        <v>34.295000000000002</v>
      </c>
      <c r="E14" s="16"/>
      <c r="F14" s="18"/>
      <c r="G14" s="18">
        <f>SUM(G10:G13)</f>
        <v>35.414999999999999</v>
      </c>
      <c r="H14" s="18">
        <f>G14-D14</f>
        <v>1.1199999999999974</v>
      </c>
      <c r="I14" s="28">
        <f>H14/D14</f>
        <v>3.2657821839918277E-2</v>
      </c>
    </row>
    <row r="15" spans="1:9" ht="15" x14ac:dyDescent="0.25">
      <c r="A15" s="2" t="s">
        <v>48</v>
      </c>
      <c r="B15" s="8">
        <f>B6-B4</f>
        <v>49.124999999999886</v>
      </c>
      <c r="C15" s="26">
        <f>C29</f>
        <v>0.1101</v>
      </c>
      <c r="D15" s="5">
        <f>B15*C15</f>
        <v>5.4086624999999877</v>
      </c>
      <c r="E15" s="8">
        <f>B15</f>
        <v>49.124999999999886</v>
      </c>
      <c r="F15" s="26">
        <f>C15</f>
        <v>0.1101</v>
      </c>
      <c r="G15" s="5">
        <f>E15*F15</f>
        <v>5.4086624999999877</v>
      </c>
      <c r="H15" s="5">
        <f t="shared" ref="H15:H29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99</v>
      </c>
      <c r="B17" s="1">
        <f>B4</f>
        <v>750</v>
      </c>
      <c r="C17" s="26">
        <f>VLOOKUP($B$3,'Data-DO NOT PRINT'!$B$3:$AC$11,13,0)</f>
        <v>0</v>
      </c>
      <c r="D17" s="5">
        <f>B17*C17</f>
        <v>0</v>
      </c>
      <c r="E17" s="1">
        <f>B17</f>
        <v>750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49</v>
      </c>
      <c r="B18" s="1">
        <f>B4</f>
        <v>750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750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50</v>
      </c>
      <c r="B19" s="1">
        <f>B4</f>
        <v>750</v>
      </c>
      <c r="C19" s="26">
        <f>VLOOKUP($B$3,'Data-DO NOT PRINT'!$B$3:$AC$11,15,0)</f>
        <v>0</v>
      </c>
      <c r="D19" s="5">
        <f t="shared" si="7"/>
        <v>0</v>
      </c>
      <c r="E19" s="1">
        <f>B19</f>
        <v>750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51</v>
      </c>
      <c r="B20" s="1">
        <f>B4</f>
        <v>750</v>
      </c>
      <c r="C20" s="26">
        <f>VLOOKUP($B$3,'Data-DO NOT PRINT'!$B$3:$AC$11,9,0)</f>
        <v>4.0000000000000002E-4</v>
      </c>
      <c r="D20" s="5">
        <f t="shared" si="7"/>
        <v>0.3</v>
      </c>
      <c r="E20" s="1">
        <f>B20</f>
        <v>750</v>
      </c>
      <c r="F20" s="26">
        <f>VLOOKUP($B$3,'Data-DO NOT PRINT'!$B$3:$AC$11,20,0)</f>
        <v>4.0000000000000002E-4</v>
      </c>
      <c r="G20" s="5">
        <f t="shared" si="9"/>
        <v>0.3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52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53</v>
      </c>
      <c r="B22" s="17"/>
      <c r="C22" s="22"/>
      <c r="D22" s="18">
        <f>SUM(D14:D21)</f>
        <v>40.57366249999999</v>
      </c>
      <c r="E22" s="17"/>
      <c r="F22" s="22"/>
      <c r="G22" s="18">
        <f>SUM(G14:G21)</f>
        <v>41.693662499999981</v>
      </c>
      <c r="H22" s="18">
        <f>G22-D22</f>
        <v>1.1199999999999903</v>
      </c>
      <c r="I22" s="28">
        <f>H22/D22</f>
        <v>2.760411387559579E-2</v>
      </c>
    </row>
    <row r="23" spans="1:9" ht="15" x14ac:dyDescent="0.25">
      <c r="A23" s="2" t="s">
        <v>54</v>
      </c>
      <c r="B23" s="8">
        <f>B6</f>
        <v>799.12499999999989</v>
      </c>
      <c r="C23" s="26">
        <f>VLOOKUP($B$3,'Data-DO NOT PRINT'!$B$3:$AC$11,16,0)</f>
        <v>6.4000000000000003E-3</v>
      </c>
      <c r="D23" s="5">
        <f t="shared" ref="D23:D24" si="10">B23*C23</f>
        <v>5.1143999999999998</v>
      </c>
      <c r="E23" s="8">
        <f t="shared" ref="E23:E24" si="11">B23</f>
        <v>799.12499999999989</v>
      </c>
      <c r="F23" s="26">
        <f>VLOOKUP($B$3,'Data-DO NOT PRINT'!$B$3:$AC$11,27,0)</f>
        <v>6.4999999999999997E-3</v>
      </c>
      <c r="G23" s="5">
        <f t="shared" ref="G23:G24" si="12">E23*F23</f>
        <v>5.1943124999999988</v>
      </c>
      <c r="H23" s="5">
        <f t="shared" si="5"/>
        <v>7.9912499999998943E-2</v>
      </c>
      <c r="I23" s="27">
        <f t="shared" ref="I23:I24" si="13">IF(ISERROR(H23/D23), "",H23/D23)</f>
        <v>1.5624999999999794E-2</v>
      </c>
    </row>
    <row r="24" spans="1:9" ht="15" x14ac:dyDescent="0.25">
      <c r="A24" s="2" t="s">
        <v>55</v>
      </c>
      <c r="B24" s="8">
        <f>B6</f>
        <v>799.12499999999989</v>
      </c>
      <c r="C24" s="26">
        <f>VLOOKUP($B$3,'Data-DO NOT PRINT'!$B$3:$AC$11,17,0)</f>
        <v>6.0000000000000001E-3</v>
      </c>
      <c r="D24" s="5">
        <f t="shared" si="10"/>
        <v>4.7947499999999996</v>
      </c>
      <c r="E24" s="8">
        <f t="shared" si="11"/>
        <v>799.12499999999989</v>
      </c>
      <c r="F24" s="26">
        <f>VLOOKUP($B$3,'Data-DO NOT PRINT'!$B$3:$AC$11,28,0)</f>
        <v>5.7999999999999996E-3</v>
      </c>
      <c r="G24" s="5">
        <f t="shared" si="12"/>
        <v>4.6349249999999991</v>
      </c>
      <c r="H24" s="5">
        <f t="shared" si="5"/>
        <v>-0.15982500000000055</v>
      </c>
      <c r="I24" s="27">
        <f t="shared" si="13"/>
        <v>-3.3333333333333451E-2</v>
      </c>
    </row>
    <row r="25" spans="1:9" ht="15" x14ac:dyDescent="0.25">
      <c r="A25" s="19" t="s">
        <v>56</v>
      </c>
      <c r="B25" s="17"/>
      <c r="C25" s="22"/>
      <c r="D25" s="18">
        <f>SUM(D22:D24)</f>
        <v>50.482812499999987</v>
      </c>
      <c r="E25" s="17"/>
      <c r="F25" s="22"/>
      <c r="G25" s="18">
        <f>SUM(G22:G24)</f>
        <v>51.522899999999979</v>
      </c>
      <c r="H25" s="18">
        <f>G25-D25</f>
        <v>1.0400874999999914</v>
      </c>
      <c r="I25" s="28">
        <f>H25/D25</f>
        <v>2.060280417221191E-2</v>
      </c>
    </row>
    <row r="26" spans="1:9" ht="15" x14ac:dyDescent="0.25">
      <c r="A26" s="2" t="s">
        <v>57</v>
      </c>
      <c r="B26" s="8">
        <f>B6</f>
        <v>799.12499999999989</v>
      </c>
      <c r="C26" s="26">
        <v>3.3999999999999998E-3</v>
      </c>
      <c r="D26" s="5">
        <f t="shared" ref="D26:D28" si="14">B26*C26</f>
        <v>2.7170249999999996</v>
      </c>
      <c r="E26" s="8">
        <f t="shared" ref="E26:E28" si="15">B26</f>
        <v>799.12499999999989</v>
      </c>
      <c r="F26" s="26">
        <v>3.3999999999999998E-3</v>
      </c>
      <c r="G26" s="5">
        <f t="shared" ref="G26:G29" si="16">E26*F26</f>
        <v>2.7170249999999996</v>
      </c>
      <c r="H26" s="5">
        <f t="shared" si="5"/>
        <v>0</v>
      </c>
      <c r="I26" s="27">
        <f t="shared" ref="I26:I29" si="17">IF(ISERROR(H26/D26), "",H26/D26)</f>
        <v>0</v>
      </c>
    </row>
    <row r="27" spans="1:9" ht="15" x14ac:dyDescent="0.25">
      <c r="A27" s="2" t="s">
        <v>58</v>
      </c>
      <c r="B27" s="8">
        <f>B6</f>
        <v>799.12499999999989</v>
      </c>
      <c r="C27" s="26">
        <v>5.0000000000000001E-4</v>
      </c>
      <c r="D27" s="5">
        <f t="shared" si="14"/>
        <v>0.39956249999999993</v>
      </c>
      <c r="E27" s="8">
        <f t="shared" si="15"/>
        <v>799.12499999999989</v>
      </c>
      <c r="F27" s="26">
        <v>5.0000000000000001E-4</v>
      </c>
      <c r="G27" s="5">
        <f t="shared" si="16"/>
        <v>0.39956249999999993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59</v>
      </c>
      <c r="B28" s="1">
        <v>1</v>
      </c>
      <c r="C28" s="5">
        <v>0</v>
      </c>
      <c r="D28" s="5">
        <f t="shared" si="14"/>
        <v>0</v>
      </c>
      <c r="E28" s="1">
        <f t="shared" si="15"/>
        <v>1</v>
      </c>
      <c r="F28" s="5">
        <f>C28</f>
        <v>0</v>
      </c>
      <c r="G28" s="5">
        <f t="shared" si="16"/>
        <v>0</v>
      </c>
      <c r="H28" s="5">
        <f t="shared" si="5"/>
        <v>0</v>
      </c>
      <c r="I28" s="27" t="str">
        <f t="shared" si="17"/>
        <v/>
      </c>
    </row>
    <row r="29" spans="1:9" ht="15" x14ac:dyDescent="0.25">
      <c r="A29" s="2" t="s">
        <v>93</v>
      </c>
      <c r="B29" s="1">
        <f>IF($B$4&gt;1000,1000,$B$4)</f>
        <v>750</v>
      </c>
      <c r="C29" s="26">
        <v>0.1101</v>
      </c>
      <c r="D29" s="5">
        <f>B29*C29</f>
        <v>82.575000000000003</v>
      </c>
      <c r="E29" s="1">
        <f>B29</f>
        <v>750</v>
      </c>
      <c r="F29" s="26">
        <f>C29</f>
        <v>0.1101</v>
      </c>
      <c r="G29" s="5">
        <f t="shared" si="16"/>
        <v>82.575000000000003</v>
      </c>
      <c r="H29" s="5">
        <f t="shared" si="5"/>
        <v>0</v>
      </c>
      <c r="I29" s="27">
        <f t="shared" si="17"/>
        <v>0</v>
      </c>
    </row>
    <row r="30" spans="1:9" ht="15" x14ac:dyDescent="0.25">
      <c r="A30" s="20"/>
      <c r="B30" s="14"/>
      <c r="C30" s="21"/>
      <c r="D30" s="21"/>
      <c r="E30" s="14"/>
      <c r="F30" s="21"/>
      <c r="G30" s="21"/>
      <c r="H30" s="21"/>
      <c r="I30" s="30"/>
    </row>
    <row r="31" spans="1:9" x14ac:dyDescent="0.3">
      <c r="A31" s="2" t="s">
        <v>60</v>
      </c>
      <c r="D31" s="6">
        <f>SUM(D25:D29)</f>
        <v>136.17439999999999</v>
      </c>
      <c r="E31" s="1"/>
      <c r="F31" s="5"/>
      <c r="G31" s="6">
        <f>SUM(G25:G29)</f>
        <v>137.21448749999999</v>
      </c>
      <c r="H31" s="6">
        <f>G31-D31</f>
        <v>1.0400874999999985</v>
      </c>
      <c r="I31" s="29">
        <f t="shared" ref="I31:I34" si="18">IF(ISERROR(H31/D31), "",H31/D31)</f>
        <v>7.6379077124628311E-3</v>
      </c>
    </row>
    <row r="32" spans="1:9" x14ac:dyDescent="0.3">
      <c r="A32" s="2" t="s">
        <v>5</v>
      </c>
      <c r="C32" s="7">
        <v>0.13</v>
      </c>
      <c r="D32" s="5">
        <f>C32*D31</f>
        <v>17.702672</v>
      </c>
      <c r="E32" s="1"/>
      <c r="F32" s="7">
        <v>0.13</v>
      </c>
      <c r="G32" s="5">
        <f>F32*G31</f>
        <v>17.837883375000001</v>
      </c>
      <c r="H32" s="5">
        <f t="shared" ref="H32:H33" si="19">G32-D32</f>
        <v>0.1352113750000008</v>
      </c>
      <c r="I32" s="27">
        <f t="shared" si="18"/>
        <v>7.6379077124628866E-3</v>
      </c>
    </row>
    <row r="33" spans="1:9" x14ac:dyDescent="0.3">
      <c r="A33" s="2" t="s">
        <v>61</v>
      </c>
      <c r="C33" s="7">
        <v>-0.08</v>
      </c>
      <c r="D33" s="5">
        <f>C33*D31</f>
        <v>-10.893951999999999</v>
      </c>
      <c r="E33" s="1"/>
      <c r="F33" s="7">
        <v>-0.08</v>
      </c>
      <c r="G33" s="5">
        <f>F33*G31</f>
        <v>-10.977158999999999</v>
      </c>
      <c r="H33" s="5">
        <f t="shared" si="19"/>
        <v>-8.3206999999999809E-2</v>
      </c>
      <c r="I33" s="27">
        <f t="shared" si="18"/>
        <v>7.6379077124628251E-3</v>
      </c>
    </row>
    <row r="34" spans="1:9" x14ac:dyDescent="0.3">
      <c r="A34" s="2" t="s">
        <v>62</v>
      </c>
      <c r="D34" s="6">
        <f>SUM(D31:D33)</f>
        <v>142.98311999999999</v>
      </c>
      <c r="E34" s="1"/>
      <c r="F34" s="5"/>
      <c r="G34" s="6">
        <f>SUM(G31:G33)</f>
        <v>144.07521187499998</v>
      </c>
      <c r="H34" s="6">
        <f>G34-D34</f>
        <v>1.0920918749999942</v>
      </c>
      <c r="I34" s="29">
        <f t="shared" si="18"/>
        <v>7.6379077124628016E-3</v>
      </c>
    </row>
    <row r="35" spans="1:9" x14ac:dyDescent="0.3">
      <c r="A35" s="14"/>
      <c r="B35" s="14"/>
      <c r="C35" s="21"/>
      <c r="D35" s="15"/>
      <c r="E35" s="15"/>
      <c r="F35" s="24"/>
      <c r="G35" s="15"/>
      <c r="H35" s="21"/>
      <c r="I35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H26" sqref="H26"/>
    </sheetView>
  </sheetViews>
  <sheetFormatPr defaultRowHeight="14.4" x14ac:dyDescent="0.3"/>
  <cols>
    <col min="1" max="1" width="57.44140625" style="1" bestFit="1" customWidth="1"/>
    <col min="2" max="2" width="19.6640625" style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6" t="s">
        <v>97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95</v>
      </c>
    </row>
    <row r="4" spans="1:9" ht="15" x14ac:dyDescent="0.25">
      <c r="A4" s="2" t="s">
        <v>65</v>
      </c>
      <c r="B4" s="31">
        <f>VLOOKUP($B$3,'Data-DO NOT PRINT'!$B$3:$AC$11,2,0)</f>
        <v>2000</v>
      </c>
    </row>
    <row r="5" spans="1:9" ht="15" x14ac:dyDescent="0.25">
      <c r="A5" s="2" t="s">
        <v>4</v>
      </c>
      <c r="B5" s="10">
        <f>VLOOKUP(B3,'Data-DO NOT PRINT'!B3:Y11,5,0)</f>
        <v>1.0654999999999999</v>
      </c>
    </row>
    <row r="6" spans="1:9" ht="15" x14ac:dyDescent="0.25">
      <c r="A6" s="2" t="s">
        <v>67</v>
      </c>
      <c r="B6" s="31">
        <f>B4*B5</f>
        <v>2131</v>
      </c>
    </row>
    <row r="7" spans="1:9" ht="15" x14ac:dyDescent="0.25">
      <c r="A7" s="2"/>
      <c r="B7" s="10"/>
    </row>
    <row r="8" spans="1:9" ht="15" x14ac:dyDescent="0.25">
      <c r="B8" s="83" t="s">
        <v>38</v>
      </c>
      <c r="C8" s="83"/>
      <c r="D8" s="83"/>
      <c r="E8" s="83" t="s">
        <v>100</v>
      </c>
      <c r="F8" s="83"/>
      <c r="G8" s="83"/>
      <c r="H8" s="83" t="s">
        <v>39</v>
      </c>
      <c r="I8" s="83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40</v>
      </c>
      <c r="I9" s="29" t="s">
        <v>41</v>
      </c>
    </row>
    <row r="10" spans="1:9" ht="15" x14ac:dyDescent="0.25">
      <c r="A10" s="2" t="s">
        <v>43</v>
      </c>
      <c r="B10" s="1">
        <v>1</v>
      </c>
      <c r="C10" s="5">
        <f>VLOOKUP($B$3,'Data-DO NOT PRINT'!$B$3:$AC$11,7,0)</f>
        <v>26.94</v>
      </c>
      <c r="D10" s="5">
        <f t="shared" ref="D10:D13" si="0">B10*C10</f>
        <v>26.94</v>
      </c>
      <c r="E10" s="1">
        <f t="shared" ref="E10:E13" si="1">B10</f>
        <v>1</v>
      </c>
      <c r="F10" s="5">
        <f>VLOOKUP($B$3,'Data-DO NOT PRINT'!$B$3:$AC$11,18,0)</f>
        <v>26.94</v>
      </c>
      <c r="G10" s="5">
        <f t="shared" ref="G10:G13" si="2">E10*F10</f>
        <v>26.94</v>
      </c>
      <c r="H10" s="5">
        <f t="shared" ref="H10:H13" si="3">G10-D10</f>
        <v>0</v>
      </c>
      <c r="I10" s="27">
        <f>IF(ISERROR(H10/D10), "",H10/D10)</f>
        <v>0</v>
      </c>
    </row>
    <row r="11" spans="1:9" ht="15" x14ac:dyDescent="0.25">
      <c r="A11" s="2" t="s">
        <v>44</v>
      </c>
      <c r="B11" s="11">
        <f>B4</f>
        <v>2000</v>
      </c>
      <c r="C11" s="26">
        <f>VLOOKUP($B$3,'Data-DO NOT PRINT'!$B$3:$AC$11,8,0)</f>
        <v>1.9E-2</v>
      </c>
      <c r="D11" s="5">
        <f t="shared" si="0"/>
        <v>38</v>
      </c>
      <c r="E11" s="11">
        <f t="shared" si="1"/>
        <v>2000</v>
      </c>
      <c r="F11" s="26">
        <f>VLOOKUP($B$3,'Data-DO NOT PRINT'!$B$3:$AC$11,19,0)</f>
        <v>1.9E-2</v>
      </c>
      <c r="G11" s="5">
        <f t="shared" si="2"/>
        <v>38</v>
      </c>
      <c r="H11" s="5">
        <f t="shared" si="3"/>
        <v>0</v>
      </c>
      <c r="I11" s="27">
        <f t="shared" ref="I11:I13" si="4">IF(ISERROR(H11/D11), "",H11/D11)</f>
        <v>0</v>
      </c>
    </row>
    <row r="12" spans="1:9" ht="15" x14ac:dyDescent="0.25">
      <c r="A12" s="2" t="s">
        <v>45</v>
      </c>
      <c r="B12" s="1">
        <v>1</v>
      </c>
      <c r="C12" s="5">
        <f>VLOOKUP($B$3,'Data-DO NOT PRINT'!$B$3:$AC$11,10,0)</f>
        <v>-0.27</v>
      </c>
      <c r="D12" s="5">
        <f t="shared" si="0"/>
        <v>-0.27</v>
      </c>
      <c r="E12" s="1">
        <f t="shared" si="1"/>
        <v>1</v>
      </c>
      <c r="F12" s="5">
        <f>VLOOKUP($B$3,'Data-DO NOT PRINT'!$B$3:$AC$11,21,0)</f>
        <v>-0.27</v>
      </c>
      <c r="G12" s="5">
        <f t="shared" si="2"/>
        <v>-0.27</v>
      </c>
      <c r="H12" s="5">
        <f t="shared" si="3"/>
        <v>0</v>
      </c>
      <c r="I12" s="27">
        <f t="shared" si="4"/>
        <v>0</v>
      </c>
    </row>
    <row r="13" spans="1:9" ht="15" x14ac:dyDescent="0.25">
      <c r="A13" s="2" t="s">
        <v>46</v>
      </c>
      <c r="B13" s="11">
        <f>B4</f>
        <v>2000</v>
      </c>
      <c r="C13" s="26">
        <f>VLOOKUP($B$3,'Data-DO NOT PRINT'!$B$3:$AC$11,11,0)</f>
        <v>-1E-3</v>
      </c>
      <c r="D13" s="5">
        <f t="shared" si="0"/>
        <v>-2</v>
      </c>
      <c r="E13" s="11">
        <f t="shared" si="1"/>
        <v>2000</v>
      </c>
      <c r="F13" s="26">
        <f>VLOOKUP($B$3,'Data-DO NOT PRINT'!$B$3:$AC$11,22,0)</f>
        <v>0</v>
      </c>
      <c r="G13" s="5">
        <f t="shared" si="2"/>
        <v>0</v>
      </c>
      <c r="H13" s="5">
        <f t="shared" si="3"/>
        <v>2</v>
      </c>
      <c r="I13" s="27">
        <f t="shared" si="4"/>
        <v>-1</v>
      </c>
    </row>
    <row r="14" spans="1:9" ht="15" x14ac:dyDescent="0.25">
      <c r="A14" s="19" t="s">
        <v>47</v>
      </c>
      <c r="B14" s="17"/>
      <c r="C14" s="22"/>
      <c r="D14" s="18">
        <f>SUM(D10:D13)</f>
        <v>62.67</v>
      </c>
      <c r="E14" s="16"/>
      <c r="F14" s="18"/>
      <c r="G14" s="18">
        <f>SUM(G10:G13)</f>
        <v>64.67</v>
      </c>
      <c r="H14" s="18">
        <f>G14-D14</f>
        <v>2</v>
      </c>
      <c r="I14" s="28">
        <f>H14/D14</f>
        <v>3.1913196106590075E-2</v>
      </c>
    </row>
    <row r="15" spans="1:9" ht="15" x14ac:dyDescent="0.25">
      <c r="A15" s="2" t="s">
        <v>48</v>
      </c>
      <c r="B15" s="11">
        <f>B6-B4</f>
        <v>131</v>
      </c>
      <c r="C15" s="25">
        <f>C29</f>
        <v>0.1101</v>
      </c>
      <c r="D15" s="5">
        <f>B15*C15</f>
        <v>14.4231</v>
      </c>
      <c r="E15" s="11">
        <f>B15</f>
        <v>131</v>
      </c>
      <c r="F15" s="25">
        <f>C15</f>
        <v>0.1101</v>
      </c>
      <c r="G15" s="5">
        <f>E15*F15</f>
        <v>14.4231</v>
      </c>
      <c r="H15" s="5">
        <f t="shared" ref="H15:H29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99</v>
      </c>
      <c r="B17" s="11">
        <f>B4</f>
        <v>2000</v>
      </c>
      <c r="C17" s="26">
        <f>VLOOKUP($B$3,'Data-DO NOT PRINT'!$B$3:$AC$11,13,0)</f>
        <v>0</v>
      </c>
      <c r="D17" s="5">
        <f>B17*C17</f>
        <v>0</v>
      </c>
      <c r="E17" s="11">
        <f>B17</f>
        <v>2000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49</v>
      </c>
      <c r="B18" s="11">
        <f>B4</f>
        <v>2000</v>
      </c>
      <c r="C18" s="26">
        <f>VLOOKUP($B$3,'Data-DO NOT PRINT'!$B$3:$AC$11,14,0)</f>
        <v>0</v>
      </c>
      <c r="D18" s="5">
        <f t="shared" ref="D18:D21" si="7">B18*C18</f>
        <v>0</v>
      </c>
      <c r="E18" s="11">
        <f t="shared" ref="E18:E21" si="8">B18</f>
        <v>2000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50</v>
      </c>
      <c r="B19" s="11">
        <f>B4</f>
        <v>2000</v>
      </c>
      <c r="C19" s="26">
        <f>VLOOKUP($B$3,'Data-DO NOT PRINT'!$B$3:$AC$11,15,0)</f>
        <v>0</v>
      </c>
      <c r="D19" s="5">
        <f t="shared" si="7"/>
        <v>0</v>
      </c>
      <c r="E19" s="11">
        <f>B19</f>
        <v>2000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51</v>
      </c>
      <c r="B20" s="11">
        <f>B4</f>
        <v>2000</v>
      </c>
      <c r="C20" s="26">
        <f>VLOOKUP($B$3,'Data-DO NOT PRINT'!$B$3:$AC$11,9,0)</f>
        <v>4.0000000000000002E-4</v>
      </c>
      <c r="D20" s="5">
        <f t="shared" si="7"/>
        <v>0.8</v>
      </c>
      <c r="E20" s="11">
        <f>B20</f>
        <v>2000</v>
      </c>
      <c r="F20" s="26">
        <f>VLOOKUP($B$3,'Data-DO NOT PRINT'!$B$3:$AC$11,20,0)</f>
        <v>4.0000000000000002E-4</v>
      </c>
      <c r="G20" s="5">
        <f t="shared" si="9"/>
        <v>0.8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52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53</v>
      </c>
      <c r="B22" s="17"/>
      <c r="C22" s="22"/>
      <c r="D22" s="18">
        <f>SUM(D14:D21)</f>
        <v>78.463099999999997</v>
      </c>
      <c r="E22" s="17"/>
      <c r="F22" s="22"/>
      <c r="G22" s="18">
        <f>SUM(G14:G21)</f>
        <v>80.463099999999997</v>
      </c>
      <c r="H22" s="18">
        <f>G22-D22</f>
        <v>2</v>
      </c>
      <c r="I22" s="28">
        <f>H22/D22</f>
        <v>2.5489688783644798E-2</v>
      </c>
    </row>
    <row r="23" spans="1:9" ht="15" x14ac:dyDescent="0.25">
      <c r="A23" s="2" t="s">
        <v>54</v>
      </c>
      <c r="B23" s="11">
        <f>B6</f>
        <v>2131</v>
      </c>
      <c r="C23" s="26">
        <f>VLOOKUP($B$3,'Data-DO NOT PRINT'!$B$3:$AC$11,16,0)</f>
        <v>5.7999999999999996E-3</v>
      </c>
      <c r="D23" s="5">
        <f t="shared" ref="D23:D24" si="10">B23*C23</f>
        <v>12.3598</v>
      </c>
      <c r="E23" s="11">
        <f t="shared" ref="E23:E24" si="11">B23</f>
        <v>2131</v>
      </c>
      <c r="F23" s="26">
        <f>VLOOKUP($B$3,'Data-DO NOT PRINT'!$B$3:$AC$11,27,0)</f>
        <v>5.8999999999999999E-3</v>
      </c>
      <c r="G23" s="5">
        <f t="shared" ref="G23:G24" si="12">E23*F23</f>
        <v>12.572899999999999</v>
      </c>
      <c r="H23" s="5">
        <f t="shared" si="5"/>
        <v>0.21309999999999896</v>
      </c>
      <c r="I23" s="27">
        <f t="shared" ref="I23:I24" si="13">IF(ISERROR(H23/D23), "",H23/D23)</f>
        <v>1.7241379310344744E-2</v>
      </c>
    </row>
    <row r="24" spans="1:9" ht="15" x14ac:dyDescent="0.25">
      <c r="A24" s="2" t="s">
        <v>55</v>
      </c>
      <c r="B24" s="11">
        <f>B6</f>
        <v>2131</v>
      </c>
      <c r="C24" s="26">
        <f>VLOOKUP($B$3,'Data-DO NOT PRINT'!$B$3:$AC$11,17,0)</f>
        <v>5.4999999999999997E-3</v>
      </c>
      <c r="D24" s="5">
        <f t="shared" si="10"/>
        <v>11.720499999999999</v>
      </c>
      <c r="E24" s="11">
        <f t="shared" si="11"/>
        <v>2131</v>
      </c>
      <c r="F24" s="26">
        <f>VLOOKUP($B$3,'Data-DO NOT PRINT'!$B$3:$AC$11,28,0)</f>
        <v>5.4000000000000003E-3</v>
      </c>
      <c r="G24" s="5">
        <f t="shared" si="12"/>
        <v>11.507400000000001</v>
      </c>
      <c r="H24" s="5">
        <f t="shared" si="5"/>
        <v>-0.21309999999999896</v>
      </c>
      <c r="I24" s="27">
        <f t="shared" si="13"/>
        <v>-1.8181818181818094E-2</v>
      </c>
    </row>
    <row r="25" spans="1:9" ht="15" x14ac:dyDescent="0.25">
      <c r="A25" s="19" t="s">
        <v>56</v>
      </c>
      <c r="B25" s="17"/>
      <c r="C25" s="22"/>
      <c r="D25" s="18">
        <f>SUM(D22:D24)</f>
        <v>102.54340000000001</v>
      </c>
      <c r="E25" s="17"/>
      <c r="F25" s="22"/>
      <c r="G25" s="18">
        <f>SUM(G22:G24)</f>
        <v>104.54340000000001</v>
      </c>
      <c r="H25" s="18">
        <f>G25-D25</f>
        <v>2</v>
      </c>
      <c r="I25" s="28">
        <f>H25/D25</f>
        <v>1.9503936869657141E-2</v>
      </c>
    </row>
    <row r="26" spans="1:9" ht="15" x14ac:dyDescent="0.25">
      <c r="A26" s="2" t="s">
        <v>57</v>
      </c>
      <c r="B26" s="11">
        <f>B6</f>
        <v>2131</v>
      </c>
      <c r="C26" s="26">
        <v>3.3999999999999998E-3</v>
      </c>
      <c r="D26" s="5">
        <f t="shared" ref="D26:D28" si="14">B26*C26</f>
        <v>7.2453999999999992</v>
      </c>
      <c r="E26" s="11">
        <f t="shared" ref="E26:E28" si="15">B26</f>
        <v>2131</v>
      </c>
      <c r="F26" s="26">
        <v>3.3999999999999998E-3</v>
      </c>
      <c r="G26" s="5">
        <f t="shared" ref="G26:G29" si="16">E26*F26</f>
        <v>7.2453999999999992</v>
      </c>
      <c r="H26" s="5">
        <f t="shared" si="5"/>
        <v>0</v>
      </c>
      <c r="I26" s="27">
        <f t="shared" ref="I26:I29" si="17">IF(ISERROR(H26/D26), "",H26/D26)</f>
        <v>0</v>
      </c>
    </row>
    <row r="27" spans="1:9" ht="15" x14ac:dyDescent="0.25">
      <c r="A27" s="2" t="s">
        <v>58</v>
      </c>
      <c r="B27" s="11">
        <f>B6</f>
        <v>2131</v>
      </c>
      <c r="C27" s="26">
        <v>5.0000000000000001E-4</v>
      </c>
      <c r="D27" s="5">
        <f t="shared" si="14"/>
        <v>1.0655000000000001</v>
      </c>
      <c r="E27" s="11">
        <f t="shared" si="15"/>
        <v>2131</v>
      </c>
      <c r="F27" s="26">
        <v>5.0000000000000001E-4</v>
      </c>
      <c r="G27" s="5">
        <f t="shared" si="16"/>
        <v>1.0655000000000001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59</v>
      </c>
      <c r="B28" s="11">
        <v>1</v>
      </c>
      <c r="C28" s="5">
        <v>0</v>
      </c>
      <c r="D28" s="5">
        <f t="shared" si="14"/>
        <v>0</v>
      </c>
      <c r="E28" s="1">
        <f t="shared" si="15"/>
        <v>1</v>
      </c>
      <c r="F28" s="5">
        <f>C28</f>
        <v>0</v>
      </c>
      <c r="G28" s="5">
        <f t="shared" si="16"/>
        <v>0</v>
      </c>
      <c r="H28" s="5">
        <f t="shared" si="5"/>
        <v>0</v>
      </c>
      <c r="I28" s="27" t="str">
        <f t="shared" si="17"/>
        <v/>
      </c>
    </row>
    <row r="29" spans="1:9" ht="15" x14ac:dyDescent="0.25">
      <c r="A29" s="2" t="s">
        <v>93</v>
      </c>
      <c r="B29" s="11">
        <f>IF($B$4&gt;750,750,$B$4)</f>
        <v>750</v>
      </c>
      <c r="C29" s="25">
        <v>0.1101</v>
      </c>
      <c r="D29" s="5">
        <f>B29*C29</f>
        <v>82.575000000000003</v>
      </c>
      <c r="E29" s="11">
        <f>B29</f>
        <v>750</v>
      </c>
      <c r="F29" s="25">
        <f>C29</f>
        <v>0.1101</v>
      </c>
      <c r="G29" s="5">
        <f t="shared" si="16"/>
        <v>82.575000000000003</v>
      </c>
      <c r="H29" s="5">
        <f t="shared" si="5"/>
        <v>0</v>
      </c>
      <c r="I29" s="27">
        <f t="shared" si="17"/>
        <v>0</v>
      </c>
    </row>
    <row r="30" spans="1:9" ht="15" x14ac:dyDescent="0.25">
      <c r="A30" s="20"/>
      <c r="B30" s="14"/>
      <c r="C30" s="21"/>
      <c r="D30" s="21"/>
      <c r="E30" s="14"/>
      <c r="F30" s="21"/>
      <c r="G30" s="21"/>
      <c r="H30" s="21"/>
      <c r="I30" s="30"/>
    </row>
    <row r="31" spans="1:9" x14ac:dyDescent="0.3">
      <c r="A31" s="2" t="s">
        <v>60</v>
      </c>
      <c r="D31" s="6">
        <f>SUM(D25:D29)</f>
        <v>193.42930000000001</v>
      </c>
      <c r="E31" s="1"/>
      <c r="F31" s="5"/>
      <c r="G31" s="6">
        <f>SUM(G25:G29)</f>
        <v>195.42930000000001</v>
      </c>
      <c r="H31" s="6">
        <f>G31-D31</f>
        <v>2</v>
      </c>
      <c r="I31" s="29">
        <f t="shared" ref="I31:I34" si="18">IF(ISERROR(H31/D31), "",H31/D31)</f>
        <v>1.0339695175446532E-2</v>
      </c>
    </row>
    <row r="32" spans="1:9" x14ac:dyDescent="0.3">
      <c r="A32" s="2" t="s">
        <v>5</v>
      </c>
      <c r="C32" s="7">
        <v>0.13</v>
      </c>
      <c r="D32" s="5">
        <f>C32*D31</f>
        <v>25.145809000000003</v>
      </c>
      <c r="E32" s="1"/>
      <c r="F32" s="7">
        <v>0.13</v>
      </c>
      <c r="G32" s="5">
        <f>F32*G31</f>
        <v>25.405809000000001</v>
      </c>
      <c r="H32" s="5">
        <f t="shared" ref="H32:H33" si="19">G32-D32</f>
        <v>0.25999999999999801</v>
      </c>
      <c r="I32" s="27">
        <f t="shared" si="18"/>
        <v>1.0339695175446452E-2</v>
      </c>
    </row>
    <row r="33" spans="1:9" x14ac:dyDescent="0.3">
      <c r="A33" s="2" t="s">
        <v>61</v>
      </c>
      <c r="C33" s="7">
        <v>-0.08</v>
      </c>
      <c r="D33" s="5">
        <f>C33*D31</f>
        <v>-15.474344000000002</v>
      </c>
      <c r="E33" s="1"/>
      <c r="F33" s="7">
        <v>-0.08</v>
      </c>
      <c r="G33" s="5">
        <f>F33*G31</f>
        <v>-15.634344</v>
      </c>
      <c r="H33" s="5">
        <f t="shared" si="19"/>
        <v>-0.15999999999999837</v>
      </c>
      <c r="I33" s="27">
        <f t="shared" si="18"/>
        <v>1.0339695175446426E-2</v>
      </c>
    </row>
    <row r="34" spans="1:9" x14ac:dyDescent="0.3">
      <c r="A34" s="2" t="s">
        <v>62</v>
      </c>
      <c r="D34" s="6">
        <f>SUM(D31:D33)</f>
        <v>203.10076500000002</v>
      </c>
      <c r="E34" s="1"/>
      <c r="F34" s="5"/>
      <c r="G34" s="6">
        <f>SUM(G31:G33)</f>
        <v>205.20076500000002</v>
      </c>
      <c r="H34" s="6">
        <f>G34-D34</f>
        <v>2.0999999999999943</v>
      </c>
      <c r="I34" s="29">
        <f t="shared" si="18"/>
        <v>1.0339695175446504E-2</v>
      </c>
    </row>
    <row r="35" spans="1:9" x14ac:dyDescent="0.3">
      <c r="A35" s="14"/>
      <c r="B35" s="14"/>
      <c r="C35" s="21"/>
      <c r="D35" s="15"/>
      <c r="E35" s="15"/>
      <c r="F35" s="24"/>
      <c r="G35" s="15"/>
      <c r="H35" s="21"/>
      <c r="I35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H28" sqref="H28"/>
    </sheetView>
  </sheetViews>
  <sheetFormatPr defaultRowHeight="14.4" x14ac:dyDescent="0.3"/>
  <cols>
    <col min="1" max="1" width="24.5546875" customWidth="1"/>
    <col min="2" max="2" width="26.6640625" customWidth="1"/>
    <col min="6" max="6" width="11.33203125" customWidth="1"/>
    <col min="7" max="7" width="11" customWidth="1"/>
    <col min="8" max="8" width="12.109375" customWidth="1"/>
    <col min="9" max="9" width="11.33203125" customWidth="1"/>
  </cols>
  <sheetData>
    <row r="1" spans="1:13" ht="15" x14ac:dyDescent="0.25">
      <c r="A1" s="71" t="s">
        <v>75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x14ac:dyDescent="0.3">
      <c r="A2" s="61" t="s">
        <v>76</v>
      </c>
      <c r="B2" s="62"/>
      <c r="C2" s="72" t="s">
        <v>70</v>
      </c>
      <c r="D2" s="73" t="s">
        <v>77</v>
      </c>
      <c r="E2" s="74"/>
      <c r="F2" s="77" t="s">
        <v>71</v>
      </c>
      <c r="G2" s="77"/>
      <c r="H2" s="77"/>
      <c r="I2" s="77"/>
      <c r="J2" s="77"/>
      <c r="K2" s="77"/>
      <c r="L2" s="78" t="s">
        <v>72</v>
      </c>
      <c r="M2" s="79"/>
    </row>
    <row r="3" spans="1:13" x14ac:dyDescent="0.3">
      <c r="A3" s="63"/>
      <c r="B3" s="64"/>
      <c r="C3" s="72"/>
      <c r="D3" s="75"/>
      <c r="E3" s="76"/>
      <c r="F3" s="82" t="s">
        <v>78</v>
      </c>
      <c r="G3" s="82"/>
      <c r="H3" s="82" t="s">
        <v>79</v>
      </c>
      <c r="I3" s="82"/>
      <c r="J3" s="82" t="s">
        <v>80</v>
      </c>
      <c r="K3" s="82"/>
      <c r="L3" s="80"/>
      <c r="M3" s="81"/>
    </row>
    <row r="4" spans="1:13" x14ac:dyDescent="0.3">
      <c r="A4" s="65"/>
      <c r="B4" s="66"/>
      <c r="C4" s="72"/>
      <c r="D4" s="33" t="s">
        <v>81</v>
      </c>
      <c r="E4" s="33" t="s">
        <v>82</v>
      </c>
      <c r="F4" s="34" t="s">
        <v>73</v>
      </c>
      <c r="G4" s="35" t="s">
        <v>74</v>
      </c>
      <c r="H4" s="34" t="s">
        <v>73</v>
      </c>
      <c r="I4" s="34" t="s">
        <v>74</v>
      </c>
      <c r="J4" s="34" t="s">
        <v>73</v>
      </c>
      <c r="K4" s="34" t="s">
        <v>74</v>
      </c>
      <c r="L4" s="34" t="s">
        <v>73</v>
      </c>
      <c r="M4" s="34" t="s">
        <v>74</v>
      </c>
    </row>
    <row r="5" spans="1:13" ht="15" x14ac:dyDescent="0.25">
      <c r="A5" s="67" t="s">
        <v>83</v>
      </c>
      <c r="B5" s="68"/>
      <c r="C5" s="36" t="s">
        <v>81</v>
      </c>
      <c r="D5" s="37">
        <f>Res_RPP_Low!B4</f>
        <v>250</v>
      </c>
      <c r="E5" s="38"/>
      <c r="F5" s="39">
        <f>Res_RPP_Low!$H$14</f>
        <v>2.8199999999999967</v>
      </c>
      <c r="G5" s="40">
        <f>Res_RPP_Low!$I$14</f>
        <v>9.3859211183225058E-2</v>
      </c>
      <c r="H5" s="39">
        <f>Res_RPP_Low!$H$22</f>
        <v>2.8199999999999932</v>
      </c>
      <c r="I5" s="40">
        <f>Res_RPP_Low!$I$22</f>
        <v>8.7966697742254171E-2</v>
      </c>
      <c r="J5" s="39">
        <f>Res_RPP_Low!$H$25</f>
        <v>2.7933624999999935</v>
      </c>
      <c r="K5" s="40">
        <f>Res_RPP_Low!$I$25</f>
        <v>7.8996386836789279E-2</v>
      </c>
      <c r="L5" s="39">
        <f>Res_RPP_Low!$H$36</f>
        <v>2.9330306250000007</v>
      </c>
      <c r="M5" s="40">
        <f>Res_RPP_Low!$I$36</f>
        <v>4.8880300997434296E-2</v>
      </c>
    </row>
    <row r="6" spans="1:13" ht="15" x14ac:dyDescent="0.25">
      <c r="A6" s="67" t="s">
        <v>83</v>
      </c>
      <c r="B6" s="68"/>
      <c r="C6" s="36" t="s">
        <v>81</v>
      </c>
      <c r="D6" s="37">
        <f>Res_RPP_Typical!B4</f>
        <v>750</v>
      </c>
      <c r="E6" s="38"/>
      <c r="F6" s="39">
        <f>Res_RPP_Typical!$H$14</f>
        <v>1.1199999999999974</v>
      </c>
      <c r="G6" s="40">
        <f>Res_RPP_Typical!$I$14</f>
        <v>3.2657821839918277E-2</v>
      </c>
      <c r="H6" s="39">
        <f>Res_RPP_Typical!$H$22</f>
        <v>1.1199999999999974</v>
      </c>
      <c r="I6" s="40">
        <f>Res_RPP_Typical!$I$22</f>
        <v>2.8576707425577632E-2</v>
      </c>
      <c r="J6" s="39">
        <f>Res_RPP_Typical!$H$25</f>
        <v>1.0400874999999914</v>
      </c>
      <c r="K6" s="40">
        <f>Res_RPP_Typical!$I$25</f>
        <v>2.1182221353054666E-2</v>
      </c>
      <c r="L6" s="39">
        <f>Res_RPP_Typical!$H$36</f>
        <v>1.0920918750000084</v>
      </c>
      <c r="M6" s="40">
        <f>Res_RPP_Typical!$I$36</f>
        <v>9.1266971527550877E-3</v>
      </c>
    </row>
    <row r="7" spans="1:13" ht="15" x14ac:dyDescent="0.25">
      <c r="A7" s="67" t="s">
        <v>83</v>
      </c>
      <c r="B7" s="68"/>
      <c r="C7" s="36" t="s">
        <v>81</v>
      </c>
      <c r="D7" s="37">
        <f>Res_RPP_High!B4</f>
        <v>1500</v>
      </c>
      <c r="E7" s="38"/>
      <c r="F7" s="39">
        <f>Res_RPP_High!$H$14</f>
        <v>-1.4299999999999997</v>
      </c>
      <c r="G7" s="40">
        <f>Res_RPP_High!$I$14</f>
        <v>-3.5161052372756331E-2</v>
      </c>
      <c r="H7" s="39">
        <f>Res_RPP_High!$H$22</f>
        <v>-1.4300000000000068</v>
      </c>
      <c r="I7" s="40">
        <f>Res_RPP_High!$I$22</f>
        <v>-2.865988913733598E-2</v>
      </c>
      <c r="J7" s="39">
        <f>Res_RPP_High!$H$25</f>
        <v>-1.5898250000000047</v>
      </c>
      <c r="K7" s="40">
        <f>Res_RPP_High!$I$25</f>
        <v>-2.2805019966092164E-2</v>
      </c>
      <c r="L7" s="39">
        <f>Res_RPP_High!$H$36</f>
        <v>-1.6693162500000085</v>
      </c>
      <c r="M7" s="40">
        <f>Res_RPP_High!$I$36</f>
        <v>-7.9817707416497928E-3</v>
      </c>
    </row>
    <row r="8" spans="1:13" ht="15" x14ac:dyDescent="0.25">
      <c r="A8" s="67" t="s">
        <v>84</v>
      </c>
      <c r="B8" s="68"/>
      <c r="C8" s="36" t="s">
        <v>81</v>
      </c>
      <c r="D8" s="37">
        <f>'GS&lt;50kW_RPP'!B4</f>
        <v>2000</v>
      </c>
      <c r="E8" s="38"/>
      <c r="F8" s="39">
        <f>'GS&lt;50kW_RPP'!$H$14</f>
        <v>2</v>
      </c>
      <c r="G8" s="40">
        <f>'GS&lt;50kW_RPP'!$I$14</f>
        <v>3.1913196106590075E-2</v>
      </c>
      <c r="H8" s="39">
        <f>'GS&lt;50kW_RPP'!$H$22</f>
        <v>2</v>
      </c>
      <c r="I8" s="40">
        <f>'GS&lt;50kW_RPP'!$I$22</f>
        <v>2.6744872239076695E-2</v>
      </c>
      <c r="J8" s="39">
        <f>'GS&lt;50kW_RPP'!$H$25</f>
        <v>2</v>
      </c>
      <c r="K8" s="40">
        <f>'GS&lt;50kW_RPP'!$I$25</f>
        <v>2.0230426581809468E-2</v>
      </c>
      <c r="L8" s="39">
        <f>'GS&lt;50kW_RPP'!$H$36</f>
        <v>2.0999999999999659</v>
      </c>
      <c r="M8" s="40">
        <f>'GS&lt;50kW_RPP'!$I$36</f>
        <v>7.369145439628173E-3</v>
      </c>
    </row>
    <row r="9" spans="1:13" ht="15" x14ac:dyDescent="0.25">
      <c r="A9" s="67" t="s">
        <v>85</v>
      </c>
      <c r="B9" s="68"/>
      <c r="C9" s="41" t="s">
        <v>82</v>
      </c>
      <c r="D9" s="42">
        <f>'GS 50-4,999kW'!B4</f>
        <v>50000</v>
      </c>
      <c r="E9" s="43">
        <f>'GS 50-4,999kW'!B5</f>
        <v>75</v>
      </c>
      <c r="F9" s="44">
        <f>'GS 50-4,999kW'!H15</f>
        <v>10.454999999999984</v>
      </c>
      <c r="G9" s="45">
        <f>'GS 50-4,999kW'!I15</f>
        <v>2.8575528360289398E-2</v>
      </c>
      <c r="H9" s="44">
        <f>'GS 50-4,999kW'!H22</f>
        <v>10.454999999999984</v>
      </c>
      <c r="I9" s="45">
        <f>'GS 50-4,999kW'!I22</f>
        <v>2.7695547652633414E-2</v>
      </c>
      <c r="J9" s="44">
        <f>'GS 50-4,999kW'!H25</f>
        <v>9.3000000000000682</v>
      </c>
      <c r="K9" s="45">
        <f>'GS 50-4,999kW'!I25</f>
        <v>1.2622663789242324E-2</v>
      </c>
      <c r="L9" s="44">
        <f>'GS 50-4,999kW'!H33</f>
        <v>10.509000000000015</v>
      </c>
      <c r="M9" s="45">
        <f>'GS 50-4,999kW'!I33</f>
        <v>1.3655645728499351E-3</v>
      </c>
    </row>
    <row r="10" spans="1:13" ht="15" x14ac:dyDescent="0.25">
      <c r="A10" s="67" t="s">
        <v>86</v>
      </c>
      <c r="B10" s="68"/>
      <c r="C10" s="36" t="s">
        <v>81</v>
      </c>
      <c r="D10" s="37">
        <f>USL!B4</f>
        <v>500</v>
      </c>
      <c r="E10" s="38"/>
      <c r="F10" s="39">
        <f>USL!H14</f>
        <v>0.75</v>
      </c>
      <c r="G10" s="40">
        <f>USL!I14</f>
        <v>3.7697914048755964E-2</v>
      </c>
      <c r="H10" s="39">
        <f>USL!H22</f>
        <v>0.75</v>
      </c>
      <c r="I10" s="40">
        <f>USL!I22</f>
        <v>3.3161263223053704E-2</v>
      </c>
      <c r="J10" s="39">
        <f>USL!H25</f>
        <v>0.75</v>
      </c>
      <c r="K10" s="40">
        <f>USL!I25</f>
        <v>2.6190054239602325E-2</v>
      </c>
      <c r="L10" s="39">
        <f>USL!H35</f>
        <v>0.78749999999999432</v>
      </c>
      <c r="M10" s="40">
        <f>USL!I35</f>
        <v>1.0796874089013669E-2</v>
      </c>
    </row>
    <row r="11" spans="1:13" ht="15" x14ac:dyDescent="0.25">
      <c r="A11" s="67" t="s">
        <v>87</v>
      </c>
      <c r="B11" s="68"/>
      <c r="C11" s="36" t="s">
        <v>82</v>
      </c>
      <c r="D11" s="37">
        <f>SenLgt!B4</f>
        <v>77</v>
      </c>
      <c r="E11" s="46">
        <f>SenLgt!B5</f>
        <v>0.21</v>
      </c>
      <c r="F11" s="39">
        <f>SenLgt!H15</f>
        <v>0.87475500000000039</v>
      </c>
      <c r="G11" s="40">
        <f>SenLgt!I15</f>
        <v>4.1692131806722925E-2</v>
      </c>
      <c r="H11" s="39">
        <f>SenLgt!H23</f>
        <v>0.87475500000000039</v>
      </c>
      <c r="I11" s="40">
        <f>SenLgt!I23</f>
        <v>4.0890301705596155E-2</v>
      </c>
      <c r="J11" s="39">
        <f>SenLgt!H26</f>
        <v>0.87229800000000068</v>
      </c>
      <c r="K11" s="40">
        <f>SenLgt!I26</f>
        <v>3.9422950270227276E-2</v>
      </c>
      <c r="L11" s="39">
        <f>SenLgt!H36</f>
        <v>0.91591289999999859</v>
      </c>
      <c r="M11" s="40">
        <f>SenLgt!I36</f>
        <v>3.0472628140057464E-2</v>
      </c>
    </row>
    <row r="12" spans="1:13" ht="15" x14ac:dyDescent="0.25">
      <c r="A12" s="67" t="s">
        <v>90</v>
      </c>
      <c r="B12" s="68"/>
      <c r="C12" s="36" t="s">
        <v>82</v>
      </c>
      <c r="D12" s="37">
        <f>StLgt!B4</f>
        <v>170000</v>
      </c>
      <c r="E12" s="38">
        <f>StLgt!B5</f>
        <v>550</v>
      </c>
      <c r="F12" s="39">
        <f>StLgt!H15</f>
        <v>793.65000000000146</v>
      </c>
      <c r="G12" s="40">
        <f>StLgt!I15</f>
        <v>3.2776472633720653E-2</v>
      </c>
      <c r="H12" s="39">
        <f>StLgt!H22</f>
        <v>793.65000000000146</v>
      </c>
      <c r="I12" s="40">
        <f>StLgt!I22</f>
        <v>3.2692560789564638E-2</v>
      </c>
      <c r="J12" s="39">
        <f>StLgt!H25</f>
        <v>787.65499999999884</v>
      </c>
      <c r="K12" s="40">
        <f>StLgt!I25</f>
        <v>3.0092847296723131E-2</v>
      </c>
      <c r="L12" s="39">
        <f>StLgt!H34</f>
        <v>890.05014999999548</v>
      </c>
      <c r="M12" s="40">
        <f>StLgt!I34</f>
        <v>1.8752870484603595E-2</v>
      </c>
    </row>
    <row r="13" spans="1:13" ht="15" x14ac:dyDescent="0.25">
      <c r="A13" s="69" t="s">
        <v>91</v>
      </c>
      <c r="B13" s="70"/>
      <c r="C13" s="41" t="s">
        <v>82</v>
      </c>
      <c r="D13" s="42">
        <f>Emb_Dist!B4</f>
        <v>6055000</v>
      </c>
      <c r="E13" s="43">
        <f>Emb_Dist!B5</f>
        <v>18970</v>
      </c>
      <c r="F13" s="44">
        <f>Emb_Dist!H15</f>
        <v>0</v>
      </c>
      <c r="G13" s="45">
        <f>Emb_Dist!I15</f>
        <v>0</v>
      </c>
      <c r="H13" s="44">
        <f>Emb_Dist!H22</f>
        <v>0</v>
      </c>
      <c r="I13" s="45">
        <f>Emb_Dist!I22</f>
        <v>0</v>
      </c>
      <c r="J13" s="44">
        <f>Emb_Dist!H25</f>
        <v>-415.4429999999993</v>
      </c>
      <c r="K13" s="45">
        <f>Emb_Dist!I25</f>
        <v>-2.9984293003494588E-3</v>
      </c>
      <c r="L13" s="44">
        <f>Emb_Dist!H33</f>
        <v>-469.45058999990579</v>
      </c>
      <c r="M13" s="45">
        <f>Emb_Dist!I33</f>
        <v>-4.8950306757743786E-4</v>
      </c>
    </row>
    <row r="14" spans="1:13" ht="15" x14ac:dyDescent="0.25">
      <c r="A14" s="67" t="s">
        <v>88</v>
      </c>
      <c r="B14" s="68"/>
      <c r="C14" s="36" t="s">
        <v>81</v>
      </c>
      <c r="D14" s="37">
        <f>Res_NonRPP_Typical!B4</f>
        <v>750</v>
      </c>
      <c r="E14" s="38"/>
      <c r="F14" s="39">
        <f>Res_NonRPP_Typical!$H$14</f>
        <v>1.1199999999999974</v>
      </c>
      <c r="G14" s="40">
        <f>Res_NonRPP_Typical!$I$14</f>
        <v>3.2657821839918277E-2</v>
      </c>
      <c r="H14" s="39">
        <f>Res_NonRPP_Typical!$H$22</f>
        <v>1.1199999999999903</v>
      </c>
      <c r="I14" s="40">
        <f>Res_NonRPP_Typical!$I$22</f>
        <v>2.760411387559579E-2</v>
      </c>
      <c r="J14" s="39">
        <f>Res_NonRPP_Typical!$H$25</f>
        <v>1.0400874999999914</v>
      </c>
      <c r="K14" s="40">
        <f>Res_NonRPP_Typical!$I$25</f>
        <v>2.060280417221191E-2</v>
      </c>
      <c r="L14" s="39">
        <f>Res_NonRPP_Typical!$H$34</f>
        <v>1.0920918749999942</v>
      </c>
      <c r="M14" s="40">
        <f>Res_NonRPP_Typical!$I$34</f>
        <v>7.6379077124628016E-3</v>
      </c>
    </row>
    <row r="15" spans="1:13" ht="15" x14ac:dyDescent="0.25">
      <c r="A15" s="60" t="s">
        <v>89</v>
      </c>
      <c r="B15" s="60"/>
      <c r="C15" s="36" t="s">
        <v>81</v>
      </c>
      <c r="D15" s="37">
        <f>'GS&lt;50 kW_NonRPP'!B4</f>
        <v>2000</v>
      </c>
      <c r="E15" s="38"/>
      <c r="F15" s="39">
        <f>'GS&lt;50 kW_NonRPP'!$H$14</f>
        <v>2</v>
      </c>
      <c r="G15" s="40">
        <f>'GS&lt;50 kW_NonRPP'!$I$14</f>
        <v>3.1913196106590075E-2</v>
      </c>
      <c r="H15" s="39">
        <f>'GS&lt;50 kW_NonRPP'!$H$22</f>
        <v>2</v>
      </c>
      <c r="I15" s="40">
        <f>'GS&lt;50 kW_NonRPP'!$I$22</f>
        <v>2.5489688783644798E-2</v>
      </c>
      <c r="J15" s="39">
        <f>'GS&lt;50 kW_NonRPP'!$H$25</f>
        <v>2</v>
      </c>
      <c r="K15" s="40">
        <f>'GS&lt;50 kW_NonRPP'!$I$25</f>
        <v>1.9503936869657141E-2</v>
      </c>
      <c r="L15" s="39">
        <f>'GS&lt;50 kW_NonRPP'!$H$34</f>
        <v>2.0999999999999943</v>
      </c>
      <c r="M15" s="40">
        <f>'GS&lt;50 kW_NonRPP'!$I$34</f>
        <v>1.0339695175446504E-2</v>
      </c>
    </row>
  </sheetData>
  <mergeCells count="20">
    <mergeCell ref="A1:M1"/>
    <mergeCell ref="C2:C4"/>
    <mergeCell ref="D2:E3"/>
    <mergeCell ref="F2:K2"/>
    <mergeCell ref="A5:B5"/>
    <mergeCell ref="L2:M3"/>
    <mergeCell ref="F3:G3"/>
    <mergeCell ref="H3:I3"/>
    <mergeCell ref="J3:K3"/>
    <mergeCell ref="A15:B15"/>
    <mergeCell ref="A2:B4"/>
    <mergeCell ref="A10:B10"/>
    <mergeCell ref="A11:B11"/>
    <mergeCell ref="A12:B12"/>
    <mergeCell ref="A13:B13"/>
    <mergeCell ref="A14:B14"/>
    <mergeCell ref="A6:B6"/>
    <mergeCell ref="A7:B7"/>
    <mergeCell ref="A8:B8"/>
    <mergeCell ref="A9:B9"/>
  </mergeCells>
  <pageMargins left="0.7" right="0.7" top="0.75" bottom="0.75" header="0.3" footer="0.3"/>
  <ignoredErrors>
    <ignoredError sqref="F6:M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D18" sqref="D18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4" t="s">
        <v>97</v>
      </c>
      <c r="B1" s="85"/>
      <c r="C1" s="85"/>
      <c r="D1" s="85"/>
      <c r="E1" s="85"/>
      <c r="F1" s="85"/>
      <c r="G1" s="85"/>
      <c r="H1" s="85"/>
      <c r="I1" s="85"/>
    </row>
    <row r="3" spans="1:9" ht="15" x14ac:dyDescent="0.25">
      <c r="A3" s="2" t="s">
        <v>12</v>
      </c>
      <c r="B3" s="3" t="s">
        <v>42</v>
      </c>
    </row>
    <row r="4" spans="1:9" ht="15" x14ac:dyDescent="0.25">
      <c r="A4" s="2" t="s">
        <v>65</v>
      </c>
      <c r="B4" s="3">
        <v>250</v>
      </c>
    </row>
    <row r="5" spans="1:9" ht="15" x14ac:dyDescent="0.25">
      <c r="A5" s="2" t="s">
        <v>4</v>
      </c>
      <c r="B5" s="3">
        <f>VLOOKUP(B3,'Data-DO NOT PRINT'!B3:Y11,5,0)</f>
        <v>1.0654999999999999</v>
      </c>
    </row>
    <row r="6" spans="1:9" ht="15" x14ac:dyDescent="0.25">
      <c r="A6" s="2" t="s">
        <v>67</v>
      </c>
      <c r="B6" s="3">
        <f>B4*B5</f>
        <v>266.375</v>
      </c>
    </row>
    <row r="7" spans="1:9" ht="15" x14ac:dyDescent="0.25">
      <c r="A7" s="2"/>
      <c r="B7" s="10"/>
    </row>
    <row r="8" spans="1:9" ht="15" x14ac:dyDescent="0.25">
      <c r="B8" s="83" t="s">
        <v>38</v>
      </c>
      <c r="C8" s="83"/>
      <c r="D8" s="83"/>
      <c r="E8" s="83" t="s">
        <v>100</v>
      </c>
      <c r="F8" s="83"/>
      <c r="G8" s="83"/>
      <c r="H8" s="83" t="s">
        <v>39</v>
      </c>
      <c r="I8" s="83"/>
    </row>
    <row r="9" spans="1:9" ht="15" x14ac:dyDescent="0.25">
      <c r="A9"/>
      <c r="B9" s="3" t="s">
        <v>1</v>
      </c>
      <c r="C9" s="6" t="s">
        <v>0</v>
      </c>
      <c r="D9" s="3" t="s">
        <v>2</v>
      </c>
      <c r="E9" s="3" t="s">
        <v>1</v>
      </c>
      <c r="F9" s="6" t="s">
        <v>0</v>
      </c>
      <c r="G9" s="3" t="s">
        <v>2</v>
      </c>
      <c r="H9" s="10" t="s">
        <v>40</v>
      </c>
      <c r="I9" s="29" t="s">
        <v>41</v>
      </c>
    </row>
    <row r="10" spans="1:9" ht="15" x14ac:dyDescent="0.25">
      <c r="A10" s="2" t="s">
        <v>43</v>
      </c>
      <c r="B10" s="1">
        <v>1</v>
      </c>
      <c r="C10" s="5">
        <f>VLOOKUP($B$3,'Data-DO NOT PRINT'!$B$3:$AC$11,7,0)</f>
        <v>28.2</v>
      </c>
      <c r="D10" s="5">
        <f t="shared" ref="D10:D13" si="0">B10*C10</f>
        <v>28.2</v>
      </c>
      <c r="E10" s="1">
        <f t="shared" ref="E10:E13" si="1">B10</f>
        <v>1</v>
      </c>
      <c r="F10" s="5">
        <f>VLOOKUP($B$3,'Data-DO NOT PRINT'!$B$3:$AC$11,18,0)</f>
        <v>31.91</v>
      </c>
      <c r="G10" s="5">
        <f t="shared" ref="G10:G13" si="2">E10*F10</f>
        <v>31.91</v>
      </c>
      <c r="H10" s="5">
        <f t="shared" ref="H10:H13" si="3">G10-D10</f>
        <v>3.7100000000000009</v>
      </c>
      <c r="I10" s="27">
        <f>IF(ISERROR(H10/D10), "",H10/D10)</f>
        <v>0.13156028368794329</v>
      </c>
    </row>
    <row r="11" spans="1:9" ht="15" x14ac:dyDescent="0.25">
      <c r="A11" s="2" t="s">
        <v>44</v>
      </c>
      <c r="B11" s="1">
        <f>B4</f>
        <v>250</v>
      </c>
      <c r="C11" s="26">
        <f>VLOOKUP($B$3,'Data-DO NOT PRINT'!$B$3:$AC$11,8,0)</f>
        <v>9.9000000000000008E-3</v>
      </c>
      <c r="D11" s="5">
        <f t="shared" si="0"/>
        <v>2.4750000000000001</v>
      </c>
      <c r="E11" s="1">
        <f t="shared" si="1"/>
        <v>250</v>
      </c>
      <c r="F11" s="26">
        <f>VLOOKUP($B$3,'Data-DO NOT PRINT'!$B$3:$AC$11,19,0)</f>
        <v>5.0000000000000001E-3</v>
      </c>
      <c r="G11" s="5">
        <f t="shared" si="2"/>
        <v>1.25</v>
      </c>
      <c r="H11" s="5">
        <f t="shared" si="3"/>
        <v>-1.2250000000000001</v>
      </c>
      <c r="I11" s="27">
        <f t="shared" ref="I11:I13" si="4">IF(ISERROR(H11/D11), "",H11/D11)</f>
        <v>-0.49494949494949497</v>
      </c>
    </row>
    <row r="12" spans="1:9" ht="15" x14ac:dyDescent="0.25">
      <c r="A12" s="2" t="s">
        <v>45</v>
      </c>
      <c r="B12" s="1">
        <v>1</v>
      </c>
      <c r="C12" s="5">
        <f>VLOOKUP($B$3,'Data-DO NOT PRINT'!$B$3:$AC$11,10,0)</f>
        <v>-0.28000000000000003</v>
      </c>
      <c r="D12" s="5">
        <f t="shared" si="0"/>
        <v>-0.28000000000000003</v>
      </c>
      <c r="E12" s="1">
        <f t="shared" si="1"/>
        <v>1</v>
      </c>
      <c r="F12" s="5">
        <f>VLOOKUP($B$3,'Data-DO NOT PRINT'!$B$3:$AC$11,21,0)</f>
        <v>-0.32</v>
      </c>
      <c r="G12" s="5">
        <f t="shared" si="2"/>
        <v>-0.32</v>
      </c>
      <c r="H12" s="5">
        <f t="shared" si="3"/>
        <v>-3.999999999999998E-2</v>
      </c>
      <c r="I12" s="27">
        <f t="shared" si="4"/>
        <v>0.14285714285714277</v>
      </c>
    </row>
    <row r="13" spans="1:9" ht="15" x14ac:dyDescent="0.25">
      <c r="A13" s="2" t="s">
        <v>46</v>
      </c>
      <c r="B13" s="1">
        <f>B4</f>
        <v>250</v>
      </c>
      <c r="C13" s="26">
        <f>VLOOKUP($B$3,'Data-DO NOT PRINT'!$B$3:$AC$11,11,0)</f>
        <v>-1.4E-3</v>
      </c>
      <c r="D13" s="5">
        <f t="shared" si="0"/>
        <v>-0.35</v>
      </c>
      <c r="E13" s="1">
        <f t="shared" si="1"/>
        <v>250</v>
      </c>
      <c r="F13" s="26">
        <f>VLOOKUP($B$3,'Data-DO NOT PRINT'!$B$3:$AC$11,22,0)</f>
        <v>1E-4</v>
      </c>
      <c r="G13" s="5">
        <f t="shared" si="2"/>
        <v>2.5000000000000001E-2</v>
      </c>
      <c r="H13" s="5">
        <f t="shared" si="3"/>
        <v>0.375</v>
      </c>
      <c r="I13" s="27">
        <f t="shared" si="4"/>
        <v>-1.0714285714285714</v>
      </c>
    </row>
    <row r="14" spans="1:9" ht="15" x14ac:dyDescent="0.25">
      <c r="A14" s="19" t="s">
        <v>47</v>
      </c>
      <c r="B14" s="17"/>
      <c r="C14" s="22"/>
      <c r="D14" s="18">
        <f>SUM(D10:D13)</f>
        <v>30.044999999999998</v>
      </c>
      <c r="E14" s="16"/>
      <c r="F14" s="18"/>
      <c r="G14" s="18">
        <f>SUM(G10:G13)</f>
        <v>32.864999999999995</v>
      </c>
      <c r="H14" s="18">
        <f>G14-D14</f>
        <v>2.8199999999999967</v>
      </c>
      <c r="I14" s="28">
        <f>H14/D14</f>
        <v>9.3859211183225058E-2</v>
      </c>
    </row>
    <row r="15" spans="1:9" ht="15" x14ac:dyDescent="0.25">
      <c r="A15" s="2" t="s">
        <v>48</v>
      </c>
      <c r="B15" s="8">
        <f>B6-B4</f>
        <v>16.375</v>
      </c>
      <c r="C15" s="25">
        <f>IF(ISNUMBER(SEARCH("_RPP",$B$3)),((0.65*C29)+(0.17*C30)+(0.18*C31)),0.1101)</f>
        <v>8.1990000000000007E-2</v>
      </c>
      <c r="D15" s="5">
        <f>B15*C15</f>
        <v>1.3425862500000001</v>
      </c>
      <c r="E15" s="8">
        <f>B15</f>
        <v>16.375</v>
      </c>
      <c r="F15" s="25">
        <f>C15</f>
        <v>8.1990000000000007E-2</v>
      </c>
      <c r="G15" s="5">
        <f>E15*F15</f>
        <v>1.3425862500000001</v>
      </c>
      <c r="H15" s="5">
        <f t="shared" ref="H15:H31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99</v>
      </c>
      <c r="B17" s="1">
        <f>B4</f>
        <v>250</v>
      </c>
      <c r="C17" s="26">
        <f>VLOOKUP($B$3,'Data-DO NOT PRINT'!$B$3:$AC$11,13,0)</f>
        <v>0</v>
      </c>
      <c r="D17" s="5">
        <f>B17*C17</f>
        <v>0</v>
      </c>
      <c r="E17" s="1">
        <f>B17</f>
        <v>250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49</v>
      </c>
      <c r="B18" s="1">
        <f>B4</f>
        <v>250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250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50</v>
      </c>
      <c r="B19" s="1">
        <f>B4</f>
        <v>250</v>
      </c>
      <c r="C19" s="26">
        <f>VLOOKUP($B$3,'Data-DO NOT PRINT'!$B$3:$AC$11,15,0)</f>
        <v>0</v>
      </c>
      <c r="D19" s="5">
        <f t="shared" si="7"/>
        <v>0</v>
      </c>
      <c r="E19" s="1">
        <f>B19</f>
        <v>250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51</v>
      </c>
      <c r="B20" s="1">
        <f>B4</f>
        <v>250</v>
      </c>
      <c r="C20" s="26">
        <f>VLOOKUP($B$3,'Data-DO NOT PRINT'!$B$3:$AC$11,9,0)</f>
        <v>4.0000000000000002E-4</v>
      </c>
      <c r="D20" s="5">
        <f t="shared" si="7"/>
        <v>0.1</v>
      </c>
      <c r="E20" s="1">
        <f>B20</f>
        <v>250</v>
      </c>
      <c r="F20" s="26">
        <f>VLOOKUP($B$3,'Data-DO NOT PRINT'!$B$3:$AC$11,20,0)</f>
        <v>4.0000000000000002E-4</v>
      </c>
      <c r="G20" s="5">
        <f t="shared" si="9"/>
        <v>0.1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52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53</v>
      </c>
      <c r="B22" s="17"/>
      <c r="C22" s="22"/>
      <c r="D22" s="18">
        <f>SUM(D14:D21)</f>
        <v>32.05758625</v>
      </c>
      <c r="E22" s="17"/>
      <c r="F22" s="22"/>
      <c r="G22" s="18">
        <f>SUM(G14:G21)</f>
        <v>34.877586249999993</v>
      </c>
      <c r="H22" s="18">
        <f>G22-D22</f>
        <v>2.8199999999999932</v>
      </c>
      <c r="I22" s="28">
        <f>H22/D22</f>
        <v>8.7966697742254171E-2</v>
      </c>
    </row>
    <row r="23" spans="1:9" ht="15" x14ac:dyDescent="0.25">
      <c r="A23" s="2" t="s">
        <v>54</v>
      </c>
      <c r="B23" s="8">
        <f>B6</f>
        <v>266.375</v>
      </c>
      <c r="C23" s="26">
        <f>VLOOKUP($B$3,'Data-DO NOT PRINT'!$B$3:$AC$11,16,0)</f>
        <v>6.4000000000000003E-3</v>
      </c>
      <c r="D23" s="5">
        <f t="shared" ref="D23:D24" si="10">B23*C23</f>
        <v>1.7048000000000001</v>
      </c>
      <c r="E23" s="8">
        <f t="shared" ref="E23:E24" si="11">B23</f>
        <v>266.375</v>
      </c>
      <c r="F23" s="26">
        <f>VLOOKUP($B$3,'Data-DO NOT PRINT'!$B$3:$AC$11,27,0)</f>
        <v>6.4999999999999997E-3</v>
      </c>
      <c r="G23" s="5">
        <f t="shared" ref="G23:G24" si="12">E23*F23</f>
        <v>1.7314375</v>
      </c>
      <c r="H23" s="5">
        <f t="shared" si="5"/>
        <v>2.663749999999987E-2</v>
      </c>
      <c r="I23" s="27">
        <f t="shared" ref="I23:I24" si="13">IF(ISERROR(H23/D23), "",H23/D23)</f>
        <v>1.5624999999999922E-2</v>
      </c>
    </row>
    <row r="24" spans="1:9" ht="15" x14ac:dyDescent="0.25">
      <c r="A24" s="2" t="s">
        <v>55</v>
      </c>
      <c r="B24" s="8">
        <f>B6</f>
        <v>266.375</v>
      </c>
      <c r="C24" s="26">
        <f>VLOOKUP($B$3,'Data-DO NOT PRINT'!$B$3:$AC$11,17,0)</f>
        <v>6.0000000000000001E-3</v>
      </c>
      <c r="D24" s="5">
        <f t="shared" si="10"/>
        <v>1.5982499999999999</v>
      </c>
      <c r="E24" s="8">
        <f t="shared" si="11"/>
        <v>266.375</v>
      </c>
      <c r="F24" s="26">
        <f>VLOOKUP($B$3,'Data-DO NOT PRINT'!$B$3:$AC$11,28,0)</f>
        <v>5.7999999999999996E-3</v>
      </c>
      <c r="G24" s="5">
        <f t="shared" si="12"/>
        <v>1.544975</v>
      </c>
      <c r="H24" s="5">
        <f t="shared" si="5"/>
        <v>-5.3274999999999961E-2</v>
      </c>
      <c r="I24" s="27">
        <f t="shared" si="13"/>
        <v>-3.3333333333333312E-2</v>
      </c>
    </row>
    <row r="25" spans="1:9" ht="15" x14ac:dyDescent="0.25">
      <c r="A25" s="19" t="s">
        <v>56</v>
      </c>
      <c r="B25" s="17"/>
      <c r="C25" s="22"/>
      <c r="D25" s="18">
        <f>SUM(D22:D24)</f>
        <v>35.360636249999999</v>
      </c>
      <c r="E25" s="17"/>
      <c r="F25" s="22"/>
      <c r="G25" s="18">
        <f>SUM(G22:G24)</f>
        <v>38.153998749999992</v>
      </c>
      <c r="H25" s="18">
        <f>G25-D25</f>
        <v>2.7933624999999935</v>
      </c>
      <c r="I25" s="28">
        <f>H25/D25</f>
        <v>7.8996386836789279E-2</v>
      </c>
    </row>
    <row r="26" spans="1:9" ht="15" x14ac:dyDescent="0.25">
      <c r="A26" s="2" t="s">
        <v>57</v>
      </c>
      <c r="B26" s="8">
        <f>B6</f>
        <v>266.375</v>
      </c>
      <c r="C26" s="26">
        <v>3.3999999999999998E-3</v>
      </c>
      <c r="D26" s="5">
        <f t="shared" ref="D26:D28" si="14">B26*C26</f>
        <v>0.9056749999999999</v>
      </c>
      <c r="E26" s="8">
        <f t="shared" ref="E26:E28" si="15">B26</f>
        <v>266.375</v>
      </c>
      <c r="F26" s="26">
        <v>3.3999999999999998E-3</v>
      </c>
      <c r="G26" s="5">
        <f t="shared" ref="G26:G31" si="16">E26*F26</f>
        <v>0.9056749999999999</v>
      </c>
      <c r="H26" s="5">
        <f t="shared" si="5"/>
        <v>0</v>
      </c>
      <c r="I26" s="27">
        <f t="shared" ref="I26:I31" si="17">IF(ISERROR(H26/D26), "",H26/D26)</f>
        <v>0</v>
      </c>
    </row>
    <row r="27" spans="1:9" ht="15" x14ac:dyDescent="0.25">
      <c r="A27" s="2" t="s">
        <v>58</v>
      </c>
      <c r="B27" s="8">
        <f>B6</f>
        <v>266.375</v>
      </c>
      <c r="C27" s="26">
        <v>5.0000000000000001E-4</v>
      </c>
      <c r="D27" s="5">
        <f t="shared" si="14"/>
        <v>0.13318750000000001</v>
      </c>
      <c r="E27" s="8">
        <f t="shared" si="15"/>
        <v>266.375</v>
      </c>
      <c r="F27" s="26">
        <v>5.0000000000000001E-4</v>
      </c>
      <c r="G27" s="5">
        <f t="shared" si="16"/>
        <v>0.13318750000000001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59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9</v>
      </c>
      <c r="B29" s="1">
        <f>$B$4*0.65</f>
        <v>162.5</v>
      </c>
      <c r="C29" s="25">
        <v>6.5000000000000002E-2</v>
      </c>
      <c r="D29" s="5">
        <f>B29*C29</f>
        <v>10.5625</v>
      </c>
      <c r="E29" s="1">
        <f>B29</f>
        <v>162.5</v>
      </c>
      <c r="F29" s="25">
        <f>C29</f>
        <v>6.5000000000000002E-2</v>
      </c>
      <c r="G29" s="5">
        <f t="shared" si="16"/>
        <v>10.5625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8</v>
      </c>
      <c r="B30" s="1">
        <f>$B$4*0.17</f>
        <v>42.5</v>
      </c>
      <c r="C30" s="25">
        <v>9.4E-2</v>
      </c>
      <c r="D30" s="5">
        <f t="shared" ref="D30:D31" si="18">B30*C30</f>
        <v>3.9950000000000001</v>
      </c>
      <c r="E30" s="1">
        <f>B30</f>
        <v>42.5</v>
      </c>
      <c r="F30" s="25">
        <f t="shared" ref="F30:F31" si="19">C30</f>
        <v>9.4E-2</v>
      </c>
      <c r="G30" s="5">
        <f t="shared" si="16"/>
        <v>3.9950000000000001</v>
      </c>
      <c r="H30" s="5">
        <f t="shared" si="5"/>
        <v>0</v>
      </c>
      <c r="I30" s="27">
        <f t="shared" si="17"/>
        <v>0</v>
      </c>
    </row>
    <row r="31" spans="1:9" x14ac:dyDescent="0.3">
      <c r="A31" s="2" t="s">
        <v>7</v>
      </c>
      <c r="B31" s="1">
        <f>$B$4*0.18</f>
        <v>45</v>
      </c>
      <c r="C31" s="25">
        <v>0.13200000000000001</v>
      </c>
      <c r="D31" s="5">
        <f t="shared" si="18"/>
        <v>5.94</v>
      </c>
      <c r="E31" s="1">
        <f>B31</f>
        <v>45</v>
      </c>
      <c r="F31" s="25">
        <f t="shared" si="19"/>
        <v>0.13200000000000001</v>
      </c>
      <c r="G31" s="5">
        <f t="shared" si="16"/>
        <v>5.94</v>
      </c>
      <c r="H31" s="5">
        <f t="shared" si="5"/>
        <v>0</v>
      </c>
      <c r="I31" s="27">
        <f t="shared" si="17"/>
        <v>0</v>
      </c>
    </row>
    <row r="32" spans="1:9" x14ac:dyDescent="0.3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60</v>
      </c>
      <c r="D33" s="6">
        <f>SUM(D25:D31)</f>
        <v>57.146998749999995</v>
      </c>
      <c r="E33" s="1"/>
      <c r="F33" s="5"/>
      <c r="G33" s="6">
        <f>SUM(G25:G31)</f>
        <v>59.940361249999988</v>
      </c>
      <c r="H33" s="6">
        <f>G33-D33</f>
        <v>2.7933624999999935</v>
      </c>
      <c r="I33" s="29">
        <f t="shared" ref="I33:I36" si="20">IF(ISERROR(H33/D33), "",H33/D33)</f>
        <v>4.8880300997434165E-2</v>
      </c>
    </row>
    <row r="34" spans="1:9" x14ac:dyDescent="0.3">
      <c r="A34" s="2" t="s">
        <v>5</v>
      </c>
      <c r="C34" s="7">
        <v>0.13</v>
      </c>
      <c r="D34" s="5">
        <f>C34*D33</f>
        <v>7.4291098374999995</v>
      </c>
      <c r="E34" s="1"/>
      <c r="F34" s="7">
        <v>0.13</v>
      </c>
      <c r="G34" s="5">
        <f>F34*G33</f>
        <v>7.7922469624999984</v>
      </c>
      <c r="H34" s="5">
        <f t="shared" ref="H34:H35" si="21">G34-D34</f>
        <v>0.36313712499999884</v>
      </c>
      <c r="I34" s="27">
        <f t="shared" si="20"/>
        <v>4.8880300997434116E-2</v>
      </c>
    </row>
    <row r="35" spans="1:9" x14ac:dyDescent="0.3">
      <c r="A35" s="2" t="s">
        <v>61</v>
      </c>
      <c r="C35" s="7">
        <v>-0.08</v>
      </c>
      <c r="D35" s="5">
        <f>C35*D33</f>
        <v>-4.5717599</v>
      </c>
      <c r="E35" s="1"/>
      <c r="F35" s="7">
        <v>-0.08</v>
      </c>
      <c r="G35" s="5">
        <f>F35*G33</f>
        <v>-4.7952288999999988</v>
      </c>
      <c r="H35" s="5">
        <f t="shared" si="21"/>
        <v>-0.22346899999999881</v>
      </c>
      <c r="I35" s="27">
        <f t="shared" si="20"/>
        <v>4.8880300997434012E-2</v>
      </c>
    </row>
    <row r="36" spans="1:9" x14ac:dyDescent="0.3">
      <c r="A36" s="2" t="s">
        <v>62</v>
      </c>
      <c r="D36" s="6">
        <f>SUM(D33:D35)</f>
        <v>60.004348687499984</v>
      </c>
      <c r="E36" s="1"/>
      <c r="F36" s="5"/>
      <c r="G36" s="6">
        <f>SUM(G33:G35)</f>
        <v>62.937379312499985</v>
      </c>
      <c r="H36" s="6">
        <f>G36-D36</f>
        <v>2.9330306250000007</v>
      </c>
      <c r="I36" s="29">
        <f t="shared" si="20"/>
        <v>4.8880300997434296E-2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G14 D22:G22 E25:F25 D25 G25 I14:I3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6" t="s">
        <v>97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42</v>
      </c>
    </row>
    <row r="4" spans="1:9" ht="15" x14ac:dyDescent="0.25">
      <c r="A4" s="2" t="s">
        <v>65</v>
      </c>
      <c r="B4" s="10">
        <v>750</v>
      </c>
    </row>
    <row r="5" spans="1:9" ht="15" x14ac:dyDescent="0.25">
      <c r="A5" s="2" t="s">
        <v>4</v>
      </c>
      <c r="B5" s="10">
        <f>VLOOKUP(B3,'Data-DO NOT PRINT'!B3:Y11,5,0)</f>
        <v>1.0654999999999999</v>
      </c>
    </row>
    <row r="6" spans="1:9" ht="15" x14ac:dyDescent="0.25">
      <c r="A6" s="2" t="s">
        <v>67</v>
      </c>
      <c r="B6" s="10">
        <f>B4*B5</f>
        <v>799.12499999999989</v>
      </c>
    </row>
    <row r="7" spans="1:9" ht="15" x14ac:dyDescent="0.25">
      <c r="A7" s="2"/>
      <c r="B7" s="10"/>
    </row>
    <row r="8" spans="1:9" ht="15" x14ac:dyDescent="0.25">
      <c r="B8" s="83" t="s">
        <v>38</v>
      </c>
      <c r="C8" s="83"/>
      <c r="D8" s="83"/>
      <c r="E8" s="83" t="s">
        <v>100</v>
      </c>
      <c r="F8" s="83"/>
      <c r="G8" s="83"/>
      <c r="H8" s="83" t="s">
        <v>39</v>
      </c>
      <c r="I8" s="83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40</v>
      </c>
      <c r="I9" s="29" t="s">
        <v>41</v>
      </c>
    </row>
    <row r="10" spans="1:9" ht="15" x14ac:dyDescent="0.25">
      <c r="A10" s="2" t="s">
        <v>43</v>
      </c>
      <c r="B10" s="1">
        <v>1</v>
      </c>
      <c r="C10" s="5">
        <f>VLOOKUP($B$3,'Data-DO NOT PRINT'!$B$3:$AC$11,7,0)</f>
        <v>28.2</v>
      </c>
      <c r="D10" s="5">
        <f t="shared" ref="D10:D13" si="0">B10*C10</f>
        <v>28.2</v>
      </c>
      <c r="E10" s="1">
        <f t="shared" ref="E10:E13" si="1">B10</f>
        <v>1</v>
      </c>
      <c r="F10" s="5">
        <f>VLOOKUP($B$3,'Data-DO NOT PRINT'!$B$3:$AC$11,18,0)</f>
        <v>31.91</v>
      </c>
      <c r="G10" s="5">
        <f t="shared" ref="G10:G13" si="2">E10*F10</f>
        <v>31.91</v>
      </c>
      <c r="H10" s="5">
        <f t="shared" ref="H10:H13" si="3">G10-D10</f>
        <v>3.7100000000000009</v>
      </c>
      <c r="I10" s="27">
        <f>IF(ISERROR(H10/D10), "",H10/D10)</f>
        <v>0.13156028368794329</v>
      </c>
    </row>
    <row r="11" spans="1:9" ht="15" x14ac:dyDescent="0.25">
      <c r="A11" s="2" t="s">
        <v>44</v>
      </c>
      <c r="B11" s="1">
        <f>B4</f>
        <v>750</v>
      </c>
      <c r="C11" s="26">
        <f>VLOOKUP($B$3,'Data-DO NOT PRINT'!$B$3:$AC$11,8,0)</f>
        <v>9.9000000000000008E-3</v>
      </c>
      <c r="D11" s="5">
        <f t="shared" si="0"/>
        <v>7.4250000000000007</v>
      </c>
      <c r="E11" s="1">
        <f t="shared" si="1"/>
        <v>750</v>
      </c>
      <c r="F11" s="26">
        <f>VLOOKUP($B$3,'Data-DO NOT PRINT'!$B$3:$AC$11,19,0)</f>
        <v>5.0000000000000001E-3</v>
      </c>
      <c r="G11" s="5">
        <f t="shared" si="2"/>
        <v>3.75</v>
      </c>
      <c r="H11" s="5">
        <f t="shared" si="3"/>
        <v>-3.6750000000000007</v>
      </c>
      <c r="I11" s="27">
        <f t="shared" ref="I11:I13" si="4">IF(ISERROR(H11/D11), "",H11/D11)</f>
        <v>-0.49494949494949497</v>
      </c>
    </row>
    <row r="12" spans="1:9" ht="15" x14ac:dyDescent="0.25">
      <c r="A12" s="2" t="s">
        <v>45</v>
      </c>
      <c r="B12" s="1">
        <v>1</v>
      </c>
      <c r="C12" s="5">
        <f>VLOOKUP($B$3,'Data-DO NOT PRINT'!$B$3:$AC$11,10,0)</f>
        <v>-0.28000000000000003</v>
      </c>
      <c r="D12" s="5">
        <f t="shared" si="0"/>
        <v>-0.28000000000000003</v>
      </c>
      <c r="E12" s="1">
        <f t="shared" si="1"/>
        <v>1</v>
      </c>
      <c r="F12" s="5">
        <f>VLOOKUP($B$3,'Data-DO NOT PRINT'!$B$3:$AC$11,21,0)</f>
        <v>-0.32</v>
      </c>
      <c r="G12" s="5">
        <f t="shared" si="2"/>
        <v>-0.32</v>
      </c>
      <c r="H12" s="5">
        <f t="shared" si="3"/>
        <v>-3.999999999999998E-2</v>
      </c>
      <c r="I12" s="27">
        <f t="shared" si="4"/>
        <v>0.14285714285714277</v>
      </c>
    </row>
    <row r="13" spans="1:9" ht="15" x14ac:dyDescent="0.25">
      <c r="A13" s="2" t="s">
        <v>46</v>
      </c>
      <c r="B13" s="1">
        <f>B4</f>
        <v>750</v>
      </c>
      <c r="C13" s="26">
        <f>VLOOKUP($B$3,'Data-DO NOT PRINT'!$B$3:$AC$11,11,0)</f>
        <v>-1.4E-3</v>
      </c>
      <c r="D13" s="5">
        <f t="shared" si="0"/>
        <v>-1.05</v>
      </c>
      <c r="E13" s="1">
        <f t="shared" si="1"/>
        <v>750</v>
      </c>
      <c r="F13" s="26">
        <f>VLOOKUP($B$3,'Data-DO NOT PRINT'!$B$3:$AC$11,22,0)</f>
        <v>1E-4</v>
      </c>
      <c r="G13" s="5">
        <f t="shared" si="2"/>
        <v>7.4999999999999997E-2</v>
      </c>
      <c r="H13" s="5">
        <f t="shared" si="3"/>
        <v>1.125</v>
      </c>
      <c r="I13" s="27">
        <f t="shared" si="4"/>
        <v>-1.0714285714285714</v>
      </c>
    </row>
    <row r="14" spans="1:9" ht="15" x14ac:dyDescent="0.25">
      <c r="A14" s="19" t="s">
        <v>47</v>
      </c>
      <c r="B14" s="17"/>
      <c r="C14" s="22"/>
      <c r="D14" s="18">
        <f>SUM(D10:D13)</f>
        <v>34.295000000000002</v>
      </c>
      <c r="E14" s="16"/>
      <c r="F14" s="18"/>
      <c r="G14" s="18">
        <f>SUM(G10:G13)</f>
        <v>35.414999999999999</v>
      </c>
      <c r="H14" s="18">
        <f>G14-D14</f>
        <v>1.1199999999999974</v>
      </c>
      <c r="I14" s="28">
        <f>H14/D14</f>
        <v>3.2657821839918277E-2</v>
      </c>
    </row>
    <row r="15" spans="1:9" ht="15" x14ac:dyDescent="0.25">
      <c r="A15" s="2" t="s">
        <v>48</v>
      </c>
      <c r="B15" s="8">
        <f>B6-B4</f>
        <v>49.124999999999886</v>
      </c>
      <c r="C15" s="25">
        <f>IF(ISNUMBER(SEARCH("_RPP",$B$3)),((0.65*C29)+(0.17*C30)+(0.18*C31)),0.1101)</f>
        <v>8.1990000000000007E-2</v>
      </c>
      <c r="D15" s="5">
        <f>B15*C15</f>
        <v>4.0277587499999914</v>
      </c>
      <c r="E15" s="8">
        <f>B15</f>
        <v>49.124999999999886</v>
      </c>
      <c r="F15" s="25">
        <f>C15</f>
        <v>8.1990000000000007E-2</v>
      </c>
      <c r="G15" s="5">
        <f>E15*F15</f>
        <v>4.0277587499999914</v>
      </c>
      <c r="H15" s="5">
        <f t="shared" ref="H15:H31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99</v>
      </c>
      <c r="B17" s="1">
        <f>B4</f>
        <v>750</v>
      </c>
      <c r="C17" s="26">
        <f>VLOOKUP($B$3,'Data-DO NOT PRINT'!$B$3:$AC$11,13,0)</f>
        <v>0</v>
      </c>
      <c r="D17" s="5">
        <f>B17*C17</f>
        <v>0</v>
      </c>
      <c r="E17" s="1">
        <f>B17</f>
        <v>750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49</v>
      </c>
      <c r="B18" s="1">
        <f>B4</f>
        <v>750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750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50</v>
      </c>
      <c r="B19" s="1">
        <f>B4</f>
        <v>750</v>
      </c>
      <c r="C19" s="26">
        <f>VLOOKUP($B$3,'Data-DO NOT PRINT'!$B$3:$AC$11,15,0)</f>
        <v>0</v>
      </c>
      <c r="D19" s="5">
        <f t="shared" si="7"/>
        <v>0</v>
      </c>
      <c r="E19" s="1">
        <f>B19</f>
        <v>750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51</v>
      </c>
      <c r="B20" s="1">
        <f>B4</f>
        <v>750</v>
      </c>
      <c r="C20" s="26">
        <f>VLOOKUP($B$3,'Data-DO NOT PRINT'!$B$3:$AC$11,9,0)</f>
        <v>4.0000000000000002E-4</v>
      </c>
      <c r="D20" s="5">
        <f t="shared" si="7"/>
        <v>0.3</v>
      </c>
      <c r="E20" s="1">
        <f>B20</f>
        <v>750</v>
      </c>
      <c r="F20" s="26">
        <f>VLOOKUP($B$3,'Data-DO NOT PRINT'!$B$3:$AC$11,20,0)</f>
        <v>4.0000000000000002E-4</v>
      </c>
      <c r="G20" s="5">
        <f t="shared" si="9"/>
        <v>0.3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52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53</v>
      </c>
      <c r="B22" s="17"/>
      <c r="C22" s="22"/>
      <c r="D22" s="18">
        <f>SUM(D14:D21)</f>
        <v>39.192758749999989</v>
      </c>
      <c r="E22" s="17"/>
      <c r="F22" s="22"/>
      <c r="G22" s="18">
        <f>SUM(G14:G21)</f>
        <v>40.312758749999986</v>
      </c>
      <c r="H22" s="18">
        <f>G22-D22</f>
        <v>1.1199999999999974</v>
      </c>
      <c r="I22" s="28">
        <f>H22/D22</f>
        <v>2.8576707425577632E-2</v>
      </c>
    </row>
    <row r="23" spans="1:9" ht="15" x14ac:dyDescent="0.25">
      <c r="A23" s="2" t="s">
        <v>54</v>
      </c>
      <c r="B23" s="8">
        <f>B6</f>
        <v>799.12499999999989</v>
      </c>
      <c r="C23" s="26">
        <f>VLOOKUP($B$3,'Data-DO NOT PRINT'!$B$3:$AC$11,16,0)</f>
        <v>6.4000000000000003E-3</v>
      </c>
      <c r="D23" s="5">
        <f t="shared" ref="D23:D24" si="10">B23*C23</f>
        <v>5.1143999999999998</v>
      </c>
      <c r="E23" s="8">
        <f t="shared" ref="E23:E24" si="11">B23</f>
        <v>799.12499999999989</v>
      </c>
      <c r="F23" s="26">
        <f>VLOOKUP($B$3,'Data-DO NOT PRINT'!$B$3:$AC$11,27,0)</f>
        <v>6.4999999999999997E-3</v>
      </c>
      <c r="G23" s="5">
        <f t="shared" ref="G23:G24" si="12">E23*F23</f>
        <v>5.1943124999999988</v>
      </c>
      <c r="H23" s="5">
        <f t="shared" si="5"/>
        <v>7.9912499999998943E-2</v>
      </c>
      <c r="I23" s="27">
        <f t="shared" ref="I23:I24" si="13">IF(ISERROR(H23/D23), "",H23/D23)</f>
        <v>1.5624999999999794E-2</v>
      </c>
    </row>
    <row r="24" spans="1:9" ht="15" x14ac:dyDescent="0.25">
      <c r="A24" s="2" t="s">
        <v>55</v>
      </c>
      <c r="B24" s="8">
        <f>B6</f>
        <v>799.12499999999989</v>
      </c>
      <c r="C24" s="26">
        <f>VLOOKUP($B$3,'Data-DO NOT PRINT'!$B$3:$AC$11,17,0)</f>
        <v>6.0000000000000001E-3</v>
      </c>
      <c r="D24" s="5">
        <f t="shared" si="10"/>
        <v>4.7947499999999996</v>
      </c>
      <c r="E24" s="8">
        <f t="shared" si="11"/>
        <v>799.12499999999989</v>
      </c>
      <c r="F24" s="26">
        <f>VLOOKUP($B$3,'Data-DO NOT PRINT'!$B$3:$AC$11,28,0)</f>
        <v>5.7999999999999996E-3</v>
      </c>
      <c r="G24" s="5">
        <f t="shared" si="12"/>
        <v>4.6349249999999991</v>
      </c>
      <c r="H24" s="5">
        <f t="shared" si="5"/>
        <v>-0.15982500000000055</v>
      </c>
      <c r="I24" s="27">
        <f t="shared" si="13"/>
        <v>-3.3333333333333451E-2</v>
      </c>
    </row>
    <row r="25" spans="1:9" ht="15" x14ac:dyDescent="0.25">
      <c r="A25" s="19" t="s">
        <v>56</v>
      </c>
      <c r="B25" s="17"/>
      <c r="C25" s="22"/>
      <c r="D25" s="18">
        <f>SUM(D22:D24)</f>
        <v>49.101908749999986</v>
      </c>
      <c r="E25" s="17"/>
      <c r="F25" s="22"/>
      <c r="G25" s="18">
        <f>SUM(G22:G24)</f>
        <v>50.141996249999977</v>
      </c>
      <c r="H25" s="18">
        <f>G25-D25</f>
        <v>1.0400874999999914</v>
      </c>
      <c r="I25" s="28">
        <f>H25/D25</f>
        <v>2.1182221353054666E-2</v>
      </c>
    </row>
    <row r="26" spans="1:9" ht="15" x14ac:dyDescent="0.25">
      <c r="A26" s="2" t="s">
        <v>57</v>
      </c>
      <c r="B26" s="8">
        <f>B6</f>
        <v>799.12499999999989</v>
      </c>
      <c r="C26" s="26">
        <v>3.3999999999999998E-3</v>
      </c>
      <c r="D26" s="5">
        <f t="shared" ref="D26:D28" si="14">B26*C26</f>
        <v>2.7170249999999996</v>
      </c>
      <c r="E26" s="8">
        <f t="shared" ref="E26:E28" si="15">B26</f>
        <v>799.12499999999989</v>
      </c>
      <c r="F26" s="26">
        <v>3.3999999999999998E-3</v>
      </c>
      <c r="G26" s="5">
        <f t="shared" ref="G26:G31" si="16">E26*F26</f>
        <v>2.7170249999999996</v>
      </c>
      <c r="H26" s="5">
        <f t="shared" si="5"/>
        <v>0</v>
      </c>
      <c r="I26" s="27">
        <f t="shared" ref="I26:I31" si="17">IF(ISERROR(H26/D26), "",H26/D26)</f>
        <v>0</v>
      </c>
    </row>
    <row r="27" spans="1:9" ht="15" x14ac:dyDescent="0.25">
      <c r="A27" s="2" t="s">
        <v>58</v>
      </c>
      <c r="B27" s="8">
        <f>B6</f>
        <v>799.12499999999989</v>
      </c>
      <c r="C27" s="26">
        <v>5.0000000000000001E-4</v>
      </c>
      <c r="D27" s="5">
        <f t="shared" si="14"/>
        <v>0.39956249999999993</v>
      </c>
      <c r="E27" s="8">
        <f t="shared" si="15"/>
        <v>799.12499999999989</v>
      </c>
      <c r="F27" s="26">
        <v>5.0000000000000001E-4</v>
      </c>
      <c r="G27" s="5">
        <f t="shared" si="16"/>
        <v>0.39956249999999993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59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9</v>
      </c>
      <c r="B29" s="1">
        <f>$B$4*0.65</f>
        <v>487.5</v>
      </c>
      <c r="C29" s="25">
        <v>6.5000000000000002E-2</v>
      </c>
      <c r="D29" s="5">
        <f>B29*C29</f>
        <v>31.6875</v>
      </c>
      <c r="E29" s="1">
        <f>B29</f>
        <v>487.5</v>
      </c>
      <c r="F29" s="25">
        <f>C29</f>
        <v>6.5000000000000002E-2</v>
      </c>
      <c r="G29" s="5">
        <f t="shared" si="16"/>
        <v>31.6875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8</v>
      </c>
      <c r="B30" s="1">
        <f>$B$4*0.17</f>
        <v>127.50000000000001</v>
      </c>
      <c r="C30" s="25">
        <v>9.4E-2</v>
      </c>
      <c r="D30" s="5">
        <f t="shared" ref="D30:D31" si="18">B30*C30</f>
        <v>11.985000000000001</v>
      </c>
      <c r="E30" s="1">
        <f>B30</f>
        <v>127.50000000000001</v>
      </c>
      <c r="F30" s="25">
        <f t="shared" ref="F30:F31" si="19">C30</f>
        <v>9.4E-2</v>
      </c>
      <c r="G30" s="5">
        <f t="shared" si="16"/>
        <v>11.985000000000001</v>
      </c>
      <c r="H30" s="5">
        <f t="shared" si="5"/>
        <v>0</v>
      </c>
      <c r="I30" s="27">
        <f t="shared" si="17"/>
        <v>0</v>
      </c>
    </row>
    <row r="31" spans="1:9" x14ac:dyDescent="0.3">
      <c r="A31" s="2" t="s">
        <v>7</v>
      </c>
      <c r="B31" s="1">
        <f>$B$4*0.18</f>
        <v>135</v>
      </c>
      <c r="C31" s="25">
        <v>0.13200000000000001</v>
      </c>
      <c r="D31" s="5">
        <f t="shared" si="18"/>
        <v>17.82</v>
      </c>
      <c r="E31" s="1">
        <f>B31</f>
        <v>135</v>
      </c>
      <c r="F31" s="25">
        <f t="shared" si="19"/>
        <v>0.13200000000000001</v>
      </c>
      <c r="G31" s="5">
        <f t="shared" si="16"/>
        <v>17.82</v>
      </c>
      <c r="H31" s="5">
        <f t="shared" si="5"/>
        <v>0</v>
      </c>
      <c r="I31" s="27">
        <f t="shared" si="17"/>
        <v>0</v>
      </c>
    </row>
    <row r="32" spans="1:9" x14ac:dyDescent="0.3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60</v>
      </c>
      <c r="D33" s="6">
        <f>SUM(D25:D31)</f>
        <v>113.96099624999999</v>
      </c>
      <c r="E33" s="1"/>
      <c r="F33" s="5"/>
      <c r="G33" s="6">
        <f>SUM(G25:G31)</f>
        <v>115.00108374999999</v>
      </c>
      <c r="H33" s="6">
        <f>G33-D33</f>
        <v>1.0400874999999985</v>
      </c>
      <c r="I33" s="29">
        <f t="shared" ref="I33:I36" si="20">IF(ISERROR(H33/D33), "",H33/D33)</f>
        <v>9.1266971527550027E-3</v>
      </c>
    </row>
    <row r="34" spans="1:9" x14ac:dyDescent="0.3">
      <c r="A34" s="2" t="s">
        <v>5</v>
      </c>
      <c r="C34" s="7">
        <v>0.13</v>
      </c>
      <c r="D34" s="5">
        <f>C34*D33</f>
        <v>14.814929512499999</v>
      </c>
      <c r="E34" s="1"/>
      <c r="F34" s="7">
        <v>0.13</v>
      </c>
      <c r="G34" s="5">
        <f>F34*G33</f>
        <v>14.9501408875</v>
      </c>
      <c r="H34" s="5">
        <f t="shared" ref="H34:H35" si="21">G34-D34</f>
        <v>0.1352113750000008</v>
      </c>
      <c r="I34" s="27">
        <f t="shared" si="20"/>
        <v>9.1266971527550703E-3</v>
      </c>
    </row>
    <row r="35" spans="1:9" x14ac:dyDescent="0.3">
      <c r="A35" s="2" t="s">
        <v>61</v>
      </c>
      <c r="C35" s="7">
        <v>-0.08</v>
      </c>
      <c r="D35" s="5">
        <f>C35*D33</f>
        <v>-9.1168797000000001</v>
      </c>
      <c r="E35" s="1"/>
      <c r="F35" s="7">
        <v>-0.08</v>
      </c>
      <c r="G35" s="5">
        <f>F35*G33</f>
        <v>-9.2000867</v>
      </c>
      <c r="H35" s="5">
        <f t="shared" si="21"/>
        <v>-8.3206999999999809E-2</v>
      </c>
      <c r="I35" s="27">
        <f t="shared" si="20"/>
        <v>9.126697152754994E-3</v>
      </c>
    </row>
    <row r="36" spans="1:9" x14ac:dyDescent="0.3">
      <c r="A36" s="2" t="s">
        <v>62</v>
      </c>
      <c r="D36" s="6">
        <f>SUM(D33:D35)</f>
        <v>119.65904606249998</v>
      </c>
      <c r="E36" s="1"/>
      <c r="F36" s="5"/>
      <c r="G36" s="6">
        <f>SUM(G33:G35)</f>
        <v>120.75113793749999</v>
      </c>
      <c r="H36" s="6">
        <f>G36-D36</f>
        <v>1.0920918750000084</v>
      </c>
      <c r="I36" s="29">
        <f t="shared" si="20"/>
        <v>9.1266971527550877E-3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6" t="s">
        <v>97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42</v>
      </c>
    </row>
    <row r="4" spans="1:9" ht="15" x14ac:dyDescent="0.25">
      <c r="A4" s="2" t="s">
        <v>65</v>
      </c>
      <c r="B4" s="31">
        <v>1500</v>
      </c>
    </row>
    <row r="5" spans="1:9" ht="15" x14ac:dyDescent="0.25">
      <c r="A5" s="2" t="s">
        <v>4</v>
      </c>
      <c r="B5" s="10">
        <f>VLOOKUP(B3,'Data-DO NOT PRINT'!B3:Y11,5,0)</f>
        <v>1.0654999999999999</v>
      </c>
    </row>
    <row r="6" spans="1:9" ht="15" x14ac:dyDescent="0.25">
      <c r="A6" s="2" t="s">
        <v>67</v>
      </c>
      <c r="B6" s="10">
        <f>B4*B5</f>
        <v>1598.2499999999998</v>
      </c>
    </row>
    <row r="7" spans="1:9" ht="15" x14ac:dyDescent="0.25">
      <c r="A7" s="2"/>
      <c r="B7" s="10"/>
    </row>
    <row r="8" spans="1:9" ht="15" x14ac:dyDescent="0.25">
      <c r="B8" s="83" t="s">
        <v>38</v>
      </c>
      <c r="C8" s="83"/>
      <c r="D8" s="83"/>
      <c r="E8" s="83" t="s">
        <v>100</v>
      </c>
      <c r="F8" s="83"/>
      <c r="G8" s="83"/>
      <c r="H8" s="83" t="s">
        <v>39</v>
      </c>
      <c r="I8" s="83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40</v>
      </c>
      <c r="I9" s="29" t="s">
        <v>41</v>
      </c>
    </row>
    <row r="10" spans="1:9" ht="15" x14ac:dyDescent="0.25">
      <c r="A10" s="2" t="s">
        <v>43</v>
      </c>
      <c r="B10" s="1">
        <v>1</v>
      </c>
      <c r="C10" s="5">
        <f>VLOOKUP($B$3,'Data-DO NOT PRINT'!$B$3:$AC$11,7,0)</f>
        <v>28.2</v>
      </c>
      <c r="D10" s="5">
        <f t="shared" ref="D10:D13" si="0">B10*C10</f>
        <v>28.2</v>
      </c>
      <c r="E10" s="1">
        <f t="shared" ref="E10:E13" si="1">B10</f>
        <v>1</v>
      </c>
      <c r="F10" s="5">
        <f>VLOOKUP($B$3,'Data-DO NOT PRINT'!$B$3:$AC$11,18,0)</f>
        <v>31.91</v>
      </c>
      <c r="G10" s="5">
        <f t="shared" ref="G10:G13" si="2">E10*F10</f>
        <v>31.91</v>
      </c>
      <c r="H10" s="5">
        <f t="shared" ref="H10:H13" si="3">G10-D10</f>
        <v>3.7100000000000009</v>
      </c>
      <c r="I10" s="27">
        <f>IF(ISERROR(H10/D10), "",H10/D10)</f>
        <v>0.13156028368794329</v>
      </c>
    </row>
    <row r="11" spans="1:9" ht="15" x14ac:dyDescent="0.25">
      <c r="A11" s="2" t="s">
        <v>44</v>
      </c>
      <c r="B11" s="1">
        <f>B4</f>
        <v>1500</v>
      </c>
      <c r="C11" s="26">
        <f>VLOOKUP($B$3,'Data-DO NOT PRINT'!$B$3:$AC$11,8,0)</f>
        <v>9.9000000000000008E-3</v>
      </c>
      <c r="D11" s="5">
        <f t="shared" si="0"/>
        <v>14.850000000000001</v>
      </c>
      <c r="E11" s="1">
        <f t="shared" si="1"/>
        <v>1500</v>
      </c>
      <c r="F11" s="26">
        <f>VLOOKUP($B$3,'Data-DO NOT PRINT'!$B$3:$AC$11,19,0)</f>
        <v>5.0000000000000001E-3</v>
      </c>
      <c r="G11" s="5">
        <f t="shared" si="2"/>
        <v>7.5</v>
      </c>
      <c r="H11" s="5">
        <f t="shared" si="3"/>
        <v>-7.3500000000000014</v>
      </c>
      <c r="I11" s="27">
        <f t="shared" ref="I11:I13" si="4">IF(ISERROR(H11/D11), "",H11/D11)</f>
        <v>-0.49494949494949497</v>
      </c>
    </row>
    <row r="12" spans="1:9" ht="15" x14ac:dyDescent="0.25">
      <c r="A12" s="2" t="s">
        <v>45</v>
      </c>
      <c r="B12" s="1">
        <v>1</v>
      </c>
      <c r="C12" s="5">
        <f>VLOOKUP($B$3,'Data-DO NOT PRINT'!$B$3:$AC$11,10,0)</f>
        <v>-0.28000000000000003</v>
      </c>
      <c r="D12" s="5">
        <f t="shared" si="0"/>
        <v>-0.28000000000000003</v>
      </c>
      <c r="E12" s="1">
        <f t="shared" si="1"/>
        <v>1</v>
      </c>
      <c r="F12" s="5">
        <f>VLOOKUP($B$3,'Data-DO NOT PRINT'!$B$3:$AC$11,21,0)</f>
        <v>-0.32</v>
      </c>
      <c r="G12" s="5">
        <f t="shared" si="2"/>
        <v>-0.32</v>
      </c>
      <c r="H12" s="5">
        <f t="shared" si="3"/>
        <v>-3.999999999999998E-2</v>
      </c>
      <c r="I12" s="27">
        <f t="shared" si="4"/>
        <v>0.14285714285714277</v>
      </c>
    </row>
    <row r="13" spans="1:9" ht="15" x14ac:dyDescent="0.25">
      <c r="A13" s="2" t="s">
        <v>46</v>
      </c>
      <c r="B13" s="1">
        <f>B4</f>
        <v>1500</v>
      </c>
      <c r="C13" s="26">
        <f>VLOOKUP($B$3,'Data-DO NOT PRINT'!$B$3:$AC$11,11,0)</f>
        <v>-1.4E-3</v>
      </c>
      <c r="D13" s="5">
        <f t="shared" si="0"/>
        <v>-2.1</v>
      </c>
      <c r="E13" s="1">
        <f t="shared" si="1"/>
        <v>1500</v>
      </c>
      <c r="F13" s="26">
        <f>VLOOKUP($B$3,'Data-DO NOT PRINT'!$B$3:$AC$11,22,0)</f>
        <v>1E-4</v>
      </c>
      <c r="G13" s="5">
        <f t="shared" si="2"/>
        <v>0.15</v>
      </c>
      <c r="H13" s="5">
        <f t="shared" si="3"/>
        <v>2.25</v>
      </c>
      <c r="I13" s="27">
        <f t="shared" si="4"/>
        <v>-1.0714285714285714</v>
      </c>
    </row>
    <row r="14" spans="1:9" ht="15" x14ac:dyDescent="0.25">
      <c r="A14" s="19" t="s">
        <v>47</v>
      </c>
      <c r="B14" s="17"/>
      <c r="C14" s="22"/>
      <c r="D14" s="18">
        <f>SUM(D10:D13)</f>
        <v>40.669999999999995</v>
      </c>
      <c r="E14" s="16"/>
      <c r="F14" s="18"/>
      <c r="G14" s="18">
        <f>SUM(G10:G13)</f>
        <v>39.239999999999995</v>
      </c>
      <c r="H14" s="18">
        <f>G14-D14</f>
        <v>-1.4299999999999997</v>
      </c>
      <c r="I14" s="28">
        <f>H14/D14</f>
        <v>-3.5161052372756331E-2</v>
      </c>
    </row>
    <row r="15" spans="1:9" ht="15" x14ac:dyDescent="0.25">
      <c r="A15" s="2" t="s">
        <v>48</v>
      </c>
      <c r="B15" s="8">
        <f>B6-B4</f>
        <v>98.249999999999773</v>
      </c>
      <c r="C15" s="25">
        <f>IF(ISNUMBER(SEARCH("_RPP",$B$3)),((0.65*C29)+(0.17*C30)+(0.18*C31)),0.1101)</f>
        <v>8.1990000000000007E-2</v>
      </c>
      <c r="D15" s="5">
        <f>B15*C15</f>
        <v>8.0555174999999828</v>
      </c>
      <c r="E15" s="8">
        <f>B15</f>
        <v>98.249999999999773</v>
      </c>
      <c r="F15" s="25">
        <f>C15</f>
        <v>8.1990000000000007E-2</v>
      </c>
      <c r="G15" s="5">
        <f>E15*F15</f>
        <v>8.0555174999999828</v>
      </c>
      <c r="H15" s="5">
        <f t="shared" ref="H15:H31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99</v>
      </c>
      <c r="B17" s="1">
        <f>B4</f>
        <v>1500</v>
      </c>
      <c r="C17" s="26">
        <f>VLOOKUP($B$3,'Data-DO NOT PRINT'!$B$3:$AC$11,13,0)</f>
        <v>0</v>
      </c>
      <c r="D17" s="5">
        <f>B17*C17</f>
        <v>0</v>
      </c>
      <c r="E17" s="1">
        <f>B17</f>
        <v>1500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49</v>
      </c>
      <c r="B18" s="1">
        <f>B4</f>
        <v>1500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1500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50</v>
      </c>
      <c r="B19" s="1">
        <f>B4</f>
        <v>1500</v>
      </c>
      <c r="C19" s="26">
        <f>VLOOKUP($B$3,'Data-DO NOT PRINT'!$B$3:$AC$11,15,0)</f>
        <v>0</v>
      </c>
      <c r="D19" s="5">
        <f t="shared" si="7"/>
        <v>0</v>
      </c>
      <c r="E19" s="1">
        <f>B19</f>
        <v>1500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51</v>
      </c>
      <c r="B20" s="1">
        <f>B4</f>
        <v>1500</v>
      </c>
      <c r="C20" s="26">
        <f>VLOOKUP($B$3,'Data-DO NOT PRINT'!$B$3:$AC$11,9,0)</f>
        <v>4.0000000000000002E-4</v>
      </c>
      <c r="D20" s="5">
        <f t="shared" si="7"/>
        <v>0.6</v>
      </c>
      <c r="E20" s="1">
        <f>B20</f>
        <v>1500</v>
      </c>
      <c r="F20" s="26">
        <f>VLOOKUP($B$3,'Data-DO NOT PRINT'!$B$3:$AC$11,20,0)</f>
        <v>4.0000000000000002E-4</v>
      </c>
      <c r="G20" s="5">
        <f t="shared" si="9"/>
        <v>0.6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52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53</v>
      </c>
      <c r="B22" s="17"/>
      <c r="C22" s="22"/>
      <c r="D22" s="18">
        <f>SUM(D14:D21)</f>
        <v>49.895517499999983</v>
      </c>
      <c r="E22" s="17"/>
      <c r="F22" s="22"/>
      <c r="G22" s="18">
        <f>SUM(G14:G21)</f>
        <v>48.465517499999976</v>
      </c>
      <c r="H22" s="18">
        <f>G22-D22</f>
        <v>-1.4300000000000068</v>
      </c>
      <c r="I22" s="28">
        <f>H22/D22</f>
        <v>-2.865988913733598E-2</v>
      </c>
    </row>
    <row r="23" spans="1:9" ht="15" x14ac:dyDescent="0.25">
      <c r="A23" s="2" t="s">
        <v>54</v>
      </c>
      <c r="B23" s="8">
        <f>B6</f>
        <v>1598.2499999999998</v>
      </c>
      <c r="C23" s="26">
        <f>VLOOKUP($B$3,'Data-DO NOT PRINT'!$B$3:$AC$11,16,0)</f>
        <v>6.4000000000000003E-3</v>
      </c>
      <c r="D23" s="5">
        <f t="shared" ref="D23:D24" si="10">B23*C23</f>
        <v>10.2288</v>
      </c>
      <c r="E23" s="8">
        <f t="shared" ref="E23:E24" si="11">B23</f>
        <v>1598.2499999999998</v>
      </c>
      <c r="F23" s="26">
        <f>VLOOKUP($B$3,'Data-DO NOT PRINT'!$B$3:$AC$11,27,0)</f>
        <v>6.4999999999999997E-3</v>
      </c>
      <c r="G23" s="5">
        <f t="shared" ref="G23:G24" si="12">E23*F23</f>
        <v>10.388624999999998</v>
      </c>
      <c r="H23" s="5">
        <f t="shared" si="5"/>
        <v>0.15982499999999789</v>
      </c>
      <c r="I23" s="27">
        <f t="shared" ref="I23:I24" si="13">IF(ISERROR(H23/D23), "",H23/D23)</f>
        <v>1.5624999999999794E-2</v>
      </c>
    </row>
    <row r="24" spans="1:9" ht="15" x14ac:dyDescent="0.25">
      <c r="A24" s="2" t="s">
        <v>55</v>
      </c>
      <c r="B24" s="8">
        <f>B6</f>
        <v>1598.2499999999998</v>
      </c>
      <c r="C24" s="26">
        <f>VLOOKUP($B$3,'Data-DO NOT PRINT'!$B$3:$AC$11,17,0)</f>
        <v>6.0000000000000001E-3</v>
      </c>
      <c r="D24" s="5">
        <f t="shared" si="10"/>
        <v>9.5894999999999992</v>
      </c>
      <c r="E24" s="8">
        <f t="shared" si="11"/>
        <v>1598.2499999999998</v>
      </c>
      <c r="F24" s="26">
        <f>VLOOKUP($B$3,'Data-DO NOT PRINT'!$B$3:$AC$11,28,0)</f>
        <v>5.7999999999999996E-3</v>
      </c>
      <c r="G24" s="5">
        <f t="shared" si="12"/>
        <v>9.2698499999999981</v>
      </c>
      <c r="H24" s="5">
        <f t="shared" si="5"/>
        <v>-0.3196500000000011</v>
      </c>
      <c r="I24" s="27">
        <f t="shared" si="13"/>
        <v>-3.3333333333333451E-2</v>
      </c>
    </row>
    <row r="25" spans="1:9" ht="15" x14ac:dyDescent="0.25">
      <c r="A25" s="19" t="s">
        <v>56</v>
      </c>
      <c r="B25" s="17"/>
      <c r="C25" s="22"/>
      <c r="D25" s="18">
        <f>SUM(D22:D24)</f>
        <v>69.713817499999976</v>
      </c>
      <c r="E25" s="17"/>
      <c r="F25" s="22"/>
      <c r="G25" s="18">
        <f>SUM(G22:G24)</f>
        <v>68.123992499999972</v>
      </c>
      <c r="H25" s="18">
        <f>G25-D25</f>
        <v>-1.5898250000000047</v>
      </c>
      <c r="I25" s="28">
        <f>H25/D25</f>
        <v>-2.2805019966092164E-2</v>
      </c>
    </row>
    <row r="26" spans="1:9" ht="15" x14ac:dyDescent="0.25">
      <c r="A26" s="2" t="s">
        <v>57</v>
      </c>
      <c r="B26" s="8">
        <f>B6</f>
        <v>1598.2499999999998</v>
      </c>
      <c r="C26" s="26">
        <v>3.3999999999999998E-3</v>
      </c>
      <c r="D26" s="5">
        <f t="shared" ref="D26:D28" si="14">B26*C26</f>
        <v>5.4340499999999992</v>
      </c>
      <c r="E26" s="8">
        <f t="shared" ref="E26:E28" si="15">B26</f>
        <v>1598.2499999999998</v>
      </c>
      <c r="F26" s="26">
        <v>3.3999999999999998E-3</v>
      </c>
      <c r="G26" s="5">
        <f t="shared" ref="G26:G31" si="16">E26*F26</f>
        <v>5.4340499999999992</v>
      </c>
      <c r="H26" s="5">
        <f t="shared" si="5"/>
        <v>0</v>
      </c>
      <c r="I26" s="27">
        <f t="shared" ref="I26:I31" si="17">IF(ISERROR(H26/D26), "",H26/D26)</f>
        <v>0</v>
      </c>
    </row>
    <row r="27" spans="1:9" ht="15" x14ac:dyDescent="0.25">
      <c r="A27" s="2" t="s">
        <v>58</v>
      </c>
      <c r="B27" s="8">
        <f>B6</f>
        <v>1598.2499999999998</v>
      </c>
      <c r="C27" s="26">
        <v>5.0000000000000001E-4</v>
      </c>
      <c r="D27" s="5">
        <f t="shared" si="14"/>
        <v>0.79912499999999986</v>
      </c>
      <c r="E27" s="8">
        <f t="shared" si="15"/>
        <v>1598.2499999999998</v>
      </c>
      <c r="F27" s="26">
        <v>5.0000000000000001E-4</v>
      </c>
      <c r="G27" s="5">
        <f t="shared" si="16"/>
        <v>0.79912499999999986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59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9</v>
      </c>
      <c r="B29" s="1">
        <f>$B$4*0.65</f>
        <v>975</v>
      </c>
      <c r="C29" s="25">
        <v>6.5000000000000002E-2</v>
      </c>
      <c r="D29" s="5">
        <f>B29*C29</f>
        <v>63.375</v>
      </c>
      <c r="E29" s="1">
        <f>B29</f>
        <v>975</v>
      </c>
      <c r="F29" s="25">
        <f>C29</f>
        <v>6.5000000000000002E-2</v>
      </c>
      <c r="G29" s="5">
        <f t="shared" si="16"/>
        <v>63.375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8</v>
      </c>
      <c r="B30" s="1">
        <f>$B$4*0.17</f>
        <v>255.00000000000003</v>
      </c>
      <c r="C30" s="25">
        <v>9.4E-2</v>
      </c>
      <c r="D30" s="5">
        <f t="shared" ref="D30:D31" si="18">B30*C30</f>
        <v>23.970000000000002</v>
      </c>
      <c r="E30" s="1">
        <f>B30</f>
        <v>255.00000000000003</v>
      </c>
      <c r="F30" s="25">
        <f t="shared" ref="F30:F31" si="19">C30</f>
        <v>9.4E-2</v>
      </c>
      <c r="G30" s="5">
        <f t="shared" si="16"/>
        <v>23.970000000000002</v>
      </c>
      <c r="H30" s="5">
        <f t="shared" si="5"/>
        <v>0</v>
      </c>
      <c r="I30" s="27">
        <f t="shared" si="17"/>
        <v>0</v>
      </c>
    </row>
    <row r="31" spans="1:9" x14ac:dyDescent="0.3">
      <c r="A31" s="2" t="s">
        <v>7</v>
      </c>
      <c r="B31" s="1">
        <f>$B$4*0.18</f>
        <v>270</v>
      </c>
      <c r="C31" s="25">
        <v>0.13200000000000001</v>
      </c>
      <c r="D31" s="5">
        <f t="shared" si="18"/>
        <v>35.64</v>
      </c>
      <c r="E31" s="1">
        <f>B31</f>
        <v>270</v>
      </c>
      <c r="F31" s="25">
        <f t="shared" si="19"/>
        <v>0.13200000000000001</v>
      </c>
      <c r="G31" s="5">
        <f t="shared" si="16"/>
        <v>35.64</v>
      </c>
      <c r="H31" s="5">
        <f t="shared" si="5"/>
        <v>0</v>
      </c>
      <c r="I31" s="27">
        <f t="shared" si="17"/>
        <v>0</v>
      </c>
    </row>
    <row r="32" spans="1:9" x14ac:dyDescent="0.3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60</v>
      </c>
      <c r="D33" s="6">
        <f>SUM(D25:D31)</f>
        <v>199.18199249999998</v>
      </c>
      <c r="E33" s="1"/>
      <c r="F33" s="5"/>
      <c r="G33" s="6">
        <f>SUM(G25:G31)</f>
        <v>197.59216749999996</v>
      </c>
      <c r="H33" s="6">
        <f>G33-D33</f>
        <v>-1.5898250000000189</v>
      </c>
      <c r="I33" s="29">
        <f t="shared" ref="I33:I36" si="20">IF(ISERROR(H33/D33), "",H33/D33)</f>
        <v>-7.9817707416498466E-3</v>
      </c>
    </row>
    <row r="34" spans="1:9" x14ac:dyDescent="0.3">
      <c r="A34" s="2" t="s">
        <v>5</v>
      </c>
      <c r="C34" s="7">
        <v>0.13</v>
      </c>
      <c r="D34" s="5">
        <f>C34*D33</f>
        <v>25.893659024999998</v>
      </c>
      <c r="E34" s="1"/>
      <c r="F34" s="7">
        <v>0.13</v>
      </c>
      <c r="G34" s="5">
        <f>F34*G33</f>
        <v>25.686981774999996</v>
      </c>
      <c r="H34" s="5">
        <f t="shared" ref="H34:H35" si="21">G34-D34</f>
        <v>-0.20667725000000203</v>
      </c>
      <c r="I34" s="27">
        <f t="shared" si="20"/>
        <v>-7.9817707416498292E-3</v>
      </c>
    </row>
    <row r="35" spans="1:9" x14ac:dyDescent="0.3">
      <c r="A35" s="2" t="s">
        <v>61</v>
      </c>
      <c r="C35" s="7">
        <v>-0.08</v>
      </c>
      <c r="D35" s="5">
        <f>C35*D33</f>
        <v>-15.934559399999999</v>
      </c>
      <c r="E35" s="1"/>
      <c r="F35" s="7">
        <v>-0.08</v>
      </c>
      <c r="G35" s="5">
        <f>F35*G33</f>
        <v>-15.807373399999998</v>
      </c>
      <c r="H35" s="5">
        <f t="shared" si="21"/>
        <v>0.1271860000000018</v>
      </c>
      <c r="I35" s="27">
        <f t="shared" si="20"/>
        <v>-7.9817707416498639E-3</v>
      </c>
    </row>
    <row r="36" spans="1:9" x14ac:dyDescent="0.3">
      <c r="A36" s="2" t="s">
        <v>62</v>
      </c>
      <c r="D36" s="6">
        <f>SUM(D33:D35)</f>
        <v>209.14109212499997</v>
      </c>
      <c r="E36" s="1"/>
      <c r="F36" s="5"/>
      <c r="G36" s="6">
        <f>SUM(G33:G35)</f>
        <v>207.47177587499996</v>
      </c>
      <c r="H36" s="6">
        <f>G36-D36</f>
        <v>-1.6693162500000085</v>
      </c>
      <c r="I36" s="29">
        <f t="shared" si="20"/>
        <v>-7.9817707416497928E-3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6" t="s">
        <v>97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94</v>
      </c>
    </row>
    <row r="4" spans="1:9" ht="15" x14ac:dyDescent="0.25">
      <c r="A4" s="2" t="s">
        <v>65</v>
      </c>
      <c r="B4" s="31">
        <f>VLOOKUP($B$3,'Data-DO NOT PRINT'!$B$3:$AC$11,2,0)</f>
        <v>2000</v>
      </c>
    </row>
    <row r="5" spans="1:9" ht="15" x14ac:dyDescent="0.25">
      <c r="A5" s="2" t="s">
        <v>4</v>
      </c>
      <c r="B5" s="10">
        <f>VLOOKUP(B3,'Data-DO NOT PRINT'!B3:Y11,5,0)</f>
        <v>1.0654999999999999</v>
      </c>
    </row>
    <row r="6" spans="1:9" ht="15" x14ac:dyDescent="0.25">
      <c r="A6" s="2" t="s">
        <v>67</v>
      </c>
      <c r="B6" s="31">
        <f>B4*B5</f>
        <v>2131</v>
      </c>
    </row>
    <row r="7" spans="1:9" ht="15" x14ac:dyDescent="0.25">
      <c r="A7" s="2"/>
      <c r="B7" s="10"/>
    </row>
    <row r="8" spans="1:9" ht="15" x14ac:dyDescent="0.25">
      <c r="B8" s="83" t="s">
        <v>38</v>
      </c>
      <c r="C8" s="83"/>
      <c r="D8" s="83"/>
      <c r="E8" s="83" t="s">
        <v>100</v>
      </c>
      <c r="F8" s="83"/>
      <c r="G8" s="83"/>
      <c r="H8" s="83" t="s">
        <v>39</v>
      </c>
      <c r="I8" s="83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40</v>
      </c>
      <c r="I9" s="29" t="s">
        <v>41</v>
      </c>
    </row>
    <row r="10" spans="1:9" ht="15" x14ac:dyDescent="0.25">
      <c r="A10" s="2" t="s">
        <v>43</v>
      </c>
      <c r="B10" s="1">
        <v>1</v>
      </c>
      <c r="C10" s="5">
        <f>VLOOKUP($B$3,'Data-DO NOT PRINT'!$B$3:$AC$11,7,0)</f>
        <v>26.94</v>
      </c>
      <c r="D10" s="5">
        <f t="shared" ref="D10:D13" si="0">B10*C10</f>
        <v>26.94</v>
      </c>
      <c r="E10" s="1">
        <f t="shared" ref="E10:E13" si="1">B10</f>
        <v>1</v>
      </c>
      <c r="F10" s="5">
        <f>VLOOKUP($B$3,'Data-DO NOT PRINT'!$B$3:$AC$11,18,0)</f>
        <v>26.94</v>
      </c>
      <c r="G10" s="5">
        <f t="shared" ref="G10:G13" si="2">E10*F10</f>
        <v>26.94</v>
      </c>
      <c r="H10" s="5">
        <f t="shared" ref="H10:H13" si="3">G10-D10</f>
        <v>0</v>
      </c>
      <c r="I10" s="27">
        <f>IF(ISERROR(H10/D10), "",H10/D10)</f>
        <v>0</v>
      </c>
    </row>
    <row r="11" spans="1:9" ht="15" x14ac:dyDescent="0.25">
      <c r="A11" s="2" t="s">
        <v>44</v>
      </c>
      <c r="B11" s="11">
        <f>B4</f>
        <v>2000</v>
      </c>
      <c r="C11" s="26">
        <f>VLOOKUP($B$3,'Data-DO NOT PRINT'!$B$3:$AC$11,8,0)</f>
        <v>1.9E-2</v>
      </c>
      <c r="D11" s="5">
        <f t="shared" si="0"/>
        <v>38</v>
      </c>
      <c r="E11" s="11">
        <f t="shared" si="1"/>
        <v>2000</v>
      </c>
      <c r="F11" s="26">
        <f>VLOOKUP($B$3,'Data-DO NOT PRINT'!$B$3:$AC$11,19,0)</f>
        <v>1.9E-2</v>
      </c>
      <c r="G11" s="5">
        <f t="shared" si="2"/>
        <v>38</v>
      </c>
      <c r="H11" s="5">
        <f t="shared" si="3"/>
        <v>0</v>
      </c>
      <c r="I11" s="27">
        <f t="shared" ref="I11:I13" si="4">IF(ISERROR(H11/D11), "",H11/D11)</f>
        <v>0</v>
      </c>
    </row>
    <row r="12" spans="1:9" ht="15" x14ac:dyDescent="0.25">
      <c r="A12" s="2" t="s">
        <v>45</v>
      </c>
      <c r="B12" s="1">
        <v>1</v>
      </c>
      <c r="C12" s="5">
        <f>VLOOKUP($B$3,'Data-DO NOT PRINT'!$B$3:$AC$11,10,0)</f>
        <v>-0.27</v>
      </c>
      <c r="D12" s="5">
        <f t="shared" si="0"/>
        <v>-0.27</v>
      </c>
      <c r="E12" s="1">
        <f t="shared" si="1"/>
        <v>1</v>
      </c>
      <c r="F12" s="5">
        <f>VLOOKUP($B$3,'Data-DO NOT PRINT'!$B$3:$AC$11,21,0)</f>
        <v>-0.27</v>
      </c>
      <c r="G12" s="5">
        <f t="shared" si="2"/>
        <v>-0.27</v>
      </c>
      <c r="H12" s="5">
        <f t="shared" si="3"/>
        <v>0</v>
      </c>
      <c r="I12" s="27">
        <f t="shared" si="4"/>
        <v>0</v>
      </c>
    </row>
    <row r="13" spans="1:9" ht="15" x14ac:dyDescent="0.25">
      <c r="A13" s="2" t="s">
        <v>46</v>
      </c>
      <c r="B13" s="11">
        <f>B4</f>
        <v>2000</v>
      </c>
      <c r="C13" s="26">
        <f>VLOOKUP($B$3,'Data-DO NOT PRINT'!$B$3:$AC$11,11,0)</f>
        <v>-1E-3</v>
      </c>
      <c r="D13" s="5">
        <f t="shared" si="0"/>
        <v>-2</v>
      </c>
      <c r="E13" s="11">
        <f t="shared" si="1"/>
        <v>2000</v>
      </c>
      <c r="F13" s="26">
        <f>VLOOKUP($B$3,'Data-DO NOT PRINT'!$B$3:$AC$11,22,0)</f>
        <v>0</v>
      </c>
      <c r="G13" s="5">
        <f t="shared" si="2"/>
        <v>0</v>
      </c>
      <c r="H13" s="5">
        <f t="shared" si="3"/>
        <v>2</v>
      </c>
      <c r="I13" s="27">
        <f t="shared" si="4"/>
        <v>-1</v>
      </c>
    </row>
    <row r="14" spans="1:9" ht="15" x14ac:dyDescent="0.25">
      <c r="A14" s="19" t="s">
        <v>47</v>
      </c>
      <c r="B14" s="17"/>
      <c r="C14" s="22"/>
      <c r="D14" s="18">
        <f>SUM(D10:D13)</f>
        <v>62.67</v>
      </c>
      <c r="E14" s="16"/>
      <c r="F14" s="18"/>
      <c r="G14" s="18">
        <f>SUM(G10:G13)</f>
        <v>64.67</v>
      </c>
      <c r="H14" s="18">
        <f>G14-D14</f>
        <v>2</v>
      </c>
      <c r="I14" s="28">
        <f>H14/D14</f>
        <v>3.1913196106590075E-2</v>
      </c>
    </row>
    <row r="15" spans="1:9" ht="15" x14ac:dyDescent="0.25">
      <c r="A15" s="2" t="s">
        <v>48</v>
      </c>
      <c r="B15" s="11">
        <f>B6-B4</f>
        <v>131</v>
      </c>
      <c r="C15" s="25">
        <f>IF(ISNUMBER(SEARCH("_RPP",$B$3)),((0.65*C29)+(0.17*C30)+(0.18*C31)),0.1101)</f>
        <v>8.1990000000000007E-2</v>
      </c>
      <c r="D15" s="5">
        <f>B15*C15</f>
        <v>10.740690000000001</v>
      </c>
      <c r="E15" s="11">
        <f>B15</f>
        <v>131</v>
      </c>
      <c r="F15" s="25">
        <f>C15</f>
        <v>8.1990000000000007E-2</v>
      </c>
      <c r="G15" s="5">
        <f>E15*F15</f>
        <v>10.740690000000001</v>
      </c>
      <c r="H15" s="5">
        <f t="shared" ref="H15:H31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99</v>
      </c>
      <c r="B17" s="11">
        <f>B4</f>
        <v>2000</v>
      </c>
      <c r="C17" s="26">
        <f>VLOOKUP($B$3,'Data-DO NOT PRINT'!$B$3:$AC$11,13,0)</f>
        <v>0</v>
      </c>
      <c r="D17" s="5">
        <f>B17*C17</f>
        <v>0</v>
      </c>
      <c r="E17" s="11">
        <f>B17</f>
        <v>2000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49</v>
      </c>
      <c r="B18" s="11">
        <f>B4</f>
        <v>2000</v>
      </c>
      <c r="C18" s="26">
        <f>VLOOKUP($B$3,'Data-DO NOT PRINT'!$B$3:$AC$11,14,0)</f>
        <v>0</v>
      </c>
      <c r="D18" s="5">
        <f t="shared" ref="D18:D21" si="7">B18*C18</f>
        <v>0</v>
      </c>
      <c r="E18" s="11">
        <f t="shared" ref="E18:E21" si="8">B18</f>
        <v>2000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50</v>
      </c>
      <c r="B19" s="11">
        <f>B4</f>
        <v>2000</v>
      </c>
      <c r="C19" s="26">
        <f>VLOOKUP($B$3,'Data-DO NOT PRINT'!$B$3:$AC$11,15,0)</f>
        <v>0</v>
      </c>
      <c r="D19" s="5">
        <f t="shared" si="7"/>
        <v>0</v>
      </c>
      <c r="E19" s="11">
        <f>B19</f>
        <v>2000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51</v>
      </c>
      <c r="B20" s="11">
        <f>B4</f>
        <v>2000</v>
      </c>
      <c r="C20" s="26">
        <f>VLOOKUP($B$3,'Data-DO NOT PRINT'!$B$3:$AC$11,9,0)</f>
        <v>4.0000000000000002E-4</v>
      </c>
      <c r="D20" s="5">
        <f t="shared" si="7"/>
        <v>0.8</v>
      </c>
      <c r="E20" s="11">
        <f>B20</f>
        <v>2000</v>
      </c>
      <c r="F20" s="26">
        <f>VLOOKUP($B$3,'Data-DO NOT PRINT'!$B$3:$AC$11,20,0)</f>
        <v>4.0000000000000002E-4</v>
      </c>
      <c r="G20" s="5">
        <f t="shared" si="9"/>
        <v>0.8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52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53</v>
      </c>
      <c r="B22" s="17"/>
      <c r="C22" s="22"/>
      <c r="D22" s="18">
        <f>SUM(D14:D21)</f>
        <v>74.780689999999993</v>
      </c>
      <c r="E22" s="17"/>
      <c r="F22" s="22"/>
      <c r="G22" s="18">
        <f>SUM(G14:G21)</f>
        <v>76.780689999999993</v>
      </c>
      <c r="H22" s="18">
        <f>G22-D22</f>
        <v>2</v>
      </c>
      <c r="I22" s="28">
        <f>H22/D22</f>
        <v>2.6744872239076695E-2</v>
      </c>
    </row>
    <row r="23" spans="1:9" ht="15" x14ac:dyDescent="0.25">
      <c r="A23" s="2" t="s">
        <v>54</v>
      </c>
      <c r="B23" s="11">
        <f>B6</f>
        <v>2131</v>
      </c>
      <c r="C23" s="26">
        <f>VLOOKUP($B$3,'Data-DO NOT PRINT'!$B$3:$AC$11,16,0)</f>
        <v>5.7999999999999996E-3</v>
      </c>
      <c r="D23" s="5">
        <f t="shared" ref="D23:D24" si="10">B23*C23</f>
        <v>12.3598</v>
      </c>
      <c r="E23" s="11">
        <f t="shared" ref="E23:E24" si="11">B23</f>
        <v>2131</v>
      </c>
      <c r="F23" s="26">
        <f>VLOOKUP($B$3,'Data-DO NOT PRINT'!$B$3:$AC$11,27,0)</f>
        <v>5.8999999999999999E-3</v>
      </c>
      <c r="G23" s="5">
        <f t="shared" ref="G23:G24" si="12">E23*F23</f>
        <v>12.572899999999999</v>
      </c>
      <c r="H23" s="5">
        <f t="shared" si="5"/>
        <v>0.21309999999999896</v>
      </c>
      <c r="I23" s="27">
        <f t="shared" ref="I23:I24" si="13">IF(ISERROR(H23/D23), "",H23/D23)</f>
        <v>1.7241379310344744E-2</v>
      </c>
    </row>
    <row r="24" spans="1:9" ht="15" x14ac:dyDescent="0.25">
      <c r="A24" s="2" t="s">
        <v>55</v>
      </c>
      <c r="B24" s="11">
        <f>B6</f>
        <v>2131</v>
      </c>
      <c r="C24" s="26">
        <f>VLOOKUP($B$3,'Data-DO NOT PRINT'!$B$3:$AC$11,17,0)</f>
        <v>5.4999999999999997E-3</v>
      </c>
      <c r="D24" s="5">
        <f t="shared" si="10"/>
        <v>11.720499999999999</v>
      </c>
      <c r="E24" s="11">
        <f t="shared" si="11"/>
        <v>2131</v>
      </c>
      <c r="F24" s="26">
        <f>VLOOKUP($B$3,'Data-DO NOT PRINT'!$B$3:$AC$11,28,0)</f>
        <v>5.4000000000000003E-3</v>
      </c>
      <c r="G24" s="5">
        <f t="shared" si="12"/>
        <v>11.507400000000001</v>
      </c>
      <c r="H24" s="5">
        <f t="shared" si="5"/>
        <v>-0.21309999999999896</v>
      </c>
      <c r="I24" s="27">
        <f t="shared" si="13"/>
        <v>-1.8181818181818094E-2</v>
      </c>
    </row>
    <row r="25" spans="1:9" ht="15" x14ac:dyDescent="0.25">
      <c r="A25" s="19" t="s">
        <v>56</v>
      </c>
      <c r="B25" s="17"/>
      <c r="C25" s="22"/>
      <c r="D25" s="18">
        <f>SUM(D22:D24)</f>
        <v>98.860990000000001</v>
      </c>
      <c r="E25" s="32"/>
      <c r="F25" s="22"/>
      <c r="G25" s="18">
        <f>SUM(G22:G24)</f>
        <v>100.86099</v>
      </c>
      <c r="H25" s="18">
        <f>G25-D25</f>
        <v>2</v>
      </c>
      <c r="I25" s="28">
        <f>H25/D25</f>
        <v>2.0230426581809468E-2</v>
      </c>
    </row>
    <row r="26" spans="1:9" ht="15" x14ac:dyDescent="0.25">
      <c r="A26" s="2" t="s">
        <v>57</v>
      </c>
      <c r="B26" s="11">
        <f>B6</f>
        <v>2131</v>
      </c>
      <c r="C26" s="26">
        <v>3.3999999999999998E-3</v>
      </c>
      <c r="D26" s="5">
        <f t="shared" ref="D26:D28" si="14">B26*C26</f>
        <v>7.2453999999999992</v>
      </c>
      <c r="E26" s="11">
        <f t="shared" ref="E26:E28" si="15">B26</f>
        <v>2131</v>
      </c>
      <c r="F26" s="26">
        <v>3.3999999999999998E-3</v>
      </c>
      <c r="G26" s="5">
        <f t="shared" ref="G26:G31" si="16">E26*F26</f>
        <v>7.2453999999999992</v>
      </c>
      <c r="H26" s="5">
        <f t="shared" si="5"/>
        <v>0</v>
      </c>
      <c r="I26" s="27">
        <f t="shared" ref="I26:I31" si="17">IF(ISERROR(H26/D26), "",H26/D26)</f>
        <v>0</v>
      </c>
    </row>
    <row r="27" spans="1:9" ht="15" x14ac:dyDescent="0.25">
      <c r="A27" s="2" t="s">
        <v>58</v>
      </c>
      <c r="B27" s="11">
        <f>B6</f>
        <v>2131</v>
      </c>
      <c r="C27" s="26">
        <v>5.0000000000000001E-4</v>
      </c>
      <c r="D27" s="5">
        <f t="shared" si="14"/>
        <v>1.0655000000000001</v>
      </c>
      <c r="E27" s="11">
        <f t="shared" si="15"/>
        <v>2131</v>
      </c>
      <c r="F27" s="26">
        <v>5.0000000000000001E-4</v>
      </c>
      <c r="G27" s="5">
        <f t="shared" si="16"/>
        <v>1.0655000000000001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59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9</v>
      </c>
      <c r="B29" s="11">
        <f>$B$4*0.65</f>
        <v>1300</v>
      </c>
      <c r="C29" s="25">
        <v>6.5000000000000002E-2</v>
      </c>
      <c r="D29" s="5">
        <f>B29*C29</f>
        <v>84.5</v>
      </c>
      <c r="E29" s="11">
        <f>B29</f>
        <v>1300</v>
      </c>
      <c r="F29" s="25">
        <f>C29</f>
        <v>6.5000000000000002E-2</v>
      </c>
      <c r="G29" s="5">
        <f t="shared" si="16"/>
        <v>84.5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8</v>
      </c>
      <c r="B30" s="11">
        <f>$B$4*0.17</f>
        <v>340</v>
      </c>
      <c r="C30" s="25">
        <v>9.4E-2</v>
      </c>
      <c r="D30" s="5">
        <f t="shared" ref="D30:D31" si="18">B30*C30</f>
        <v>31.96</v>
      </c>
      <c r="E30" s="11">
        <f>B30</f>
        <v>340</v>
      </c>
      <c r="F30" s="25">
        <f t="shared" ref="F30:F31" si="19">C30</f>
        <v>9.4E-2</v>
      </c>
      <c r="G30" s="5">
        <f t="shared" si="16"/>
        <v>31.96</v>
      </c>
      <c r="H30" s="5">
        <f t="shared" si="5"/>
        <v>0</v>
      </c>
      <c r="I30" s="27">
        <f t="shared" si="17"/>
        <v>0</v>
      </c>
    </row>
    <row r="31" spans="1:9" x14ac:dyDescent="0.3">
      <c r="A31" s="2" t="s">
        <v>7</v>
      </c>
      <c r="B31" s="11">
        <f>$B$4*0.18</f>
        <v>360</v>
      </c>
      <c r="C31" s="25">
        <v>0.13200000000000001</v>
      </c>
      <c r="D31" s="5">
        <f t="shared" si="18"/>
        <v>47.52</v>
      </c>
      <c r="E31" s="11">
        <f>B31</f>
        <v>360</v>
      </c>
      <c r="F31" s="25">
        <f t="shared" si="19"/>
        <v>0.13200000000000001</v>
      </c>
      <c r="G31" s="5">
        <f t="shared" si="16"/>
        <v>47.52</v>
      </c>
      <c r="H31" s="5">
        <f t="shared" si="5"/>
        <v>0</v>
      </c>
      <c r="I31" s="27">
        <f t="shared" si="17"/>
        <v>0</v>
      </c>
    </row>
    <row r="32" spans="1:9" x14ac:dyDescent="0.3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60</v>
      </c>
      <c r="D33" s="6">
        <f>SUM(D25:D31)</f>
        <v>271.40189000000004</v>
      </c>
      <c r="E33" s="1"/>
      <c r="F33" s="5"/>
      <c r="G33" s="6">
        <f>SUM(G25:G31)</f>
        <v>273.40189000000004</v>
      </c>
      <c r="H33" s="6">
        <f>G33-D33</f>
        <v>2</v>
      </c>
      <c r="I33" s="29">
        <f t="shared" ref="I33:I36" si="20">IF(ISERROR(H33/D33), "",H33/D33)</f>
        <v>7.3691454396282935E-3</v>
      </c>
    </row>
    <row r="34" spans="1:9" x14ac:dyDescent="0.3">
      <c r="A34" s="2" t="s">
        <v>5</v>
      </c>
      <c r="C34" s="7">
        <v>0.13</v>
      </c>
      <c r="D34" s="5">
        <f>C34*D33</f>
        <v>35.282245700000004</v>
      </c>
      <c r="E34" s="1"/>
      <c r="F34" s="7">
        <v>0.13</v>
      </c>
      <c r="G34" s="5">
        <f>F34*G33</f>
        <v>35.542245700000009</v>
      </c>
      <c r="H34" s="5">
        <f t="shared" ref="H34:H35" si="21">G34-D34</f>
        <v>0.26000000000000512</v>
      </c>
      <c r="I34" s="27">
        <f t="shared" si="20"/>
        <v>7.3691454396284384E-3</v>
      </c>
    </row>
    <row r="35" spans="1:9" x14ac:dyDescent="0.3">
      <c r="A35" s="2" t="s">
        <v>61</v>
      </c>
      <c r="C35" s="7">
        <v>-0.08</v>
      </c>
      <c r="D35" s="5">
        <f>C35*D33</f>
        <v>-21.712151200000005</v>
      </c>
      <c r="E35" s="1"/>
      <c r="F35" s="7">
        <v>-0.08</v>
      </c>
      <c r="G35" s="5">
        <f>F35*G33</f>
        <v>-21.872151200000005</v>
      </c>
      <c r="H35" s="5">
        <f t="shared" si="21"/>
        <v>-0.16000000000000014</v>
      </c>
      <c r="I35" s="27">
        <f t="shared" si="20"/>
        <v>7.3691454396282996E-3</v>
      </c>
    </row>
    <row r="36" spans="1:9" x14ac:dyDescent="0.3">
      <c r="A36" s="2" t="s">
        <v>62</v>
      </c>
      <c r="D36" s="6">
        <f>SUM(D33:D35)</f>
        <v>284.97198450000008</v>
      </c>
      <c r="E36" s="1"/>
      <c r="F36" s="5"/>
      <c r="G36" s="6">
        <f>SUM(G33:G35)</f>
        <v>287.07198450000004</v>
      </c>
      <c r="H36" s="6">
        <f>G36-D36</f>
        <v>2.0999999999999659</v>
      </c>
      <c r="I36" s="29">
        <f t="shared" si="20"/>
        <v>7.369145439628173E-3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3" customWidth="1"/>
    <col min="7" max="7" width="13.5546875" customWidth="1"/>
    <col min="8" max="8" width="12.44140625" customWidth="1"/>
    <col min="9" max="9" width="11.88671875" style="27" customWidth="1"/>
  </cols>
  <sheetData>
    <row r="1" spans="1:9" ht="15.6" x14ac:dyDescent="0.3">
      <c r="A1" s="86" t="s">
        <v>97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96</v>
      </c>
    </row>
    <row r="4" spans="1:9" ht="15" x14ac:dyDescent="0.25">
      <c r="A4" s="2" t="s">
        <v>65</v>
      </c>
      <c r="B4" s="31">
        <f>VLOOKUP($B$3,'Data-DO NOT PRINT'!$B$3:$AC$11,2,0)</f>
        <v>50000</v>
      </c>
    </row>
    <row r="5" spans="1:9" ht="15" x14ac:dyDescent="0.25">
      <c r="A5" s="2" t="s">
        <v>64</v>
      </c>
      <c r="B5" s="10">
        <f>VLOOKUP($B$3,'Data-DO NOT PRINT'!$B$3:$AC$11,3)</f>
        <v>75</v>
      </c>
    </row>
    <row r="6" spans="1:9" ht="15" x14ac:dyDescent="0.25">
      <c r="A6" s="2" t="s">
        <v>4</v>
      </c>
      <c r="B6" s="10">
        <f>VLOOKUP(B3,'Data-DO NOT PRINT'!B3:Y11,5,0)</f>
        <v>1.0654999999999999</v>
      </c>
    </row>
    <row r="7" spans="1:9" ht="15" x14ac:dyDescent="0.25">
      <c r="A7" s="2" t="s">
        <v>28</v>
      </c>
      <c r="B7" s="31">
        <f>B4*B6</f>
        <v>53274.999999999993</v>
      </c>
    </row>
    <row r="8" spans="1:9" ht="15" x14ac:dyDescent="0.25">
      <c r="A8" s="2"/>
      <c r="B8" s="10"/>
    </row>
    <row r="9" spans="1:9" ht="15" x14ac:dyDescent="0.25">
      <c r="B9" s="83" t="s">
        <v>38</v>
      </c>
      <c r="C9" s="83"/>
      <c r="D9" s="83"/>
      <c r="E9" s="83" t="s">
        <v>100</v>
      </c>
      <c r="F9" s="83"/>
      <c r="G9" s="83"/>
      <c r="H9" s="83" t="s">
        <v>39</v>
      </c>
      <c r="I9" s="83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40</v>
      </c>
      <c r="I10" s="29" t="s">
        <v>41</v>
      </c>
    </row>
    <row r="11" spans="1:9" ht="15" x14ac:dyDescent="0.25">
      <c r="A11" s="2" t="s">
        <v>43</v>
      </c>
      <c r="B11" s="1">
        <v>1</v>
      </c>
      <c r="C11" s="5">
        <f>VLOOKUP($B$3,'Data-DO NOT PRINT'!$B$3:$AC$11,7,0)</f>
        <v>83.61</v>
      </c>
      <c r="D11" s="5">
        <f t="shared" ref="D11:D14" si="0">B11*C11</f>
        <v>83.61</v>
      </c>
      <c r="E11" s="1">
        <f t="shared" ref="E11:E14" si="1">B11</f>
        <v>1</v>
      </c>
      <c r="F11" s="5">
        <f>VLOOKUP($B$3,'Data-DO NOT PRINT'!$B$3:$AC$11,18,0)</f>
        <v>83.61</v>
      </c>
      <c r="G11" s="5">
        <f t="shared" ref="G11:G14" si="2">E11*F11</f>
        <v>83.61</v>
      </c>
      <c r="H11" s="5">
        <f t="shared" ref="H11:H14" si="3">G11-D11</f>
        <v>0</v>
      </c>
      <c r="I11" s="27">
        <f>IF(ISERROR(H11/D11), "",H11/D11)</f>
        <v>0</v>
      </c>
    </row>
    <row r="12" spans="1:9" ht="15" x14ac:dyDescent="0.25">
      <c r="A12" s="2" t="s">
        <v>44</v>
      </c>
      <c r="B12" s="11">
        <f>B5</f>
        <v>75</v>
      </c>
      <c r="C12" s="26">
        <f>VLOOKUP($B$3,'Data-DO NOT PRINT'!$B$3:$AC$11,8,0)</f>
        <v>3.9339</v>
      </c>
      <c r="D12" s="5">
        <f t="shared" si="0"/>
        <v>295.04250000000002</v>
      </c>
      <c r="E12" s="11">
        <f t="shared" si="1"/>
        <v>75</v>
      </c>
      <c r="F12" s="26">
        <f>VLOOKUP($B$3,'Data-DO NOT PRINT'!$B$3:$AC$11,19,0)</f>
        <v>3.9339</v>
      </c>
      <c r="G12" s="5">
        <f t="shared" si="2"/>
        <v>295.04250000000002</v>
      </c>
      <c r="H12" s="5">
        <f t="shared" si="3"/>
        <v>0</v>
      </c>
      <c r="I12" s="27">
        <f t="shared" ref="I12:I14" si="4">IF(ISERROR(H12/D12), "",H12/D12)</f>
        <v>0</v>
      </c>
    </row>
    <row r="13" spans="1:9" ht="15" x14ac:dyDescent="0.25">
      <c r="A13" s="2" t="s">
        <v>45</v>
      </c>
      <c r="B13" s="1">
        <v>1</v>
      </c>
      <c r="C13" s="5">
        <f>VLOOKUP($B$3,'Data-DO NOT PRINT'!$B$3:$AC$11,10,0)</f>
        <v>-0.84</v>
      </c>
      <c r="D13" s="5">
        <f t="shared" si="0"/>
        <v>-0.84</v>
      </c>
      <c r="E13" s="1">
        <f t="shared" si="1"/>
        <v>1</v>
      </c>
      <c r="F13" s="5">
        <f>VLOOKUP($B$3,'Data-DO NOT PRINT'!$B$3:$AC$11,21,0)</f>
        <v>-0.84</v>
      </c>
      <c r="G13" s="5">
        <f t="shared" si="2"/>
        <v>-0.84</v>
      </c>
      <c r="H13" s="5">
        <f t="shared" si="3"/>
        <v>0</v>
      </c>
      <c r="I13" s="27">
        <f t="shared" si="4"/>
        <v>0</v>
      </c>
    </row>
    <row r="14" spans="1:9" ht="15" x14ac:dyDescent="0.25">
      <c r="A14" s="2" t="s">
        <v>46</v>
      </c>
      <c r="B14" s="11">
        <f>B5</f>
        <v>75</v>
      </c>
      <c r="C14" s="26">
        <f>VLOOKUP($B$3,'Data-DO NOT PRINT'!$B$3:$AC$11,11,0)</f>
        <v>-0.15920000000000001</v>
      </c>
      <c r="D14" s="5">
        <f t="shared" si="0"/>
        <v>-11.940000000000001</v>
      </c>
      <c r="E14" s="11">
        <f t="shared" si="1"/>
        <v>75</v>
      </c>
      <c r="F14" s="26">
        <f>VLOOKUP($B$3,'Data-DO NOT PRINT'!$B$3:$AC$11,22,0)</f>
        <v>-1.9800000000000002E-2</v>
      </c>
      <c r="G14" s="5">
        <f t="shared" si="2"/>
        <v>-1.4850000000000001</v>
      </c>
      <c r="H14" s="5">
        <f t="shared" si="3"/>
        <v>10.455000000000002</v>
      </c>
      <c r="I14" s="27">
        <f t="shared" si="4"/>
        <v>-0.87562814070351769</v>
      </c>
    </row>
    <row r="15" spans="1:9" ht="15" x14ac:dyDescent="0.25">
      <c r="A15" s="19" t="s">
        <v>47</v>
      </c>
      <c r="B15" s="17"/>
      <c r="C15" s="22"/>
      <c r="D15" s="18">
        <f>SUM(D11:D14)</f>
        <v>365.87250000000006</v>
      </c>
      <c r="E15" s="16"/>
      <c r="F15" s="18"/>
      <c r="G15" s="18">
        <f>SUM(G11:G14)</f>
        <v>376.32750000000004</v>
      </c>
      <c r="H15" s="18">
        <f>G15-D15</f>
        <v>10.454999999999984</v>
      </c>
      <c r="I15" s="28">
        <f>H15/D15</f>
        <v>2.8575528360289398E-2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ref="H16:H29" si="5">G16-D16</f>
        <v>0</v>
      </c>
      <c r="I16" s="27" t="str">
        <f t="shared" ref="I16:I21" si="6">IF(ISERROR(H16/D16), "",H16/D16)</f>
        <v/>
      </c>
    </row>
    <row r="17" spans="1:9" ht="15" x14ac:dyDescent="0.25">
      <c r="A17" s="2" t="s">
        <v>99</v>
      </c>
      <c r="B17" s="11">
        <f>B5</f>
        <v>75</v>
      </c>
      <c r="C17" s="26">
        <f>VLOOKUP($B$3,'Data-DO NOT PRINT'!$B$3:$AC$11,13,0)</f>
        <v>0</v>
      </c>
      <c r="D17" s="5">
        <f>B17*C17</f>
        <v>0</v>
      </c>
      <c r="E17" s="11">
        <f>B17</f>
        <v>75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49</v>
      </c>
      <c r="B18" s="11">
        <f>B5</f>
        <v>75</v>
      </c>
      <c r="C18" s="26">
        <f>VLOOKUP($B$3,'Data-DO NOT PRINT'!$B$3:$AC$11,14,0)</f>
        <v>0</v>
      </c>
      <c r="D18" s="5">
        <f t="shared" ref="D18:D21" si="7">B18*C18</f>
        <v>0</v>
      </c>
      <c r="E18" s="11">
        <f t="shared" ref="E18:E21" si="8">B18</f>
        <v>75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50</v>
      </c>
      <c r="B19" s="11">
        <f>B4</f>
        <v>50000</v>
      </c>
      <c r="C19" s="26">
        <f>VLOOKUP($B$3,'Data-DO NOT PRINT'!$B$3:$AC$11,15,0)</f>
        <v>0</v>
      </c>
      <c r="D19" s="5">
        <f t="shared" si="7"/>
        <v>0</v>
      </c>
      <c r="E19" s="11">
        <f>B19</f>
        <v>50000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51</v>
      </c>
      <c r="B20" s="11">
        <f>B5</f>
        <v>75</v>
      </c>
      <c r="C20" s="26">
        <f>VLOOKUP($B$3,'Data-DO NOT PRINT'!$B$3:$AC$11,9,0)</f>
        <v>0.155</v>
      </c>
      <c r="D20" s="5">
        <f t="shared" si="7"/>
        <v>11.625</v>
      </c>
      <c r="E20" s="11">
        <f>B20</f>
        <v>75</v>
      </c>
      <c r="F20" s="26">
        <f>VLOOKUP($B$3,'Data-DO NOT PRINT'!$B$3:$AC$11,20,0)</f>
        <v>0.155</v>
      </c>
      <c r="G20" s="5">
        <f t="shared" si="9"/>
        <v>11.625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52</v>
      </c>
      <c r="B21" s="1">
        <v>1</v>
      </c>
      <c r="C21" s="5">
        <f>VLOOKUP($B$3,'Data-DO NOT PRINT'!$B$3:$AC$11,6,0)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7" t="str">
        <f t="shared" si="6"/>
        <v/>
      </c>
    </row>
    <row r="22" spans="1:9" ht="15" x14ac:dyDescent="0.25">
      <c r="A22" s="19" t="s">
        <v>53</v>
      </c>
      <c r="B22" s="17"/>
      <c r="C22" s="22"/>
      <c r="D22" s="18">
        <f>SUM(D15:D21)</f>
        <v>377.49750000000006</v>
      </c>
      <c r="E22" s="17"/>
      <c r="F22" s="22"/>
      <c r="G22" s="18">
        <f>SUM(G15:G21)</f>
        <v>387.95250000000004</v>
      </c>
      <c r="H22" s="18">
        <f>G22-D22</f>
        <v>10.454999999999984</v>
      </c>
      <c r="I22" s="28">
        <f>H22/D22</f>
        <v>2.7695547652633414E-2</v>
      </c>
    </row>
    <row r="23" spans="1:9" ht="15" x14ac:dyDescent="0.25">
      <c r="A23" s="2" t="s">
        <v>54</v>
      </c>
      <c r="B23" s="11">
        <f>B5</f>
        <v>75</v>
      </c>
      <c r="C23" s="26">
        <f>VLOOKUP($B$3,'Data-DO NOT PRINT'!$B$3:$AC$11,16,0)</f>
        <v>2.4546000000000001</v>
      </c>
      <c r="D23" s="5">
        <f t="shared" ref="D23:D24" si="10">B23*C23</f>
        <v>184.095</v>
      </c>
      <c r="E23" s="11">
        <f t="shared" ref="E23:E24" si="11">B23</f>
        <v>75</v>
      </c>
      <c r="F23" s="26">
        <f>VLOOKUP($B$3,'Data-DO NOT PRINT'!$B$3:$AC$11,27,0)</f>
        <v>2.5</v>
      </c>
      <c r="G23" s="5">
        <f t="shared" ref="G23:G24" si="12">E23*F23</f>
        <v>187.5</v>
      </c>
      <c r="H23" s="5">
        <f t="shared" si="5"/>
        <v>3.4050000000000011</v>
      </c>
      <c r="I23" s="27">
        <f t="shared" ref="I23:I24" si="13">IF(ISERROR(H23/D23), "",H23/D23)</f>
        <v>1.8495885276623488E-2</v>
      </c>
    </row>
    <row r="24" spans="1:9" ht="15" x14ac:dyDescent="0.25">
      <c r="A24" s="2" t="s">
        <v>55</v>
      </c>
      <c r="B24" s="11">
        <f>B5</f>
        <v>75</v>
      </c>
      <c r="C24" s="26">
        <f>VLOOKUP($B$3,'Data-DO NOT PRINT'!$B$3:$AC$11,17,0)</f>
        <v>2.3357000000000001</v>
      </c>
      <c r="D24" s="5">
        <f t="shared" si="10"/>
        <v>175.17750000000001</v>
      </c>
      <c r="E24" s="11">
        <f t="shared" si="11"/>
        <v>75</v>
      </c>
      <c r="F24" s="26">
        <f>VLOOKUP($B$3,'Data-DO NOT PRINT'!$B$3:$AC$11,28,0)</f>
        <v>2.2749000000000001</v>
      </c>
      <c r="G24" s="5">
        <f t="shared" si="12"/>
        <v>170.61750000000001</v>
      </c>
      <c r="H24" s="5">
        <f t="shared" si="5"/>
        <v>-4.5600000000000023</v>
      </c>
      <c r="I24" s="27">
        <f t="shared" si="13"/>
        <v>-2.6030740249175847E-2</v>
      </c>
    </row>
    <row r="25" spans="1:9" ht="15" x14ac:dyDescent="0.25">
      <c r="A25" s="19" t="s">
        <v>56</v>
      </c>
      <c r="B25" s="17"/>
      <c r="C25" s="22"/>
      <c r="D25" s="18">
        <f>SUM(D22:D24)</f>
        <v>736.7700000000001</v>
      </c>
      <c r="E25" s="17"/>
      <c r="F25" s="22"/>
      <c r="G25" s="18">
        <f>SUM(G22:G24)</f>
        <v>746.07000000000016</v>
      </c>
      <c r="H25" s="18">
        <f>G25-D25</f>
        <v>9.3000000000000682</v>
      </c>
      <c r="I25" s="28">
        <f>H25/D25</f>
        <v>1.2622663789242324E-2</v>
      </c>
    </row>
    <row r="26" spans="1:9" ht="15" x14ac:dyDescent="0.25">
      <c r="A26" s="2" t="s">
        <v>57</v>
      </c>
      <c r="B26" s="11">
        <f>B7</f>
        <v>53274.999999999993</v>
      </c>
      <c r="C26" s="26">
        <v>3.3999999999999998E-3</v>
      </c>
      <c r="D26" s="5">
        <f t="shared" ref="D26:D28" si="14">B26*C26</f>
        <v>181.13499999999996</v>
      </c>
      <c r="E26" s="11">
        <f t="shared" ref="E26:E28" si="15">B26</f>
        <v>53274.999999999993</v>
      </c>
      <c r="F26" s="26">
        <v>3.3999999999999998E-3</v>
      </c>
      <c r="G26" s="5">
        <f t="shared" ref="G26:G29" si="16">E26*F26</f>
        <v>181.13499999999996</v>
      </c>
      <c r="H26" s="5">
        <f t="shared" si="5"/>
        <v>0</v>
      </c>
      <c r="I26" s="27">
        <f t="shared" ref="I26:I29" si="17">IF(ISERROR(H26/D26), "",H26/D26)</f>
        <v>0</v>
      </c>
    </row>
    <row r="27" spans="1:9" ht="15" x14ac:dyDescent="0.25">
      <c r="A27" s="2" t="s">
        <v>58</v>
      </c>
      <c r="B27" s="11">
        <f>B7</f>
        <v>53274.999999999993</v>
      </c>
      <c r="C27" s="26">
        <v>5.0000000000000001E-4</v>
      </c>
      <c r="D27" s="5">
        <f t="shared" si="14"/>
        <v>26.637499999999996</v>
      </c>
      <c r="E27" s="11">
        <f t="shared" si="15"/>
        <v>53274.999999999993</v>
      </c>
      <c r="F27" s="26">
        <v>5.0000000000000001E-4</v>
      </c>
      <c r="G27" s="5">
        <f t="shared" si="16"/>
        <v>26.637499999999996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59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66</v>
      </c>
      <c r="B29" s="11">
        <f>B7</f>
        <v>53274.999999999993</v>
      </c>
      <c r="C29" s="26">
        <v>0.1101</v>
      </c>
      <c r="D29" s="5">
        <f>B29*C29</f>
        <v>5865.5774999999994</v>
      </c>
      <c r="E29" s="11">
        <f>B29</f>
        <v>53274.999999999993</v>
      </c>
      <c r="F29" s="26">
        <f>C29</f>
        <v>0.1101</v>
      </c>
      <c r="G29" s="5">
        <f t="shared" si="16"/>
        <v>5865.5774999999994</v>
      </c>
      <c r="H29" s="5">
        <f t="shared" si="5"/>
        <v>0</v>
      </c>
      <c r="I29" s="27">
        <f t="shared" si="17"/>
        <v>0</v>
      </c>
    </row>
    <row r="30" spans="1:9" ht="15" x14ac:dyDescent="0.25">
      <c r="A30" s="20"/>
      <c r="B30" s="14"/>
      <c r="C30" s="21"/>
      <c r="D30" s="21"/>
      <c r="E30" s="14"/>
      <c r="F30" s="21"/>
      <c r="G30" s="21"/>
      <c r="H30" s="21"/>
      <c r="I30" s="30"/>
    </row>
    <row r="31" spans="1:9" x14ac:dyDescent="0.3">
      <c r="A31" s="2" t="s">
        <v>60</v>
      </c>
      <c r="D31" s="6">
        <f>SUM(D25:D29)</f>
        <v>6810.37</v>
      </c>
      <c r="E31" s="1"/>
      <c r="F31" s="5"/>
      <c r="G31" s="6">
        <f>SUM(G25:G29)</f>
        <v>6819.67</v>
      </c>
      <c r="H31" s="6">
        <f>G31-D31</f>
        <v>9.3000000000001819</v>
      </c>
      <c r="I31" s="29">
        <f t="shared" ref="I31:I33" si="18">IF(ISERROR(H31/D31), "",H31/D31)</f>
        <v>1.3655645728499601E-3</v>
      </c>
    </row>
    <row r="32" spans="1:9" x14ac:dyDescent="0.3">
      <c r="A32" s="2" t="s">
        <v>5</v>
      </c>
      <c r="C32" s="7">
        <v>0.13</v>
      </c>
      <c r="D32" s="5">
        <f>C32*D31</f>
        <v>885.34810000000004</v>
      </c>
      <c r="E32" s="1"/>
      <c r="F32" s="7">
        <v>0.13</v>
      </c>
      <c r="G32" s="5">
        <f>F32*G31</f>
        <v>886.55709999999999</v>
      </c>
      <c r="H32" s="5">
        <f t="shared" ref="H32" si="19">G32-D32</f>
        <v>1.2089999999999463</v>
      </c>
      <c r="I32" s="27">
        <f t="shared" si="18"/>
        <v>1.3655645728498727E-3</v>
      </c>
    </row>
    <row r="33" spans="1:9" x14ac:dyDescent="0.3">
      <c r="A33" s="2" t="s">
        <v>62</v>
      </c>
      <c r="D33" s="6">
        <f>SUM(D31:D32)</f>
        <v>7695.7181</v>
      </c>
      <c r="E33" s="1"/>
      <c r="F33" s="5"/>
      <c r="G33" s="6">
        <f>SUM(G31:G32)</f>
        <v>7706.2271000000001</v>
      </c>
      <c r="H33" s="6">
        <f>G33-D33</f>
        <v>10.509000000000015</v>
      </c>
      <c r="I33" s="29">
        <f t="shared" si="18"/>
        <v>1.3655645728499351E-3</v>
      </c>
    </row>
    <row r="34" spans="1:9" x14ac:dyDescent="0.3">
      <c r="A34" s="14"/>
      <c r="B34" s="14"/>
      <c r="C34" s="21"/>
      <c r="D34" s="15"/>
      <c r="E34" s="15"/>
      <c r="F34" s="24"/>
      <c r="G34" s="15"/>
      <c r="H34" s="21"/>
      <c r="I34" s="30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5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6" t="s">
        <v>97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23</v>
      </c>
    </row>
    <row r="4" spans="1:9" ht="15" x14ac:dyDescent="0.25">
      <c r="A4" s="2" t="s">
        <v>65</v>
      </c>
      <c r="B4" s="10">
        <f>VLOOKUP($B$3,'Data-DO NOT PRINT'!$B$3:$AC$11,2,0)</f>
        <v>500</v>
      </c>
    </row>
    <row r="5" spans="1:9" ht="15" x14ac:dyDescent="0.25">
      <c r="A5" s="2" t="s">
        <v>4</v>
      </c>
      <c r="B5" s="10">
        <f>VLOOKUP(B3,'Data-DO NOT PRINT'!B3:Y11,5,0)</f>
        <v>1.0654999999999999</v>
      </c>
    </row>
    <row r="6" spans="1:9" ht="15" x14ac:dyDescent="0.25">
      <c r="A6" s="2" t="s">
        <v>67</v>
      </c>
      <c r="B6" s="10">
        <f>B4*B5</f>
        <v>532.75</v>
      </c>
    </row>
    <row r="7" spans="1:9" ht="15" x14ac:dyDescent="0.25">
      <c r="A7" s="2"/>
      <c r="B7" s="10"/>
    </row>
    <row r="8" spans="1:9" ht="15" x14ac:dyDescent="0.25">
      <c r="B8" s="83" t="s">
        <v>38</v>
      </c>
      <c r="C8" s="83"/>
      <c r="D8" s="83"/>
      <c r="E8" s="83" t="s">
        <v>100</v>
      </c>
      <c r="F8" s="83"/>
      <c r="G8" s="83"/>
      <c r="H8" s="83" t="s">
        <v>39</v>
      </c>
      <c r="I8" s="83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40</v>
      </c>
      <c r="I9" s="29" t="s">
        <v>41</v>
      </c>
    </row>
    <row r="10" spans="1:9" ht="15" x14ac:dyDescent="0.25">
      <c r="A10" s="2" t="s">
        <v>43</v>
      </c>
      <c r="B10" s="1">
        <v>1</v>
      </c>
      <c r="C10" s="5">
        <f>VLOOKUP($B$3,'Data-DO NOT PRINT'!$B$3:$AC$11,7,0)</f>
        <v>19.510000000000002</v>
      </c>
      <c r="D10" s="5">
        <f t="shared" ref="D10:D15" si="0">B10*C10</f>
        <v>19.510000000000002</v>
      </c>
      <c r="E10" s="1">
        <f t="shared" ref="E10:E13" si="1">B10</f>
        <v>1</v>
      </c>
      <c r="F10" s="5">
        <f>VLOOKUP($B$3,'Data-DO NOT PRINT'!$B$3:$AC$11,18,0)</f>
        <v>19.510000000000002</v>
      </c>
      <c r="G10" s="5">
        <f t="shared" ref="G10:G15" si="2">E10*F10</f>
        <v>19.510000000000002</v>
      </c>
      <c r="H10" s="5">
        <f t="shared" ref="H10:H13" si="3">G10-D10</f>
        <v>0</v>
      </c>
      <c r="I10" s="27">
        <f>IF(ISERROR(H10/D10), "",H10/D10)</f>
        <v>0</v>
      </c>
    </row>
    <row r="11" spans="1:9" ht="15" x14ac:dyDescent="0.25">
      <c r="A11" s="2" t="s">
        <v>44</v>
      </c>
      <c r="B11" s="1">
        <f>B4</f>
        <v>500</v>
      </c>
      <c r="C11" s="26">
        <f>VLOOKUP($B$3,'Data-DO NOT PRINT'!$B$3:$AC$11,8,0)</f>
        <v>2.5000000000000001E-3</v>
      </c>
      <c r="D11" s="5">
        <f t="shared" si="0"/>
        <v>1.25</v>
      </c>
      <c r="E11" s="1">
        <f t="shared" si="1"/>
        <v>500</v>
      </c>
      <c r="F11" s="26">
        <f>VLOOKUP($B$3,'Data-DO NOT PRINT'!$B$3:$AC$11,19,0)</f>
        <v>2.5000000000000001E-3</v>
      </c>
      <c r="G11" s="5">
        <f t="shared" si="2"/>
        <v>1.25</v>
      </c>
      <c r="H11" s="5">
        <f t="shared" si="3"/>
        <v>0</v>
      </c>
      <c r="I11" s="27">
        <f t="shared" ref="I11:I13" si="4">IF(ISERROR(H11/D11), "",H11/D11)</f>
        <v>0</v>
      </c>
    </row>
    <row r="12" spans="1:9" ht="15" x14ac:dyDescent="0.25">
      <c r="A12" s="2" t="s">
        <v>45</v>
      </c>
      <c r="B12" s="1">
        <v>1</v>
      </c>
      <c r="C12" s="5">
        <f>VLOOKUP($B$3,'Data-DO NOT PRINT'!$B$3:$AC$11,10,0)</f>
        <v>-0.2</v>
      </c>
      <c r="D12" s="5">
        <f t="shared" si="0"/>
        <v>-0.2</v>
      </c>
      <c r="E12" s="1">
        <f t="shared" si="1"/>
        <v>1</v>
      </c>
      <c r="F12" s="5">
        <f>VLOOKUP($B$3,'Data-DO NOT PRINT'!$B$3:$AC$11,21,0)</f>
        <v>-0.2</v>
      </c>
      <c r="G12" s="5">
        <f t="shared" si="2"/>
        <v>-0.2</v>
      </c>
      <c r="H12" s="5">
        <f t="shared" si="3"/>
        <v>0</v>
      </c>
      <c r="I12" s="27">
        <f t="shared" si="4"/>
        <v>0</v>
      </c>
    </row>
    <row r="13" spans="1:9" ht="15" x14ac:dyDescent="0.25">
      <c r="A13" s="2" t="s">
        <v>46</v>
      </c>
      <c r="B13" s="1">
        <f>B4</f>
        <v>500</v>
      </c>
      <c r="C13" s="26">
        <f>VLOOKUP($B$3,'Data-DO NOT PRINT'!$B$3:$AC$11,11,0)</f>
        <v>-1.33E-3</v>
      </c>
      <c r="D13" s="5">
        <f t="shared" si="0"/>
        <v>-0.66500000000000004</v>
      </c>
      <c r="E13" s="1">
        <f t="shared" si="1"/>
        <v>500</v>
      </c>
      <c r="F13" s="26">
        <f>VLOOKUP($B$3,'Data-DO NOT PRINT'!$B$3:$AC$11,22,0)</f>
        <v>1.7000000000000001E-4</v>
      </c>
      <c r="G13" s="5">
        <f t="shared" si="2"/>
        <v>8.5000000000000006E-2</v>
      </c>
      <c r="H13" s="5">
        <f t="shared" si="3"/>
        <v>0.75</v>
      </c>
      <c r="I13" s="27">
        <f t="shared" si="4"/>
        <v>-1.1278195488721805</v>
      </c>
    </row>
    <row r="14" spans="1:9" ht="15" x14ac:dyDescent="0.25">
      <c r="A14" s="19" t="s">
        <v>47</v>
      </c>
      <c r="B14" s="17"/>
      <c r="C14" s="22"/>
      <c r="D14" s="18">
        <f>SUM(D10:D13)</f>
        <v>19.895000000000003</v>
      </c>
      <c r="E14" s="16"/>
      <c r="F14" s="18"/>
      <c r="G14" s="18">
        <f>SUM(G10:G13)</f>
        <v>20.645000000000003</v>
      </c>
      <c r="H14" s="18">
        <f>G14-D14</f>
        <v>0.75</v>
      </c>
      <c r="I14" s="28">
        <f>H14/D14</f>
        <v>3.7697914048755964E-2</v>
      </c>
    </row>
    <row r="15" spans="1:9" s="55" customFormat="1" ht="15" x14ac:dyDescent="0.25">
      <c r="A15" s="47" t="s">
        <v>48</v>
      </c>
      <c r="B15" s="54">
        <f>B6-B4</f>
        <v>32.75</v>
      </c>
      <c r="C15" s="51">
        <f>IF(B4&gt;750,C30,C29)</f>
        <v>7.6999999999999999E-2</v>
      </c>
      <c r="D15" s="51">
        <f t="shared" si="0"/>
        <v>2.5217499999999999</v>
      </c>
      <c r="E15" s="54">
        <f>B15</f>
        <v>32.75</v>
      </c>
      <c r="F15" s="51">
        <f>C15</f>
        <v>7.6999999999999999E-2</v>
      </c>
      <c r="G15" s="51">
        <f t="shared" si="2"/>
        <v>2.5217499999999999</v>
      </c>
      <c r="H15" s="51">
        <f>G15-D15</f>
        <v>0</v>
      </c>
      <c r="I15" s="53">
        <f>H15/D15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ref="H16:H30" si="5">G16-D16</f>
        <v>0</v>
      </c>
      <c r="I16" s="27" t="str">
        <f t="shared" ref="I16:I21" si="6">IF(ISERROR(H16/D16), "",H16/D16)</f>
        <v/>
      </c>
    </row>
    <row r="17" spans="1:9" ht="15" x14ac:dyDescent="0.25">
      <c r="A17" s="2" t="s">
        <v>99</v>
      </c>
      <c r="B17" s="1">
        <f>B4</f>
        <v>500</v>
      </c>
      <c r="C17" s="26">
        <f>VLOOKUP($B$3,'Data-DO NOT PRINT'!$B$3:$AC$11,13,0)</f>
        <v>0</v>
      </c>
      <c r="D17" s="5">
        <f>B17*C17</f>
        <v>0</v>
      </c>
      <c r="E17" s="1">
        <f>B17</f>
        <v>500</v>
      </c>
      <c r="F17" s="26">
        <f>VLOOKUP($B$3,'Data-DO NOT PRINT'!$B$3:$AC$11,24,0)</f>
        <v>0</v>
      </c>
      <c r="G17" s="5">
        <f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49</v>
      </c>
      <c r="B18" s="1">
        <f>B4</f>
        <v>500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500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50</v>
      </c>
      <c r="B19" s="1">
        <f>B4</f>
        <v>500</v>
      </c>
      <c r="C19" s="26">
        <f>VLOOKUP($B$3,'Data-DO NOT PRINT'!$B$3:$AC$11,15,0)</f>
        <v>0</v>
      </c>
      <c r="D19" s="5">
        <f t="shared" si="7"/>
        <v>0</v>
      </c>
      <c r="E19" s="1">
        <f>B19</f>
        <v>500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51</v>
      </c>
      <c r="B20" s="1">
        <f>B4</f>
        <v>500</v>
      </c>
      <c r="C20" s="26">
        <f>VLOOKUP($B$3,'Data-DO NOT PRINT'!$B$3:$AC$11,9,0)</f>
        <v>4.0000000000000002E-4</v>
      </c>
      <c r="D20" s="5">
        <f t="shared" si="7"/>
        <v>0.2</v>
      </c>
      <c r="E20" s="1">
        <f>B20</f>
        <v>500</v>
      </c>
      <c r="F20" s="26">
        <f>VLOOKUP($B$3,'Data-DO NOT PRINT'!$B$3:$AC$11,20,0)</f>
        <v>4.0000000000000002E-4</v>
      </c>
      <c r="G20" s="5">
        <f t="shared" si="9"/>
        <v>0.2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52</v>
      </c>
      <c r="B21" s="1">
        <v>1</v>
      </c>
      <c r="C21" s="5">
        <f>VLOOKUP($B$3,'Data-DO NOT PRINT'!$B$3:$AC$11,6,0)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7" t="str">
        <f t="shared" si="6"/>
        <v/>
      </c>
    </row>
    <row r="22" spans="1:9" ht="15" x14ac:dyDescent="0.25">
      <c r="A22" s="19" t="s">
        <v>53</v>
      </c>
      <c r="B22" s="17"/>
      <c r="C22" s="22"/>
      <c r="D22" s="18">
        <f>SUM(D14:D21)</f>
        <v>22.616750000000003</v>
      </c>
      <c r="E22" s="17"/>
      <c r="F22" s="22"/>
      <c r="G22" s="18">
        <f>SUM(G14:G21)</f>
        <v>23.366750000000003</v>
      </c>
      <c r="H22" s="18">
        <f>G22-D22</f>
        <v>0.75</v>
      </c>
      <c r="I22" s="28">
        <f>H22/D22</f>
        <v>3.3161263223053704E-2</v>
      </c>
    </row>
    <row r="23" spans="1:9" ht="15" x14ac:dyDescent="0.25">
      <c r="A23" s="2" t="s">
        <v>54</v>
      </c>
      <c r="B23" s="8">
        <f>B6</f>
        <v>532.75</v>
      </c>
      <c r="C23" s="26">
        <f>VLOOKUP($B$3,'Data-DO NOT PRINT'!$B$3:$AC$11,16,0)</f>
        <v>5.7999999999999996E-3</v>
      </c>
      <c r="D23" s="5">
        <f t="shared" ref="D23:D24" si="10">B23*C23</f>
        <v>3.08995</v>
      </c>
      <c r="E23" s="8">
        <f t="shared" ref="E23:E24" si="11">B23</f>
        <v>532.75</v>
      </c>
      <c r="F23" s="26">
        <f>VLOOKUP($B$3,'Data-DO NOT PRINT'!$B$3:$AC$11,27,0)</f>
        <v>5.8999999999999999E-3</v>
      </c>
      <c r="G23" s="5">
        <f t="shared" ref="G23:G24" si="12">E23*F23</f>
        <v>3.1432249999999997</v>
      </c>
      <c r="H23" s="5">
        <f t="shared" si="5"/>
        <v>5.3274999999999739E-2</v>
      </c>
      <c r="I23" s="27">
        <f t="shared" ref="I23:I24" si="13">IF(ISERROR(H23/D23), "",H23/D23)</f>
        <v>1.7241379310344744E-2</v>
      </c>
    </row>
    <row r="24" spans="1:9" ht="15" x14ac:dyDescent="0.25">
      <c r="A24" s="2" t="s">
        <v>55</v>
      </c>
      <c r="B24" s="8">
        <f>B6</f>
        <v>532.75</v>
      </c>
      <c r="C24" s="26">
        <f>VLOOKUP($B$3,'Data-DO NOT PRINT'!$B$3:$AC$11,17,0)</f>
        <v>5.4999999999999997E-3</v>
      </c>
      <c r="D24" s="5">
        <f t="shared" si="10"/>
        <v>2.9301249999999999</v>
      </c>
      <c r="E24" s="8">
        <f t="shared" si="11"/>
        <v>532.75</v>
      </c>
      <c r="F24" s="26">
        <f>VLOOKUP($B$3,'Data-DO NOT PRINT'!$B$3:$AC$11,28,0)</f>
        <v>5.4000000000000003E-3</v>
      </c>
      <c r="G24" s="5">
        <f t="shared" si="12"/>
        <v>2.8768500000000001</v>
      </c>
      <c r="H24" s="5">
        <f t="shared" si="5"/>
        <v>-5.3274999999999739E-2</v>
      </c>
      <c r="I24" s="27">
        <f t="shared" si="13"/>
        <v>-1.8181818181818094E-2</v>
      </c>
    </row>
    <row r="25" spans="1:9" ht="15" x14ac:dyDescent="0.25">
      <c r="A25" s="19" t="s">
        <v>56</v>
      </c>
      <c r="B25" s="17"/>
      <c r="C25" s="22"/>
      <c r="D25" s="18">
        <f>SUM(D22:D24)</f>
        <v>28.636825000000005</v>
      </c>
      <c r="E25" s="17"/>
      <c r="F25" s="22"/>
      <c r="G25" s="18">
        <f>SUM(G22:G24)</f>
        <v>29.386825000000005</v>
      </c>
      <c r="H25" s="18">
        <f>G25-D25</f>
        <v>0.75</v>
      </c>
      <c r="I25" s="28">
        <f>H25/D25</f>
        <v>2.6190054239602325E-2</v>
      </c>
    </row>
    <row r="26" spans="1:9" ht="15" x14ac:dyDescent="0.25">
      <c r="A26" s="2" t="s">
        <v>57</v>
      </c>
      <c r="B26" s="8">
        <f>B6</f>
        <v>532.75</v>
      </c>
      <c r="C26" s="26">
        <v>3.3999999999999998E-3</v>
      </c>
      <c r="D26" s="5">
        <f t="shared" ref="D26:D28" si="14">B26*C26</f>
        <v>1.8113499999999998</v>
      </c>
      <c r="E26" s="8">
        <f t="shared" ref="E26:E28" si="15">B26</f>
        <v>532.75</v>
      </c>
      <c r="F26" s="26">
        <v>3.3999999999999998E-3</v>
      </c>
      <c r="G26" s="5">
        <f t="shared" ref="G26:G30" si="16">E26*F26</f>
        <v>1.8113499999999998</v>
      </c>
      <c r="H26" s="5">
        <f t="shared" si="5"/>
        <v>0</v>
      </c>
      <c r="I26" s="27">
        <f t="shared" ref="I26:I30" si="17">IF(ISERROR(H26/D26), "",H26/D26)</f>
        <v>0</v>
      </c>
    </row>
    <row r="27" spans="1:9" ht="15" x14ac:dyDescent="0.25">
      <c r="A27" s="2" t="s">
        <v>58</v>
      </c>
      <c r="B27" s="8">
        <f>B6</f>
        <v>532.75</v>
      </c>
      <c r="C27" s="26">
        <v>5.0000000000000001E-4</v>
      </c>
      <c r="D27" s="5">
        <f t="shared" si="14"/>
        <v>0.26637500000000003</v>
      </c>
      <c r="E27" s="8">
        <f t="shared" si="15"/>
        <v>532.75</v>
      </c>
      <c r="F27" s="26">
        <v>5.0000000000000001E-4</v>
      </c>
      <c r="G27" s="5">
        <f t="shared" si="16"/>
        <v>0.26637500000000003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59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68</v>
      </c>
      <c r="B29" s="1">
        <f>IF($B$4&gt;750,750,$B$4)</f>
        <v>500</v>
      </c>
      <c r="C29" s="25">
        <v>7.6999999999999999E-2</v>
      </c>
      <c r="D29" s="5">
        <f>B29*C29</f>
        <v>38.5</v>
      </c>
      <c r="E29" s="1">
        <f>B29</f>
        <v>500</v>
      </c>
      <c r="F29" s="25">
        <f>C29</f>
        <v>7.6999999999999999E-2</v>
      </c>
      <c r="G29" s="5">
        <f t="shared" si="16"/>
        <v>38.5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69</v>
      </c>
      <c r="B30" s="1">
        <f>IF($B$4&gt;750,$B$4-750,0)</f>
        <v>0</v>
      </c>
      <c r="C30" s="25">
        <v>8.8999999999999996E-2</v>
      </c>
      <c r="D30" s="5">
        <f t="shared" ref="D30" si="18">B30*C30</f>
        <v>0</v>
      </c>
      <c r="E30" s="1">
        <f>B30</f>
        <v>0</v>
      </c>
      <c r="F30" s="25">
        <f t="shared" ref="F30" si="19">C30</f>
        <v>8.8999999999999996E-2</v>
      </c>
      <c r="G30" s="5">
        <f t="shared" si="16"/>
        <v>0</v>
      </c>
      <c r="H30" s="5">
        <f t="shared" si="5"/>
        <v>0</v>
      </c>
      <c r="I30" s="27" t="str">
        <f t="shared" si="17"/>
        <v/>
      </c>
    </row>
    <row r="31" spans="1:9" x14ac:dyDescent="0.3">
      <c r="A31" s="20"/>
      <c r="B31" s="14"/>
      <c r="C31" s="21"/>
      <c r="D31" s="21"/>
      <c r="E31" s="14"/>
      <c r="F31" s="21"/>
      <c r="G31" s="21"/>
      <c r="H31" s="21"/>
      <c r="I31" s="30"/>
    </row>
    <row r="32" spans="1:9" x14ac:dyDescent="0.3">
      <c r="A32" s="2" t="s">
        <v>60</v>
      </c>
      <c r="D32" s="6">
        <f>SUM(D25:D30)</f>
        <v>69.464550000000003</v>
      </c>
      <c r="E32" s="1"/>
      <c r="F32" s="5"/>
      <c r="G32" s="6">
        <f>SUM(G25:G30)</f>
        <v>70.214550000000003</v>
      </c>
      <c r="H32" s="6">
        <f>G32-D32</f>
        <v>0.75</v>
      </c>
      <c r="I32" s="29">
        <f t="shared" ref="I32:I35" si="20">IF(ISERROR(H32/D32), "",H32/D32)</f>
        <v>1.0796874089013747E-2</v>
      </c>
    </row>
    <row r="33" spans="1:9" x14ac:dyDescent="0.3">
      <c r="A33" s="2" t="s">
        <v>5</v>
      </c>
      <c r="C33" s="7">
        <v>0.13</v>
      </c>
      <c r="D33" s="5">
        <f>C33*D32</f>
        <v>9.0303915000000003</v>
      </c>
      <c r="E33" s="1"/>
      <c r="F33" s="7">
        <v>0.13</v>
      </c>
      <c r="G33" s="5">
        <f>F33*G32</f>
        <v>9.1278915000000005</v>
      </c>
      <c r="H33" s="5">
        <f t="shared" ref="H33:H34" si="21">G33-D33</f>
        <v>9.7500000000000142E-2</v>
      </c>
      <c r="I33" s="27">
        <f t="shared" si="20"/>
        <v>1.0796874089013765E-2</v>
      </c>
    </row>
    <row r="34" spans="1:9" x14ac:dyDescent="0.3">
      <c r="A34" s="2" t="s">
        <v>61</v>
      </c>
      <c r="C34" s="7">
        <v>-0.08</v>
      </c>
      <c r="D34" s="5">
        <f>C34*D32</f>
        <v>-5.5571640000000002</v>
      </c>
      <c r="E34" s="1"/>
      <c r="F34" s="7">
        <v>-0.08</v>
      </c>
      <c r="G34" s="5">
        <f>F34*G32</f>
        <v>-5.6171640000000007</v>
      </c>
      <c r="H34" s="5">
        <f t="shared" si="21"/>
        <v>-6.0000000000000497E-2</v>
      </c>
      <c r="I34" s="27">
        <f t="shared" si="20"/>
        <v>1.0796874089013838E-2</v>
      </c>
    </row>
    <row r="35" spans="1:9" x14ac:dyDescent="0.3">
      <c r="A35" s="2" t="s">
        <v>62</v>
      </c>
      <c r="D35" s="6">
        <f>SUM(D32:D34)</f>
        <v>72.93777750000001</v>
      </c>
      <c r="E35" s="1"/>
      <c r="F35" s="5"/>
      <c r="G35" s="6">
        <f>SUM(G32:G34)</f>
        <v>73.725277500000004</v>
      </c>
      <c r="H35" s="6">
        <f>G35-D35</f>
        <v>0.78749999999999432</v>
      </c>
      <c r="I35" s="29">
        <f t="shared" si="20"/>
        <v>1.0796874089013669E-2</v>
      </c>
    </row>
    <row r="36" spans="1:9" x14ac:dyDescent="0.3">
      <c r="A36" s="14"/>
      <c r="B36" s="14"/>
      <c r="C36" s="21"/>
      <c r="D36" s="15"/>
      <c r="E36" s="15"/>
      <c r="F36" s="24"/>
      <c r="G36" s="15"/>
      <c r="H36" s="21"/>
      <c r="I36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1 D23:I25 H22:I22 E22:F22 D22 G22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G15" sqref="G1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3" customWidth="1"/>
    <col min="7" max="7" width="13.5546875" customWidth="1"/>
    <col min="8" max="8" width="12.44140625" customWidth="1"/>
    <col min="9" max="9" width="11.88671875" style="27" customWidth="1"/>
  </cols>
  <sheetData>
    <row r="1" spans="1:9" ht="15.6" x14ac:dyDescent="0.3">
      <c r="A1" s="86" t="s">
        <v>97</v>
      </c>
      <c r="B1" s="87"/>
      <c r="C1" s="87"/>
      <c r="D1" s="87"/>
      <c r="E1" s="87"/>
      <c r="F1" s="87"/>
      <c r="G1" s="87"/>
      <c r="H1" s="87"/>
      <c r="I1" s="87"/>
    </row>
    <row r="3" spans="1:9" ht="15" x14ac:dyDescent="0.25">
      <c r="A3" s="2" t="s">
        <v>12</v>
      </c>
      <c r="B3" s="10" t="s">
        <v>25</v>
      </c>
    </row>
    <row r="4" spans="1:9" ht="15" x14ac:dyDescent="0.25">
      <c r="A4" s="2" t="s">
        <v>65</v>
      </c>
      <c r="B4" s="31">
        <f>VLOOKUP($B$3,'Data-DO NOT PRINT'!$B$3:$AC$11,2,0)</f>
        <v>77</v>
      </c>
    </row>
    <row r="5" spans="1:9" ht="15" x14ac:dyDescent="0.25">
      <c r="A5" s="2" t="s">
        <v>64</v>
      </c>
      <c r="B5" s="10">
        <f>VLOOKUP($B$3,'Data-DO NOT PRINT'!$B$3:$AC$11,3)</f>
        <v>0.21</v>
      </c>
    </row>
    <row r="6" spans="1:9" ht="15" x14ac:dyDescent="0.25">
      <c r="A6" s="2" t="s">
        <v>4</v>
      </c>
      <c r="B6" s="10">
        <f>VLOOKUP(B3,'Data-DO NOT PRINT'!B3:Y11,5,0)</f>
        <v>1.0654999999999999</v>
      </c>
    </row>
    <row r="7" spans="1:9" ht="15" x14ac:dyDescent="0.25">
      <c r="A7" s="2" t="s">
        <v>28</v>
      </c>
      <c r="B7" s="31">
        <f>B4*B6</f>
        <v>82.043499999999995</v>
      </c>
    </row>
    <row r="8" spans="1:9" ht="15" x14ac:dyDescent="0.25">
      <c r="A8" s="2"/>
      <c r="B8" s="10"/>
    </row>
    <row r="9" spans="1:9" ht="15" x14ac:dyDescent="0.25">
      <c r="B9" s="83" t="s">
        <v>38</v>
      </c>
      <c r="C9" s="83"/>
      <c r="D9" s="83"/>
      <c r="E9" s="83" t="s">
        <v>100</v>
      </c>
      <c r="F9" s="83"/>
      <c r="G9" s="83"/>
      <c r="H9" s="83" t="s">
        <v>39</v>
      </c>
      <c r="I9" s="83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40</v>
      </c>
      <c r="I10" s="29" t="s">
        <v>41</v>
      </c>
    </row>
    <row r="11" spans="1:9" ht="15" x14ac:dyDescent="0.25">
      <c r="A11" s="2" t="s">
        <v>43</v>
      </c>
      <c r="B11" s="1">
        <v>1</v>
      </c>
      <c r="C11" s="5">
        <f>VLOOKUP($B$3,'Data-DO NOT PRINT'!$B$3:$AC$11,7,0)</f>
        <v>14.23</v>
      </c>
      <c r="D11" s="5">
        <f t="shared" ref="D11:D16" si="0">B11*C11</f>
        <v>14.23</v>
      </c>
      <c r="E11" s="1">
        <f t="shared" ref="E11:E14" si="1">B11</f>
        <v>1</v>
      </c>
      <c r="F11" s="5">
        <f>VLOOKUP($B$3,'Data-DO NOT PRINT'!$B$3:$AC$11,18,0)</f>
        <v>14.23</v>
      </c>
      <c r="G11" s="5">
        <f t="shared" ref="G11:G16" si="2">E11*F11</f>
        <v>14.23</v>
      </c>
      <c r="H11" s="5">
        <f t="shared" ref="H11:H14" si="3">G11-D11</f>
        <v>0</v>
      </c>
      <c r="I11" s="27">
        <f>IF(ISERROR(H11/D11), "",H11/D11)</f>
        <v>0</v>
      </c>
    </row>
    <row r="12" spans="1:9" ht="15" x14ac:dyDescent="0.25">
      <c r="A12" s="2" t="s">
        <v>44</v>
      </c>
      <c r="B12" s="56">
        <f>B5</f>
        <v>0.21</v>
      </c>
      <c r="C12" s="26">
        <f>VLOOKUP($B$3,'Data-DO NOT PRINT'!$B$3:$AC$11,8,0)</f>
        <v>36.726100000000002</v>
      </c>
      <c r="D12" s="5">
        <f t="shared" si="0"/>
        <v>7.7124810000000004</v>
      </c>
      <c r="E12" s="56">
        <f t="shared" si="1"/>
        <v>0.21</v>
      </c>
      <c r="F12" s="26">
        <f>VLOOKUP($B$3,'Data-DO NOT PRINT'!$B$3:$AC$11,19,0)</f>
        <v>36.726100000000002</v>
      </c>
      <c r="G12" s="5">
        <f t="shared" si="2"/>
        <v>7.7124810000000004</v>
      </c>
      <c r="H12" s="5">
        <f t="shared" si="3"/>
        <v>0</v>
      </c>
      <c r="I12" s="27">
        <f t="shared" ref="I12:I14" si="4">IF(ISERROR(H12/D12), "",H12/D12)</f>
        <v>0</v>
      </c>
    </row>
    <row r="13" spans="1:9" ht="15" x14ac:dyDescent="0.25">
      <c r="A13" s="2" t="s">
        <v>45</v>
      </c>
      <c r="B13" s="1">
        <v>1</v>
      </c>
      <c r="C13" s="5">
        <f>VLOOKUP($B$3,'Data-DO NOT PRINT'!$B$3:$AC$11,10,0)</f>
        <v>-0.14000000000000001</v>
      </c>
      <c r="D13" s="5">
        <f t="shared" si="0"/>
        <v>-0.14000000000000001</v>
      </c>
      <c r="E13" s="1">
        <f t="shared" si="1"/>
        <v>1</v>
      </c>
      <c r="F13" s="5">
        <f>VLOOKUP($B$3,'Data-DO NOT PRINT'!$B$3:$AC$11,21,0)</f>
        <v>-0.14000000000000001</v>
      </c>
      <c r="G13" s="5">
        <f t="shared" si="2"/>
        <v>-0.14000000000000001</v>
      </c>
      <c r="H13" s="5">
        <f t="shared" si="3"/>
        <v>0</v>
      </c>
      <c r="I13" s="27">
        <f t="shared" si="4"/>
        <v>0</v>
      </c>
    </row>
    <row r="14" spans="1:9" ht="15" x14ac:dyDescent="0.25">
      <c r="A14" s="2" t="s">
        <v>46</v>
      </c>
      <c r="B14" s="56">
        <f>B5</f>
        <v>0.21</v>
      </c>
      <c r="C14" s="26">
        <f>VLOOKUP($B$3,'Data-DO NOT PRINT'!$B$3:$AC$11,11,0)</f>
        <v>-3.9104000000000001</v>
      </c>
      <c r="D14" s="5">
        <f t="shared" si="0"/>
        <v>-0.82118400000000003</v>
      </c>
      <c r="E14" s="56">
        <f t="shared" si="1"/>
        <v>0.21</v>
      </c>
      <c r="F14" s="26">
        <f>VLOOKUP($B$3,'Data-DO NOT PRINT'!$B$3:$AC$11,22,0)</f>
        <v>0.25509999999999994</v>
      </c>
      <c r="G14" s="5">
        <f t="shared" si="2"/>
        <v>5.3570999999999987E-2</v>
      </c>
      <c r="H14" s="5">
        <f t="shared" si="3"/>
        <v>0.87475500000000006</v>
      </c>
      <c r="I14" s="27">
        <f t="shared" si="4"/>
        <v>-1.0652362929623569</v>
      </c>
    </row>
    <row r="15" spans="1:9" ht="15" x14ac:dyDescent="0.25">
      <c r="A15" s="19" t="s">
        <v>47</v>
      </c>
      <c r="B15" s="17"/>
      <c r="C15" s="22"/>
      <c r="D15" s="18">
        <f>SUM(D11:D14)</f>
        <v>20.981297000000001</v>
      </c>
      <c r="E15" s="16"/>
      <c r="F15" s="18"/>
      <c r="G15" s="18">
        <f>SUM(G11:G14)</f>
        <v>21.856052000000002</v>
      </c>
      <c r="H15" s="18">
        <f>G15-D15</f>
        <v>0.87475500000000039</v>
      </c>
      <c r="I15" s="28">
        <f>H15/D15</f>
        <v>4.1692131806722925E-2</v>
      </c>
    </row>
    <row r="16" spans="1:9" s="49" customFormat="1" ht="15" x14ac:dyDescent="0.25">
      <c r="A16" s="47" t="s">
        <v>48</v>
      </c>
      <c r="B16" s="50">
        <f>B7-B4</f>
        <v>5.0434999999999945</v>
      </c>
      <c r="C16" s="48">
        <f>IF(B5&gt;750,C31,C30)</f>
        <v>7.6999999999999999E-2</v>
      </c>
      <c r="D16" s="51">
        <f t="shared" si="0"/>
        <v>0.38834949999999957</v>
      </c>
      <c r="E16" s="52">
        <f>B16</f>
        <v>5.0434999999999945</v>
      </c>
      <c r="F16" s="51">
        <f>C16</f>
        <v>7.6999999999999999E-2</v>
      </c>
      <c r="G16" s="51">
        <f t="shared" si="2"/>
        <v>0.38834949999999957</v>
      </c>
      <c r="H16" s="51">
        <f t="shared" ref="H16" si="5">G16-D16</f>
        <v>0</v>
      </c>
      <c r="I16" s="53">
        <f t="shared" ref="I16" si="6">IF(ISERROR(H16/D16), "",H16/D16)</f>
        <v>0</v>
      </c>
    </row>
    <row r="17" spans="1:9" ht="15" x14ac:dyDescent="0.25">
      <c r="A17" s="2" t="s">
        <v>98</v>
      </c>
      <c r="B17" s="1">
        <v>1</v>
      </c>
      <c r="C17" s="5">
        <f>VLOOKUP($B$3,'Data-DO NOT PRINT'!$B$3:$AC$11,12,0)</f>
        <v>0</v>
      </c>
      <c r="D17" s="5">
        <f>B17*C17</f>
        <v>0</v>
      </c>
      <c r="E17" s="1">
        <f>B17</f>
        <v>1</v>
      </c>
      <c r="F17" s="5">
        <f>VLOOKUP($B$3,'Data-DO NOT PRINT'!$B$3:$AC$11,23,0)</f>
        <v>0</v>
      </c>
      <c r="G17" s="5">
        <f>E17*F17</f>
        <v>0</v>
      </c>
      <c r="H17" s="5">
        <f t="shared" ref="H17:H31" si="7">G17-D17</f>
        <v>0</v>
      </c>
      <c r="I17" s="27" t="str">
        <f t="shared" ref="I17:I22" si="8">IF(ISERROR(H17/D17), "",H17/D17)</f>
        <v/>
      </c>
    </row>
    <row r="18" spans="1:9" ht="15" x14ac:dyDescent="0.25">
      <c r="A18" s="2" t="s">
        <v>99</v>
      </c>
      <c r="B18" s="56">
        <f>B5</f>
        <v>0.21</v>
      </c>
      <c r="C18" s="26">
        <f>VLOOKUP($B$3,'Data-DO NOT PRINT'!$B$3:$AC$11,13,0)</f>
        <v>0</v>
      </c>
      <c r="D18" s="5">
        <f>B18*C18</f>
        <v>0</v>
      </c>
      <c r="E18" s="56">
        <f>B18</f>
        <v>0.21</v>
      </c>
      <c r="F18" s="26">
        <f>VLOOKUP($B$3,'Data-DO NOT PRINT'!$B$3:$AC$11,24,0)</f>
        <v>0</v>
      </c>
      <c r="G18" s="5">
        <f>E18*F18</f>
        <v>0</v>
      </c>
      <c r="H18" s="5">
        <f t="shared" si="7"/>
        <v>0</v>
      </c>
      <c r="I18" s="27" t="str">
        <f t="shared" si="8"/>
        <v/>
      </c>
    </row>
    <row r="19" spans="1:9" ht="15" x14ac:dyDescent="0.25">
      <c r="A19" s="4" t="s">
        <v>49</v>
      </c>
      <c r="B19" s="56">
        <f>B5</f>
        <v>0.21</v>
      </c>
      <c r="C19" s="26">
        <f>VLOOKUP($B$3,'Data-DO NOT PRINT'!$B$3:$AC$11,14,0)</f>
        <v>0</v>
      </c>
      <c r="D19" s="5">
        <f t="shared" ref="D19:D22" si="9">B19*C19</f>
        <v>0</v>
      </c>
      <c r="E19" s="56">
        <f t="shared" ref="E19:E22" si="10">B19</f>
        <v>0.21</v>
      </c>
      <c r="F19" s="26">
        <f>VLOOKUP($B$3,'Data-DO NOT PRINT'!$B$3:$AC$11,25,0)</f>
        <v>0</v>
      </c>
      <c r="G19" s="5">
        <f t="shared" ref="G19:G22" si="11">E19*F19</f>
        <v>0</v>
      </c>
      <c r="H19" s="5">
        <f t="shared" si="7"/>
        <v>0</v>
      </c>
      <c r="I19" s="27" t="str">
        <f t="shared" si="8"/>
        <v/>
      </c>
    </row>
    <row r="20" spans="1:9" ht="15" x14ac:dyDescent="0.25">
      <c r="A20" s="4" t="s">
        <v>50</v>
      </c>
      <c r="B20" s="11">
        <f>B4</f>
        <v>77</v>
      </c>
      <c r="C20" s="26">
        <f>VLOOKUP($B$3,'Data-DO NOT PRINT'!$B$3:$AC$11,15,0)</f>
        <v>0</v>
      </c>
      <c r="D20" s="5">
        <f t="shared" si="9"/>
        <v>0</v>
      </c>
      <c r="E20" s="11">
        <f>B20</f>
        <v>77</v>
      </c>
      <c r="F20" s="26">
        <f>VLOOKUP($B$3,'Data-DO NOT PRINT'!$B$3:$AC$11,26,0)</f>
        <v>0</v>
      </c>
      <c r="G20" s="5">
        <f t="shared" si="11"/>
        <v>0</v>
      </c>
      <c r="H20" s="5">
        <f t="shared" si="7"/>
        <v>0</v>
      </c>
      <c r="I20" s="27" t="str">
        <f t="shared" si="8"/>
        <v/>
      </c>
    </row>
    <row r="21" spans="1:9" ht="15" x14ac:dyDescent="0.25">
      <c r="A21" s="4" t="s">
        <v>51</v>
      </c>
      <c r="B21" s="56">
        <f>B5</f>
        <v>0.21</v>
      </c>
      <c r="C21" s="26">
        <f>VLOOKUP($B$3,'Data-DO NOT PRINT'!$B$3:$AC$11,9,0)</f>
        <v>0.1099</v>
      </c>
      <c r="D21" s="5">
        <f t="shared" si="9"/>
        <v>2.3078999999999999E-2</v>
      </c>
      <c r="E21" s="56">
        <f>B21</f>
        <v>0.21</v>
      </c>
      <c r="F21" s="26">
        <f>VLOOKUP($B$3,'Data-DO NOT PRINT'!$B$3:$AC$11,20,0)</f>
        <v>0.1099</v>
      </c>
      <c r="G21" s="5">
        <f t="shared" si="11"/>
        <v>2.3078999999999999E-2</v>
      </c>
      <c r="H21" s="5">
        <f t="shared" si="7"/>
        <v>0</v>
      </c>
      <c r="I21" s="27">
        <f t="shared" si="8"/>
        <v>0</v>
      </c>
    </row>
    <row r="22" spans="1:9" ht="15" x14ac:dyDescent="0.25">
      <c r="A22" s="2" t="s">
        <v>52</v>
      </c>
      <c r="B22" s="1">
        <v>1</v>
      </c>
      <c r="C22" s="5">
        <f>VLOOKUP($B$3,'Data-DO NOT PRINT'!$B$3:$AC$11,6,0)</f>
        <v>0</v>
      </c>
      <c r="D22" s="5">
        <f t="shared" si="9"/>
        <v>0</v>
      </c>
      <c r="E22" s="1">
        <f t="shared" si="10"/>
        <v>1</v>
      </c>
      <c r="F22" s="5">
        <f>C22</f>
        <v>0</v>
      </c>
      <c r="G22" s="5">
        <f t="shared" si="11"/>
        <v>0</v>
      </c>
      <c r="H22" s="5">
        <f t="shared" si="7"/>
        <v>0</v>
      </c>
      <c r="I22" s="27" t="str">
        <f t="shared" si="8"/>
        <v/>
      </c>
    </row>
    <row r="23" spans="1:9" ht="15" x14ac:dyDescent="0.25">
      <c r="A23" s="19" t="s">
        <v>53</v>
      </c>
      <c r="B23" s="17"/>
      <c r="C23" s="22"/>
      <c r="D23" s="18">
        <f>SUM(D15:D22)</f>
        <v>21.392725500000001</v>
      </c>
      <c r="E23" s="17"/>
      <c r="F23" s="22"/>
      <c r="G23" s="18">
        <f>SUM(G15:G22)</f>
        <v>22.267480500000001</v>
      </c>
      <c r="H23" s="18">
        <f>G23-D23</f>
        <v>0.87475500000000039</v>
      </c>
      <c r="I23" s="28">
        <f>H23/D23</f>
        <v>4.0890301705596155E-2</v>
      </c>
    </row>
    <row r="24" spans="1:9" ht="15" x14ac:dyDescent="0.25">
      <c r="A24" s="2" t="s">
        <v>54</v>
      </c>
      <c r="B24" s="56">
        <f>B5</f>
        <v>0.21</v>
      </c>
      <c r="C24" s="26">
        <f>VLOOKUP($B$3,'Data-DO NOT PRINT'!$B$3:$AC$11,16,0)</f>
        <v>1.7819</v>
      </c>
      <c r="D24" s="5">
        <f t="shared" ref="D24:D25" si="12">B24*C24</f>
        <v>0.374199</v>
      </c>
      <c r="E24" s="56">
        <f t="shared" ref="E24:E25" si="13">B24</f>
        <v>0.21</v>
      </c>
      <c r="F24" s="26">
        <f>VLOOKUP($B$3,'Data-DO NOT PRINT'!$B$3:$AC$11,27,0)</f>
        <v>1.8148</v>
      </c>
      <c r="G24" s="5">
        <f t="shared" ref="G24:G25" si="14">E24*F24</f>
        <v>0.381108</v>
      </c>
      <c r="H24" s="5">
        <f t="shared" si="7"/>
        <v>6.9089999999999985E-3</v>
      </c>
      <c r="I24" s="27">
        <f t="shared" ref="I24:I25" si="15">IF(ISERROR(H24/D24), "",H24/D24)</f>
        <v>1.8463437903361576E-2</v>
      </c>
    </row>
    <row r="25" spans="1:9" ht="15" x14ac:dyDescent="0.25">
      <c r="A25" s="2" t="s">
        <v>55</v>
      </c>
      <c r="B25" s="56">
        <f>B5</f>
        <v>0.21</v>
      </c>
      <c r="C25" s="26">
        <f>VLOOKUP($B$3,'Data-DO NOT PRINT'!$B$3:$AC$11,17,0)</f>
        <v>1.7130000000000001</v>
      </c>
      <c r="D25" s="5">
        <f t="shared" si="12"/>
        <v>0.35972999999999999</v>
      </c>
      <c r="E25" s="56">
        <f t="shared" si="13"/>
        <v>0.21</v>
      </c>
      <c r="F25" s="26">
        <f>VLOOKUP($B$3,'Data-DO NOT PRINT'!$B$3:$AC$11,28,0)</f>
        <v>1.6684000000000001</v>
      </c>
      <c r="G25" s="5">
        <f t="shared" si="14"/>
        <v>0.35036400000000001</v>
      </c>
      <c r="H25" s="5">
        <f t="shared" si="7"/>
        <v>-9.3659999999999854E-3</v>
      </c>
      <c r="I25" s="27">
        <f t="shared" si="15"/>
        <v>-2.6036193812025647E-2</v>
      </c>
    </row>
    <row r="26" spans="1:9" ht="15" x14ac:dyDescent="0.25">
      <c r="A26" s="19" t="s">
        <v>56</v>
      </c>
      <c r="B26" s="17"/>
      <c r="C26" s="22"/>
      <c r="D26" s="18">
        <f>SUM(D23:D25)</f>
        <v>22.126654500000001</v>
      </c>
      <c r="E26" s="17"/>
      <c r="F26" s="22"/>
      <c r="G26" s="18">
        <f>SUM(G23:G25)</f>
        <v>22.998952500000001</v>
      </c>
      <c r="H26" s="18">
        <f>G26-D26</f>
        <v>0.87229800000000068</v>
      </c>
      <c r="I26" s="28">
        <f>H26/D26</f>
        <v>3.9422950270227276E-2</v>
      </c>
    </row>
    <row r="27" spans="1:9" ht="15" x14ac:dyDescent="0.25">
      <c r="A27" s="2" t="s">
        <v>57</v>
      </c>
      <c r="B27" s="11">
        <f>B7</f>
        <v>82.043499999999995</v>
      </c>
      <c r="C27" s="26">
        <v>3.3999999999999998E-3</v>
      </c>
      <c r="D27" s="5">
        <f t="shared" ref="D27:D29" si="16">B27*C27</f>
        <v>0.27894789999999997</v>
      </c>
      <c r="E27" s="11">
        <f t="shared" ref="E27:E29" si="17">B27</f>
        <v>82.043499999999995</v>
      </c>
      <c r="F27" s="26">
        <v>3.3999999999999998E-3</v>
      </c>
      <c r="G27" s="5">
        <f t="shared" ref="G27:G31" si="18">E27*F27</f>
        <v>0.27894789999999997</v>
      </c>
      <c r="H27" s="5">
        <f t="shared" si="7"/>
        <v>0</v>
      </c>
      <c r="I27" s="27">
        <f t="shared" ref="I27:I31" si="19">IF(ISERROR(H27/D27), "",H27/D27)</f>
        <v>0</v>
      </c>
    </row>
    <row r="28" spans="1:9" ht="15" x14ac:dyDescent="0.25">
      <c r="A28" s="2" t="s">
        <v>58</v>
      </c>
      <c r="B28" s="11">
        <f>B7</f>
        <v>82.043499999999995</v>
      </c>
      <c r="C28" s="26">
        <v>5.0000000000000001E-4</v>
      </c>
      <c r="D28" s="5">
        <f t="shared" si="16"/>
        <v>4.1021749999999996E-2</v>
      </c>
      <c r="E28" s="11">
        <f t="shared" si="17"/>
        <v>82.043499999999995</v>
      </c>
      <c r="F28" s="26">
        <v>5.0000000000000001E-4</v>
      </c>
      <c r="G28" s="5">
        <f t="shared" si="18"/>
        <v>4.1021749999999996E-2</v>
      </c>
      <c r="H28" s="5">
        <f t="shared" si="7"/>
        <v>0</v>
      </c>
      <c r="I28" s="27">
        <f t="shared" si="19"/>
        <v>0</v>
      </c>
    </row>
    <row r="29" spans="1:9" ht="15" x14ac:dyDescent="0.25">
      <c r="A29" s="2" t="s">
        <v>59</v>
      </c>
      <c r="B29" s="1">
        <v>1</v>
      </c>
      <c r="C29" s="5">
        <v>0.25</v>
      </c>
      <c r="D29" s="5">
        <f t="shared" si="16"/>
        <v>0.25</v>
      </c>
      <c r="E29" s="1">
        <f t="shared" si="17"/>
        <v>1</v>
      </c>
      <c r="F29" s="5">
        <v>0.25</v>
      </c>
      <c r="G29" s="5">
        <f t="shared" si="18"/>
        <v>0.25</v>
      </c>
      <c r="H29" s="5">
        <f t="shared" si="7"/>
        <v>0</v>
      </c>
      <c r="I29" s="27">
        <f t="shared" si="19"/>
        <v>0</v>
      </c>
    </row>
    <row r="30" spans="1:9" ht="15" x14ac:dyDescent="0.25">
      <c r="A30" s="2" t="s">
        <v>68</v>
      </c>
      <c r="B30" s="11">
        <f>IF($B$4&gt;750,750,$B$4)</f>
        <v>77</v>
      </c>
      <c r="C30" s="25">
        <v>7.6999999999999999E-2</v>
      </c>
      <c r="D30" s="5">
        <f>B30*C30</f>
        <v>5.9290000000000003</v>
      </c>
      <c r="E30" s="11">
        <f>B30</f>
        <v>77</v>
      </c>
      <c r="F30" s="25">
        <f>C30</f>
        <v>7.6999999999999999E-2</v>
      </c>
      <c r="G30" s="5">
        <f t="shared" si="18"/>
        <v>5.9290000000000003</v>
      </c>
      <c r="H30" s="5">
        <f t="shared" si="7"/>
        <v>0</v>
      </c>
      <c r="I30" s="27">
        <f t="shared" si="19"/>
        <v>0</v>
      </c>
    </row>
    <row r="31" spans="1:9" x14ac:dyDescent="0.3">
      <c r="A31" s="2" t="s">
        <v>69</v>
      </c>
      <c r="B31" s="11">
        <f>IF($B$4&gt;750,$B$4-750,0)</f>
        <v>0</v>
      </c>
      <c r="C31" s="25">
        <v>8.8999999999999996E-2</v>
      </c>
      <c r="D31" s="5">
        <f>B31*C31</f>
        <v>0</v>
      </c>
      <c r="E31" s="11">
        <f>B31</f>
        <v>0</v>
      </c>
      <c r="F31" s="25">
        <v>8.8999999999999996E-2</v>
      </c>
      <c r="G31" s="5">
        <f t="shared" si="18"/>
        <v>0</v>
      </c>
      <c r="H31" s="5">
        <f t="shared" si="7"/>
        <v>0</v>
      </c>
      <c r="I31" s="27" t="str">
        <f t="shared" si="19"/>
        <v/>
      </c>
    </row>
    <row r="32" spans="1:9" x14ac:dyDescent="0.3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60</v>
      </c>
      <c r="D33" s="6">
        <f>SUM(D26:D31)</f>
        <v>28.62562415</v>
      </c>
      <c r="E33" s="1"/>
      <c r="F33" s="5"/>
      <c r="G33" s="6">
        <f>SUM(G26:G31)</f>
        <v>29.497922150000001</v>
      </c>
      <c r="H33" s="6">
        <f>G33-D33</f>
        <v>0.87229800000000068</v>
      </c>
      <c r="I33" s="29">
        <f t="shared" ref="I33:I36" si="20">IF(ISERROR(H33/D33), "",H33/D33)</f>
        <v>3.047262814005754E-2</v>
      </c>
    </row>
    <row r="34" spans="1:9" x14ac:dyDescent="0.3">
      <c r="A34" s="2" t="s">
        <v>5</v>
      </c>
      <c r="C34" s="7">
        <v>0.13</v>
      </c>
      <c r="D34" s="5">
        <f>C34*D33</f>
        <v>3.7213311395000002</v>
      </c>
      <c r="E34" s="1"/>
      <c r="F34" s="7">
        <v>0.13</v>
      </c>
      <c r="G34" s="5">
        <f>F34*G33</f>
        <v>3.8347298795000002</v>
      </c>
      <c r="H34" s="5">
        <f t="shared" ref="H34:H35" si="21">G34-D34</f>
        <v>0.11339874000000005</v>
      </c>
      <c r="I34" s="27">
        <f t="shared" si="20"/>
        <v>3.047262814005753E-2</v>
      </c>
    </row>
    <row r="35" spans="1:9" x14ac:dyDescent="0.3">
      <c r="A35" s="2" t="s">
        <v>61</v>
      </c>
      <c r="C35" s="7">
        <v>-0.08</v>
      </c>
      <c r="D35" s="5">
        <f>C35*D33</f>
        <v>-2.2900499320000001</v>
      </c>
      <c r="E35" s="1"/>
      <c r="F35" s="7">
        <v>-0.08</v>
      </c>
      <c r="G35" s="5">
        <f>F35*G33</f>
        <v>-2.359833772</v>
      </c>
      <c r="H35" s="5">
        <f t="shared" si="21"/>
        <v>-6.978383999999993E-2</v>
      </c>
      <c r="I35" s="27">
        <f t="shared" si="20"/>
        <v>3.0472628140057485E-2</v>
      </c>
    </row>
    <row r="36" spans="1:9" x14ac:dyDescent="0.3">
      <c r="A36" s="2" t="s">
        <v>62</v>
      </c>
      <c r="D36" s="6">
        <f>SUM(D33:D35)</f>
        <v>30.056905357500003</v>
      </c>
      <c r="E36" s="1"/>
      <c r="F36" s="5"/>
      <c r="G36" s="6">
        <f>SUM(G33:G35)</f>
        <v>30.972818257500002</v>
      </c>
      <c r="H36" s="6">
        <f>G36-D36</f>
        <v>0.91591289999999859</v>
      </c>
      <c r="I36" s="29">
        <f t="shared" si="20"/>
        <v>3.0472628140057464E-2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7:I26 D15:I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94B67ED5D1742B6115771699F028D" ma:contentTypeVersion="10" ma:contentTypeDescription="Create a new document." ma:contentTypeScope="" ma:versionID="91c176ad15fc02f3aa9d919a2f2326dd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ea909525-6dd5-47d7-9eed-71e77e5cedc6" xmlns:ns5="31a38067-a042-4e0e-9037-517587b10700" xmlns:ns6="22557c5e-ecd2-4fce-aafc-6d8488508737" targetNamespace="http://schemas.microsoft.com/office/2006/metadata/properties" ma:root="true" ma:fieldsID="7508b588af1ef7742970cb72d4e7680d" ns2:_="" ns3:_="" ns4:_="" ns5:_="" ns6:_="">
    <xsd:import namespace="f0af1d65-dfd0-4b99-b523-def3a954563f"/>
    <xsd:import namespace="f9175001-c430-4d57-adde-c1c10539e919"/>
    <xsd:import namespace="ea909525-6dd5-47d7-9eed-71e77e5cedc6"/>
    <xsd:import namespace="31a38067-a042-4e0e-9037-517587b10700"/>
    <xsd:import namespace="22557c5e-ecd2-4fce-aafc-6d8488508737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Case_x0020_Number_x002f_Docket_x0020_Number" minOccurs="0"/>
                <xsd:element ref="ns3:Issue_x0020_Date"/>
                <xsd:element ref="ns3:Document_x0020_Type"/>
                <xsd:element ref="ns4:Authoring_x0020_Party" minOccurs="0"/>
                <xsd:element ref="ns5:RA_x0020_Contact" minOccurs="0"/>
                <xsd:element ref="ns3:Applicant" minOccurs="0"/>
                <xsd:element ref="ns6:Dir_Approved" minOccurs="0"/>
                <xsd:element ref="ns6:RA_Approved" minOccurs="0"/>
                <xsd:element ref="ns6:Fin_Approved" minOccurs="0"/>
                <xsd:element ref="ns6:Draft_Read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Issue_x0020_Date" ma:index="10" ma:displayName="Issue Date" ma:description="Date the document was issued." ma:format="DateOnly" ma:internalName="Issue_x0020_Date">
      <xsd:simpleType>
        <xsd:restriction base="dms:DateTime"/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Applicant" ma:index="14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Hydro One Sault Ste. Marie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2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Hydro One Sault Ste Marie - HOSSM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178404 - JAS" ma:format="Dropdown" ma:internalName="RA_x0020_Contact">
      <xsd:simpleType>
        <xsd:union memberTypes="dms:Text">
          <xsd:simpleType>
            <xsd:restriction base="dms:Choice">
              <xsd:enumeration value="182932 - AC"/>
              <xsd:enumeration value="584633 - OH"/>
              <xsd:enumeration value="183940 - IM"/>
              <xsd:enumeration value="208166 - HA"/>
              <xsd:enumeration value="184748 - JR"/>
              <xsd:enumeration value="178404 - JA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57c5e-ecd2-4fce-aafc-6d8488508737" elementFormDefault="qualified">
    <xsd:import namespace="http://schemas.microsoft.com/office/2006/documentManagement/types"/>
    <xsd:import namespace="http://schemas.microsoft.com/office/infopath/2007/PartnerControls"/>
    <xsd:element name="Dir_Approved" ma:index="15" nillable="true" ma:displayName="Dir_Approved" ma:default="0" ma:description="Approved by Director" ma:internalName="Dir_Approved">
      <xsd:simpleType>
        <xsd:restriction base="dms:Boolean"/>
      </xsd:simpleType>
    </xsd:element>
    <xsd:element name="RA_Approved" ma:index="16" nillable="true" ma:displayName="RA_Approved" ma:default="0" ma:description="Approved By Regulatory Affairs" ma:internalName="RA_Approved">
      <xsd:simpleType>
        <xsd:restriction base="dms:Boolean"/>
      </xsd:simpleType>
    </xsd:element>
    <xsd:element name="Fin_Approved" ma:index="17" nillable="true" ma:displayName="Fin_Approved" ma:default="0" ma:description="Financial Review Complete" ma:internalName="Fin_Approved">
      <xsd:simpleType>
        <xsd:restriction base="dms:Boolean"/>
      </xsd:simpleType>
    </xsd:element>
    <xsd:element name="Draft_Ready" ma:index="18" nillable="true" ma:displayName="Draft_Ready" ma:default="0" ma:description="Click this to YES when a draft is ready for Reg Advisor review." ma:internalName="Draft_Ready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_x0020_Number_x002f_Docket_x0020_Number xmlns="f9175001-c430-4d57-adde-c1c10539e919">EB-2018-0042</Case_x0020_Number_x002f_Docket_x0020_Number>
    <Issue_x0020_Date xmlns="f9175001-c430-4d57-adde-c1c10539e919">2018-11-28T05:00:00+00:00</Issue_x0020_Date>
    <Authoring_x0020_Party xmlns="ea909525-6dd5-47d7-9eed-71e77e5cedc6">Hydro One Networks - HONI</Authoring_x0020_Party>
    <Applicant xmlns="f9175001-c430-4d57-adde-c1c10539e919">
      <Value>Hydro One Networks</Value>
    </Applicant>
    <Draft_Ready xmlns="22557c5e-ecd2-4fce-aafc-6d8488508737">true</Draft_Ready>
    <Document_x0020_Type xmlns="f9175001-c430-4d57-adde-c1c10539e919">Prefiled evidence</Document_x0020_Type>
    <RA_x0020_Contact xmlns="31a38067-a042-4e0e-9037-517587b10700">180750 - AZ</RA_x0020_Contact>
    <Hydro_x0020_One_x0020_Data_x0020_Classification xmlns="f0af1d65-dfd0-4b99-b523-def3a954563f">Internal Use</Hydro_x0020_One_x0020_Data_x0020_Classification>
    <RA_Approved xmlns="22557c5e-ecd2-4fce-aafc-6d8488508737">true</RA_Approved>
    <Fin_Approved xmlns="22557c5e-ecd2-4fce-aafc-6d8488508737">false</Fin_Approved>
    <Dir_Approved xmlns="22557c5e-ecd2-4fce-aafc-6d8488508737">false</Dir_Approved>
  </documentManagement>
</p:properties>
</file>

<file path=customXml/itemProps1.xml><?xml version="1.0" encoding="utf-8"?>
<ds:datastoreItem xmlns:ds="http://schemas.openxmlformats.org/officeDocument/2006/customXml" ds:itemID="{86843B7C-5E93-4BA0-A139-7E058D637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ea909525-6dd5-47d7-9eed-71e77e5cedc6"/>
    <ds:schemaRef ds:uri="31a38067-a042-4e0e-9037-517587b10700"/>
    <ds:schemaRef ds:uri="22557c5e-ecd2-4fce-aafc-6d8488508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17CFB2-BE92-44EA-A54B-B1459238AB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015DB5-A72B-4F09-BABC-6375DF4EA89B}">
  <ds:schemaRefs>
    <ds:schemaRef ds:uri="ea909525-6dd5-47d7-9eed-71e77e5cedc6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22557c5e-ecd2-4fce-aafc-6d8488508737"/>
    <ds:schemaRef ds:uri="http://www.w3.org/XML/1998/namespace"/>
    <ds:schemaRef ds:uri="http://purl.org/dc/elements/1.1/"/>
    <ds:schemaRef ds:uri="31a38067-a042-4e0e-9037-517587b10700"/>
    <ds:schemaRef ds:uri="f9175001-c430-4d57-adde-c1c10539e919"/>
    <ds:schemaRef ds:uri="f0af1d65-dfd0-4b99-b523-def3a954563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Data-DO NOT PRINT</vt:lpstr>
      <vt:lpstr>Summary-DO NOT PRINT</vt:lpstr>
      <vt:lpstr>Res_RPP_Low</vt:lpstr>
      <vt:lpstr>Res_RPP_Typical</vt:lpstr>
      <vt:lpstr>Res_RPP_High</vt:lpstr>
      <vt:lpstr>GS&lt;50kW_RPP</vt:lpstr>
      <vt:lpstr>GS 50-4,999kW</vt:lpstr>
      <vt:lpstr>USL</vt:lpstr>
      <vt:lpstr>SenLgt</vt:lpstr>
      <vt:lpstr>StLgt</vt:lpstr>
      <vt:lpstr>Emb_Dist</vt:lpstr>
      <vt:lpstr>Res_NonRPP_Typical</vt:lpstr>
      <vt:lpstr>GS&lt;50 kW_NonRPP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 Impacts_Haldimand</dc:title>
  <dc:creator>SHETH Nikita</dc:creator>
  <cp:lastModifiedBy>KIM Susan</cp:lastModifiedBy>
  <cp:lastPrinted>2018-12-04T19:19:23Z</cp:lastPrinted>
  <dcterms:created xsi:type="dcterms:W3CDTF">2018-11-21T18:56:44Z</dcterms:created>
  <dcterms:modified xsi:type="dcterms:W3CDTF">2019-01-21T19:28:12Z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0x01010064C94B67ED5D1742B6115771699F028D</vt:lpwstr>
  </property>
  <property fmtid="{D5CDD505-2E9C-101B-9397-08002B2CF9AE}" pid="3" name="Order">
    <vt:r8>246600</vt:r8>
  </property>
</Properties>
</file>