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25"/>
  </bookViews>
  <sheets>
    <sheet name="A1.1 Summary" sheetId="5" r:id="rId1"/>
    <sheet name="A1.2 REDA" sheetId="4" r:id="rId2"/>
    <sheet name="A1.3 PGTVA" sheetId="3" r:id="rId3"/>
  </sheets>
  <definedNames>
    <definedName name="_MailEndCompose" localSheetId="1">'A1.2 REDA'!$A$121</definedName>
  </definedNames>
  <calcPr calcId="145621" iterate="1" iterateCount="9999" calcOnSave="0"/>
</workbook>
</file>

<file path=xl/calcChain.xml><?xml version="1.0" encoding="utf-8"?>
<calcChain xmlns="http://schemas.openxmlformats.org/spreadsheetml/2006/main">
  <c r="F42" i="3" l="1"/>
  <c r="E21" i="3"/>
  <c r="E19" i="3"/>
  <c r="Q21" i="3"/>
  <c r="Q26" i="3"/>
  <c r="P24" i="3"/>
  <c r="Q20" i="3"/>
  <c r="D14" i="5" l="1"/>
  <c r="D13" i="5"/>
  <c r="D12" i="5"/>
  <c r="D15" i="5" l="1"/>
  <c r="D5" i="5"/>
  <c r="B151" i="4"/>
  <c r="C149" i="4"/>
  <c r="C148" i="4"/>
  <c r="C145" i="4"/>
  <c r="C146" i="4" l="1"/>
  <c r="C139" i="4"/>
  <c r="C130" i="4"/>
  <c r="D148" i="4" s="1"/>
  <c r="D149" i="4" s="1"/>
  <c r="B118" i="4"/>
  <c r="C118" i="4" s="1"/>
  <c r="D118" i="4" s="1"/>
  <c r="E118" i="4" s="1"/>
  <c r="F118" i="4" s="1"/>
  <c r="G118" i="4" s="1"/>
  <c r="H118" i="4" s="1"/>
  <c r="I118" i="4" s="1"/>
  <c r="J118" i="4" s="1"/>
  <c r="K118" i="4" s="1"/>
  <c r="L118" i="4" s="1"/>
  <c r="M118" i="4" s="1"/>
  <c r="N118" i="4" s="1"/>
  <c r="O118" i="4" s="1"/>
  <c r="P118" i="4" s="1"/>
  <c r="Q141" i="4"/>
  <c r="Q13" i="4"/>
  <c r="Q14" i="4"/>
  <c r="Q15" i="4"/>
  <c r="Q16" i="4"/>
  <c r="Q17" i="4"/>
  <c r="Q18" i="4"/>
  <c r="Q19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8" i="4"/>
  <c r="Q39" i="4"/>
  <c r="Q40" i="4"/>
  <c r="Q41" i="4"/>
  <c r="Q42" i="4"/>
  <c r="Q43" i="4"/>
  <c r="Q44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9" i="4"/>
  <c r="Q70" i="4"/>
  <c r="Q71" i="4"/>
  <c r="Q72" i="4"/>
  <c r="Q73" i="4"/>
  <c r="Q74" i="4"/>
  <c r="Q75" i="4"/>
  <c r="Q77" i="4"/>
  <c r="Q78" i="4"/>
  <c r="Q79" i="4"/>
  <c r="Q80" i="4"/>
  <c r="Q81" i="4"/>
  <c r="Q82" i="4"/>
  <c r="Q83" i="4"/>
  <c r="Q84" i="4"/>
  <c r="Q85" i="4"/>
  <c r="Q87" i="4"/>
  <c r="Q88" i="4"/>
  <c r="Q89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5" i="4"/>
  <c r="Q106" i="4"/>
  <c r="Q107" i="4"/>
  <c r="Q108" i="4"/>
  <c r="Q109" i="4"/>
  <c r="Q110" i="4"/>
  <c r="Q111" i="4"/>
  <c r="Q112" i="4"/>
  <c r="Q113" i="4"/>
  <c r="Q114" i="4"/>
  <c r="Q115" i="4"/>
  <c r="C186" i="4"/>
  <c r="C177" i="4"/>
  <c r="C178" i="4" s="1"/>
  <c r="I174" i="4"/>
  <c r="H174" i="4"/>
  <c r="G174" i="4"/>
  <c r="F174" i="4"/>
  <c r="E174" i="4"/>
  <c r="D174" i="4"/>
  <c r="C174" i="4"/>
  <c r="C175" i="4" s="1"/>
  <c r="I123" i="4"/>
  <c r="H123" i="4"/>
  <c r="I145" i="4" s="1"/>
  <c r="G123" i="4"/>
  <c r="H145" i="4" s="1"/>
  <c r="F123" i="4"/>
  <c r="G145" i="4" s="1"/>
  <c r="E123" i="4"/>
  <c r="F145" i="4" s="1"/>
  <c r="D123" i="4"/>
  <c r="E145" i="4" s="1"/>
  <c r="C123" i="4"/>
  <c r="B138" i="4"/>
  <c r="Q116" i="4"/>
  <c r="Q104" i="4"/>
  <c r="Q90" i="4"/>
  <c r="Q86" i="4"/>
  <c r="Q76" i="4"/>
  <c r="Q68" i="4"/>
  <c r="Q45" i="4"/>
  <c r="Q37" i="4"/>
  <c r="Q20" i="4"/>
  <c r="Q12" i="4"/>
  <c r="C132" i="4" l="1"/>
  <c r="D145" i="4"/>
  <c r="D146" i="4" s="1"/>
  <c r="E146" i="4" s="1"/>
  <c r="F146" i="4" s="1"/>
  <c r="G146" i="4" s="1"/>
  <c r="H146" i="4" s="1"/>
  <c r="I146" i="4" s="1"/>
  <c r="J146" i="4" s="1"/>
  <c r="J174" i="4"/>
  <c r="J145" i="4"/>
  <c r="D130" i="4"/>
  <c r="D132" i="4" s="1"/>
  <c r="D134" i="4" s="1"/>
  <c r="Q118" i="4"/>
  <c r="B134" i="4"/>
  <c r="B154" i="4" s="1"/>
  <c r="C134" i="4"/>
  <c r="J123" i="4"/>
  <c r="L139" i="4"/>
  <c r="P139" i="4"/>
  <c r="H139" i="4"/>
  <c r="D139" i="4"/>
  <c r="O139" i="4"/>
  <c r="K139" i="4"/>
  <c r="G139" i="4"/>
  <c r="N139" i="4"/>
  <c r="J139" i="4"/>
  <c r="F139" i="4"/>
  <c r="Q139" i="4"/>
  <c r="M139" i="4"/>
  <c r="I139" i="4"/>
  <c r="E139" i="4"/>
  <c r="E177" i="4"/>
  <c r="E178" i="4" s="1"/>
  <c r="D175" i="4"/>
  <c r="E175" i="4" s="1"/>
  <c r="F175" i="4" s="1"/>
  <c r="G175" i="4" s="1"/>
  <c r="H175" i="4" s="1"/>
  <c r="I175" i="4" s="1"/>
  <c r="J175" i="4" s="1"/>
  <c r="C179" i="4"/>
  <c r="D177" i="4"/>
  <c r="D178" i="4" s="1"/>
  <c r="D179" i="4" l="1"/>
  <c r="K123" i="4"/>
  <c r="K145" i="4"/>
  <c r="K146" i="4" s="1"/>
  <c r="E130" i="4"/>
  <c r="E148" i="4"/>
  <c r="E149" i="4" s="1"/>
  <c r="E132" i="4"/>
  <c r="E134" i="4" s="1"/>
  <c r="K174" i="4"/>
  <c r="K175" i="4" s="1"/>
  <c r="L175" i="4" s="1"/>
  <c r="L174" i="4"/>
  <c r="B181" i="4"/>
  <c r="B182" i="4"/>
  <c r="R24" i="3"/>
  <c r="D7" i="5" s="1"/>
  <c r="D8" i="5" s="1"/>
  <c r="R46" i="3"/>
  <c r="E179" i="4" l="1"/>
  <c r="L123" i="4"/>
  <c r="L145" i="4"/>
  <c r="L146" i="4" s="1"/>
  <c r="F130" i="4"/>
  <c r="F148" i="4"/>
  <c r="F149" i="4" s="1"/>
  <c r="F177" i="4"/>
  <c r="F178" i="4" s="1"/>
  <c r="D181" i="4"/>
  <c r="C140" i="4"/>
  <c r="C151" i="4" s="1"/>
  <c r="C154" i="4" s="1"/>
  <c r="C181" i="4"/>
  <c r="P10" i="3"/>
  <c r="P14" i="3"/>
  <c r="P12" i="3"/>
  <c r="G149" i="4" l="1"/>
  <c r="M146" i="4"/>
  <c r="M123" i="4"/>
  <c r="M145" i="4"/>
  <c r="M174" i="4"/>
  <c r="M175" i="4" s="1"/>
  <c r="F179" i="4"/>
  <c r="G148" i="4"/>
  <c r="G177" i="4"/>
  <c r="G178" i="4" s="1"/>
  <c r="F132" i="4"/>
  <c r="F134" i="4" s="1"/>
  <c r="G130" i="4"/>
  <c r="D140" i="4"/>
  <c r="C182" i="4"/>
  <c r="Q48" i="3"/>
  <c r="E140" i="4" l="1"/>
  <c r="E151" i="4" s="1"/>
  <c r="E154" i="4" s="1"/>
  <c r="E182" i="4" s="1"/>
  <c r="D151" i="4"/>
  <c r="D154" i="4" s="1"/>
  <c r="H130" i="4"/>
  <c r="H148" i="4"/>
  <c r="H149" i="4" s="1"/>
  <c r="H177" i="4"/>
  <c r="G132" i="4"/>
  <c r="G134" i="4" s="1"/>
  <c r="H178" i="4"/>
  <c r="N123" i="4"/>
  <c r="N145" i="4"/>
  <c r="N146" i="4" s="1"/>
  <c r="N174" i="4"/>
  <c r="N175" i="4" s="1"/>
  <c r="D182" i="4"/>
  <c r="E181" i="4"/>
  <c r="F140" i="4"/>
  <c r="F151" i="4" s="1"/>
  <c r="F154" i="4" s="1"/>
  <c r="Q25" i="3"/>
  <c r="Q47" i="3"/>
  <c r="Q43" i="3"/>
  <c r="O145" i="4" l="1"/>
  <c r="O146" i="4" s="1"/>
  <c r="O174" i="4"/>
  <c r="O175" i="4" s="1"/>
  <c r="O123" i="4"/>
  <c r="G179" i="4"/>
  <c r="I130" i="4"/>
  <c r="I148" i="4"/>
  <c r="I149" i="4" s="1"/>
  <c r="H132" i="4"/>
  <c r="H134" i="4" s="1"/>
  <c r="I177" i="4"/>
  <c r="I178" i="4" s="1"/>
  <c r="H179" i="4"/>
  <c r="F182" i="4"/>
  <c r="F181" i="4"/>
  <c r="G140" i="4"/>
  <c r="G151" i="4" s="1"/>
  <c r="G154" i="4" s="1"/>
  <c r="O14" i="3"/>
  <c r="O11" i="3"/>
  <c r="O10" i="3"/>
  <c r="N14" i="3"/>
  <c r="N11" i="3"/>
  <c r="N10" i="3"/>
  <c r="M14" i="3"/>
  <c r="M11" i="3"/>
  <c r="M10" i="3"/>
  <c r="L14" i="3"/>
  <c r="L11" i="3"/>
  <c r="L10" i="3"/>
  <c r="O12" i="3"/>
  <c r="N12" i="3"/>
  <c r="M12" i="3"/>
  <c r="L12" i="3"/>
  <c r="K10" i="3"/>
  <c r="K11" i="3"/>
  <c r="K14" i="3"/>
  <c r="K12" i="3"/>
  <c r="J10" i="3"/>
  <c r="J11" i="3"/>
  <c r="J14" i="3"/>
  <c r="J12" i="3"/>
  <c r="I14" i="3"/>
  <c r="I11" i="3"/>
  <c r="I10" i="3"/>
  <c r="I12" i="3"/>
  <c r="H14" i="3"/>
  <c r="H11" i="3"/>
  <c r="H10" i="3"/>
  <c r="H12" i="3"/>
  <c r="G14" i="3"/>
  <c r="G11" i="3"/>
  <c r="G10" i="3"/>
  <c r="G12" i="3"/>
  <c r="F10" i="3"/>
  <c r="E11" i="3"/>
  <c r="F14" i="3"/>
  <c r="F11" i="3"/>
  <c r="F12" i="3"/>
  <c r="E14" i="3"/>
  <c r="E10" i="3"/>
  <c r="E12" i="3"/>
  <c r="D14" i="3"/>
  <c r="D11" i="3"/>
  <c r="D10" i="3"/>
  <c r="D12" i="3"/>
  <c r="I132" i="4" l="1"/>
  <c r="I134" i="4" s="1"/>
  <c r="J148" i="4"/>
  <c r="J149" i="4" s="1"/>
  <c r="J130" i="4"/>
  <c r="J177" i="4"/>
  <c r="J178" i="4" s="1"/>
  <c r="I179" i="4"/>
  <c r="P145" i="4"/>
  <c r="P146" i="4" s="1"/>
  <c r="P123" i="4"/>
  <c r="P174" i="4"/>
  <c r="P175" i="4" s="1"/>
  <c r="G182" i="4"/>
  <c r="G181" i="4"/>
  <c r="H140" i="4"/>
  <c r="H151" i="4" s="1"/>
  <c r="H154" i="4" s="1"/>
  <c r="C14" i="3"/>
  <c r="C11" i="3"/>
  <c r="C10" i="3"/>
  <c r="C12" i="3"/>
  <c r="B36" i="3"/>
  <c r="Q38" i="3"/>
  <c r="P38" i="3"/>
  <c r="O38" i="3"/>
  <c r="H36" i="3"/>
  <c r="C34" i="3"/>
  <c r="Q36" i="3"/>
  <c r="P36" i="3"/>
  <c r="O36" i="3"/>
  <c r="Q13" i="3"/>
  <c r="Q15" i="3" s="1"/>
  <c r="P13" i="3"/>
  <c r="P15" i="3" s="1"/>
  <c r="O13" i="3"/>
  <c r="O15" i="3" s="1"/>
  <c r="D39" i="3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Q146" i="4" l="1"/>
  <c r="D22" i="5" s="1"/>
  <c r="J179" i="4"/>
  <c r="Q145" i="4"/>
  <c r="Q123" i="4"/>
  <c r="Q174" i="4"/>
  <c r="Q175" i="4" s="1"/>
  <c r="K177" i="4"/>
  <c r="K178" i="4" s="1"/>
  <c r="K148" i="4"/>
  <c r="K149" i="4" s="1"/>
  <c r="K130" i="4"/>
  <c r="J132" i="4"/>
  <c r="J134" i="4" s="1"/>
  <c r="H182" i="4"/>
  <c r="H181" i="4"/>
  <c r="I140" i="4"/>
  <c r="I151" i="4" s="1"/>
  <c r="I154" i="4" s="1"/>
  <c r="O40" i="3"/>
  <c r="O42" i="3" s="1"/>
  <c r="L149" i="4" l="1"/>
  <c r="L148" i="4"/>
  <c r="L130" i="4"/>
  <c r="K132" i="4"/>
  <c r="K134" i="4" s="1"/>
  <c r="L177" i="4"/>
  <c r="L178" i="4" s="1"/>
  <c r="D21" i="5"/>
  <c r="R145" i="4"/>
  <c r="D23" i="5" s="1"/>
  <c r="I182" i="4"/>
  <c r="I181" i="4"/>
  <c r="J140" i="4"/>
  <c r="J151" i="4" s="1"/>
  <c r="J154" i="4" s="1"/>
  <c r="P40" i="3"/>
  <c r="P42" i="3" s="1"/>
  <c r="Q40" i="3"/>
  <c r="Q42" i="3" s="1"/>
  <c r="N36" i="3"/>
  <c r="J36" i="3"/>
  <c r="F36" i="3"/>
  <c r="E36" i="3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L13" i="3"/>
  <c r="L15" i="3" s="1"/>
  <c r="H13" i="3"/>
  <c r="H15" i="3" s="1"/>
  <c r="D13" i="3"/>
  <c r="D15" i="3" s="1"/>
  <c r="M148" i="4" l="1"/>
  <c r="M149" i="4" s="1"/>
  <c r="M130" i="4"/>
  <c r="L132" i="4"/>
  <c r="L134" i="4" s="1"/>
  <c r="M177" i="4"/>
  <c r="M178" i="4" s="1"/>
  <c r="D24" i="5"/>
  <c r="L179" i="4"/>
  <c r="K179" i="4"/>
  <c r="J182" i="4"/>
  <c r="J181" i="4"/>
  <c r="K140" i="4"/>
  <c r="K151" i="4" s="1"/>
  <c r="K154" i="4" s="1"/>
  <c r="P16" i="3"/>
  <c r="O17" i="3"/>
  <c r="O19" i="3" s="1"/>
  <c r="F13" i="3"/>
  <c r="F15" i="3" s="1"/>
  <c r="F17" i="3" s="1"/>
  <c r="F19" i="3" s="1"/>
  <c r="J13" i="3"/>
  <c r="J15" i="3" s="1"/>
  <c r="N13" i="3"/>
  <c r="N15" i="3" s="1"/>
  <c r="C13" i="3"/>
  <c r="C15" i="3" s="1"/>
  <c r="C17" i="3" s="1"/>
  <c r="C19" i="3" s="1"/>
  <c r="C21" i="3" s="1"/>
  <c r="G13" i="3"/>
  <c r="G15" i="3" s="1"/>
  <c r="K13" i="3"/>
  <c r="K15" i="3" s="1"/>
  <c r="C36" i="3"/>
  <c r="G36" i="3"/>
  <c r="K36" i="3"/>
  <c r="D36" i="3"/>
  <c r="L36" i="3"/>
  <c r="E13" i="3"/>
  <c r="E15" i="3" s="1"/>
  <c r="E17" i="3" s="1"/>
  <c r="I13" i="3"/>
  <c r="I15" i="3" s="1"/>
  <c r="M13" i="3"/>
  <c r="M15" i="3" s="1"/>
  <c r="I36" i="3"/>
  <c r="M36" i="3"/>
  <c r="B13" i="3"/>
  <c r="D17" i="3"/>
  <c r="D19" i="3" s="1"/>
  <c r="D38" i="3"/>
  <c r="D40" i="3" s="1"/>
  <c r="D42" i="3" s="1"/>
  <c r="H38" i="3"/>
  <c r="L38" i="3"/>
  <c r="E38" i="3"/>
  <c r="I38" i="3"/>
  <c r="M38" i="3"/>
  <c r="F38" i="3"/>
  <c r="J38" i="3"/>
  <c r="N38" i="3"/>
  <c r="C38" i="3"/>
  <c r="C40" i="3" s="1"/>
  <c r="C42" i="3" s="1"/>
  <c r="C44" i="3" s="1"/>
  <c r="G38" i="3"/>
  <c r="K38" i="3"/>
  <c r="N148" i="4" l="1"/>
  <c r="N149" i="4" s="1"/>
  <c r="M132" i="4"/>
  <c r="M134" i="4" s="1"/>
  <c r="N177" i="4"/>
  <c r="N178" i="4" s="1"/>
  <c r="N130" i="4"/>
  <c r="M179" i="4"/>
  <c r="K182" i="4"/>
  <c r="K181" i="4"/>
  <c r="L140" i="4"/>
  <c r="L151" i="4" s="1"/>
  <c r="L154" i="4" s="1"/>
  <c r="D44" i="3"/>
  <c r="E44" i="3" s="1"/>
  <c r="D21" i="3"/>
  <c r="F21" i="3"/>
  <c r="Q16" i="3"/>
  <c r="Q17" i="3" s="1"/>
  <c r="Q19" i="3" s="1"/>
  <c r="P17" i="3"/>
  <c r="P19" i="3" s="1"/>
  <c r="C24" i="3"/>
  <c r="C27" i="3" s="1"/>
  <c r="E40" i="3"/>
  <c r="E42" i="3" s="1"/>
  <c r="G17" i="3"/>
  <c r="G19" i="3" s="1"/>
  <c r="O149" i="4" l="1"/>
  <c r="N179" i="4"/>
  <c r="O148" i="4"/>
  <c r="O130" i="4"/>
  <c r="N132" i="4"/>
  <c r="N134" i="4" s="1"/>
  <c r="O177" i="4"/>
  <c r="O178" i="4" s="1"/>
  <c r="L182" i="4"/>
  <c r="L181" i="4"/>
  <c r="M140" i="4"/>
  <c r="M151" i="4" s="1"/>
  <c r="M154" i="4" s="1"/>
  <c r="D27" i="3"/>
  <c r="G21" i="3"/>
  <c r="D24" i="3"/>
  <c r="F40" i="3"/>
  <c r="F44" i="3" s="1"/>
  <c r="C46" i="3"/>
  <c r="C49" i="3" s="1"/>
  <c r="H17" i="3"/>
  <c r="H19" i="3" s="1"/>
  <c r="P148" i="4" l="1"/>
  <c r="P177" i="4"/>
  <c r="P178" i="4" s="1"/>
  <c r="P130" i="4"/>
  <c r="O132" i="4"/>
  <c r="O134" i="4" s="1"/>
  <c r="P149" i="4"/>
  <c r="M182" i="4"/>
  <c r="M181" i="4"/>
  <c r="N140" i="4"/>
  <c r="N151" i="4" s="1"/>
  <c r="N154" i="4" s="1"/>
  <c r="D49" i="3"/>
  <c r="H21" i="3"/>
  <c r="E24" i="3"/>
  <c r="E27" i="3" s="1"/>
  <c r="D46" i="3"/>
  <c r="I17" i="3"/>
  <c r="I19" i="3" s="1"/>
  <c r="I21" i="3" s="1"/>
  <c r="G40" i="3"/>
  <c r="G42" i="3" s="1"/>
  <c r="G44" i="3" s="1"/>
  <c r="P179" i="4" l="1"/>
  <c r="Q148" i="4"/>
  <c r="P132" i="4"/>
  <c r="P134" i="4" s="1"/>
  <c r="Q177" i="4"/>
  <c r="Q178" i="4" s="1"/>
  <c r="Q130" i="4"/>
  <c r="Q149" i="4"/>
  <c r="E22" i="5" s="1"/>
  <c r="F22" i="5" s="1"/>
  <c r="O179" i="4"/>
  <c r="N182" i="4"/>
  <c r="N181" i="4"/>
  <c r="O140" i="4"/>
  <c r="O151" i="4" s="1"/>
  <c r="O154" i="4" s="1"/>
  <c r="J21" i="3"/>
  <c r="F24" i="3"/>
  <c r="F27" i="3" s="1"/>
  <c r="E46" i="3"/>
  <c r="E49" i="3" s="1"/>
  <c r="J17" i="3"/>
  <c r="J19" i="3" s="1"/>
  <c r="H40" i="3"/>
  <c r="H42" i="3" s="1"/>
  <c r="H44" i="3" s="1"/>
  <c r="E21" i="5" l="1"/>
  <c r="R148" i="4"/>
  <c r="E23" i="5" s="1"/>
  <c r="F23" i="5" s="1"/>
  <c r="Q132" i="4"/>
  <c r="Q134" i="4" s="1"/>
  <c r="R177" i="4"/>
  <c r="O182" i="4"/>
  <c r="O181" i="4"/>
  <c r="P140" i="4"/>
  <c r="P151" i="4" s="1"/>
  <c r="P154" i="4" s="1"/>
  <c r="G24" i="3"/>
  <c r="G27" i="3" s="1"/>
  <c r="F46" i="3"/>
  <c r="F49" i="3" s="1"/>
  <c r="I40" i="3"/>
  <c r="I42" i="3" s="1"/>
  <c r="I44" i="3" s="1"/>
  <c r="K17" i="3"/>
  <c r="K19" i="3" s="1"/>
  <c r="K21" i="3" s="1"/>
  <c r="E24" i="5" l="1"/>
  <c r="F24" i="5" s="1"/>
  <c r="F21" i="5"/>
  <c r="Q179" i="4"/>
  <c r="Q181" i="4"/>
  <c r="P182" i="4"/>
  <c r="P181" i="4"/>
  <c r="Q140" i="4"/>
  <c r="H24" i="3"/>
  <c r="H27" i="3" s="1"/>
  <c r="G46" i="3"/>
  <c r="G49" i="3" s="1"/>
  <c r="L17" i="3"/>
  <c r="L19" i="3" s="1"/>
  <c r="L21" i="3" s="1"/>
  <c r="J40" i="3"/>
  <c r="J42" i="3" s="1"/>
  <c r="J44" i="3" s="1"/>
  <c r="Q142" i="4" l="1"/>
  <c r="H49" i="3"/>
  <c r="I24" i="3"/>
  <c r="I27" i="3" s="1"/>
  <c r="M17" i="3"/>
  <c r="M19" i="3" s="1"/>
  <c r="M21" i="3" s="1"/>
  <c r="N21" i="3" s="1"/>
  <c r="O21" i="3" s="1"/>
  <c r="P21" i="3" s="1"/>
  <c r="N17" i="3"/>
  <c r="N19" i="3" s="1"/>
  <c r="H46" i="3"/>
  <c r="K40" i="3"/>
  <c r="K42" i="3" s="1"/>
  <c r="K44" i="3" s="1"/>
  <c r="Q151" i="4" l="1"/>
  <c r="Q154" i="4" s="1"/>
  <c r="Q182" i="4" s="1"/>
  <c r="Q24" i="3"/>
  <c r="J27" i="3"/>
  <c r="L44" i="3"/>
  <c r="J24" i="3"/>
  <c r="L40" i="3"/>
  <c r="L42" i="3" s="1"/>
  <c r="I46" i="3"/>
  <c r="I49" i="3" s="1"/>
  <c r="M40" i="3" l="1"/>
  <c r="M42" i="3" s="1"/>
  <c r="M44" i="3" s="1"/>
  <c r="N44" i="3" s="1"/>
  <c r="O44" i="3" s="1"/>
  <c r="P44" i="3" s="1"/>
  <c r="Q44" i="3" s="1"/>
  <c r="N40" i="3"/>
  <c r="N42" i="3" s="1"/>
  <c r="J46" i="3"/>
  <c r="J49" i="3" s="1"/>
  <c r="K49" i="3" l="1"/>
  <c r="K24" i="3"/>
  <c r="K27" i="3" s="1"/>
  <c r="K46" i="3"/>
  <c r="L24" i="3"/>
  <c r="L49" i="3" l="1"/>
  <c r="L27" i="3"/>
  <c r="L46" i="3"/>
  <c r="M24" i="3"/>
  <c r="M27" i="3" s="1"/>
  <c r="M49" i="3" l="1"/>
  <c r="N24" i="3"/>
  <c r="N27" i="3" s="1"/>
  <c r="M46" i="3"/>
  <c r="O24" i="3" l="1"/>
  <c r="O27" i="3" s="1"/>
  <c r="B29" i="3"/>
  <c r="B51" i="3"/>
  <c r="N46" i="3"/>
  <c r="N49" i="3" s="1"/>
  <c r="O49" i="3" l="1"/>
  <c r="O46" i="3"/>
  <c r="P27" i="3"/>
  <c r="C29" i="3"/>
  <c r="C51" i="3"/>
  <c r="P49" i="3" l="1"/>
  <c r="P46" i="3"/>
  <c r="Q27" i="3"/>
  <c r="D6" i="5" s="1"/>
  <c r="D29" i="3"/>
  <c r="D51" i="3"/>
  <c r="Q46" i="3" l="1"/>
  <c r="Q49" i="3" s="1"/>
  <c r="E29" i="3"/>
  <c r="E51" i="3"/>
  <c r="F29" i="3" l="1"/>
  <c r="F51" i="3"/>
  <c r="G29" i="3" l="1"/>
  <c r="G51" i="3"/>
  <c r="H29" i="3" l="1"/>
  <c r="H51" i="3"/>
  <c r="I29" i="3" l="1"/>
  <c r="I51" i="3"/>
  <c r="J29" i="3" l="1"/>
  <c r="J51" i="3"/>
  <c r="K29" i="3" l="1"/>
  <c r="K51" i="3"/>
  <c r="L29" i="3" l="1"/>
  <c r="L51" i="3"/>
  <c r="M29" i="3" l="1"/>
  <c r="M51" i="3"/>
  <c r="O51" i="3" l="1"/>
  <c r="O29" i="3"/>
  <c r="N51" i="3"/>
  <c r="N29" i="3"/>
  <c r="P51" i="3" l="1"/>
  <c r="Q51" i="3"/>
  <c r="Q29" i="3"/>
  <c r="P29" i="3"/>
</calcChain>
</file>

<file path=xl/sharedStrings.xml><?xml version="1.0" encoding="utf-8"?>
<sst xmlns="http://schemas.openxmlformats.org/spreadsheetml/2006/main" count="221" uniqueCount="182">
  <si>
    <t>Balance</t>
  </si>
  <si>
    <t>Interest</t>
  </si>
  <si>
    <t>Purchased Gas Transportation Variance Account Calculation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</si>
  <si>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</si>
  <si>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</si>
  <si>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</si>
  <si>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</si>
  <si>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</si>
  <si>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</si>
  <si>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</si>
  <si>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</si>
  <si>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</si>
  <si>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</si>
  <si>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</si>
  <si>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</si>
  <si>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Transportation Cost</t>
  </si>
  <si>
    <t>Union Gas - Delivery</t>
  </si>
  <si>
    <t xml:space="preserve">Union Gas - Adjmts </t>
  </si>
  <si>
    <t>Union Gas - Demand</t>
  </si>
  <si>
    <t>Total Transportation Cost</t>
  </si>
  <si>
    <t>Volumes Transported (m3)</t>
  </si>
  <si>
    <t>Average Cost ($/m3)</t>
  </si>
  <si>
    <t>Reference Price - corrected per EB-2017-0215</t>
  </si>
  <si>
    <t>Rate Difference</t>
  </si>
  <si>
    <t>Interest rate</t>
  </si>
  <si>
    <t>Union Gas - Delivery IGPC</t>
  </si>
  <si>
    <t>Union Gas - Adjmts IGPC</t>
  </si>
  <si>
    <t>Union Gas - Demand IGPC</t>
  </si>
  <si>
    <t>IGPC Volumes Transported (m3)</t>
  </si>
  <si>
    <t>Actual Price</t>
  </si>
  <si>
    <t>EPCOR Natural Gas Limited Partnership</t>
  </si>
  <si>
    <t>SEPT</t>
  </si>
  <si>
    <t xml:space="preserve">  Disposition as per EB-2018-0235 Decision and Rate Order</t>
  </si>
  <si>
    <t xml:space="preserve">  Interest Adjustment Related to December Disposition</t>
  </si>
  <si>
    <t>Projected interest</t>
  </si>
  <si>
    <t>CARRY FORWARD</t>
  </si>
  <si>
    <t>PGTVA 1-5</t>
  </si>
  <si>
    <t>Total PGTVA 1-5 and Interest</t>
  </si>
  <si>
    <t>PGTVA 6 (IGPC)</t>
  </si>
  <si>
    <t>PGTVA 1-5 Interest</t>
  </si>
  <si>
    <t>PGTVA 6 (IGPC) Interest</t>
  </si>
  <si>
    <t>Total PGTVA 6 (IGPC) and Interest</t>
  </si>
  <si>
    <t>Jan-Dec</t>
  </si>
  <si>
    <t>REDA Account continuity</t>
  </si>
  <si>
    <t>Monthly Interest Rate</t>
  </si>
  <si>
    <t>Carry forward</t>
  </si>
  <si>
    <t>2019 Projected interest</t>
  </si>
  <si>
    <t>Regulatory Expense Deferral Account (REDA)</t>
  </si>
  <si>
    <t>REDA and IFRS Costs UP to Sep 30, 2017 (Approved for Dispostion in EB-2018-0235)</t>
  </si>
  <si>
    <t>EB-2008-0346 - Cost Awards for Guidelines for DSM</t>
  </si>
  <si>
    <t>Ontario Energy Board Inv #CA1011Q2003</t>
  </si>
  <si>
    <t>Ontario Energy Board Inv #2011067</t>
  </si>
  <si>
    <t>Ontario Energy Board Inv #CA1112Q4003</t>
  </si>
  <si>
    <t>IFRS Matters</t>
  </si>
  <si>
    <t>Ogilvy Renault Inv #931085</t>
  </si>
  <si>
    <t>Ogilvy Renault Inv #937256</t>
  </si>
  <si>
    <t>Ontario Energy Board</t>
  </si>
  <si>
    <t>Ogilvy Renault Inv #904962</t>
  </si>
  <si>
    <t>Ogilvy Renault Inv #910519</t>
  </si>
  <si>
    <t>Eng. Study Terms of Reference</t>
  </si>
  <si>
    <t>MIG Engineering</t>
  </si>
  <si>
    <t>MIG Engineering - Inv #26931</t>
  </si>
  <si>
    <t>MIG Engineering - Inv #26942</t>
  </si>
  <si>
    <t>MIG Engineering - Inv #27025</t>
  </si>
  <si>
    <t>MIG Engineering - Inv #27126</t>
  </si>
  <si>
    <t>Aecon Utility - Inv #1620</t>
  </si>
  <si>
    <t>MIG Engineering - Inv #27164</t>
  </si>
  <si>
    <t>Aecon Utility - Inv #1671</t>
  </si>
  <si>
    <t>Aecon Utility - Inv #1707</t>
  </si>
  <si>
    <t>Aecon Utility - Inv #1751</t>
  </si>
  <si>
    <t>MIG Engineering - Inv #27253</t>
  </si>
  <si>
    <t>MIG Enginieering - Inv #27302</t>
  </si>
  <si>
    <t>Aecon Utility - Inv #1917</t>
  </si>
  <si>
    <t>Reallocate 50%</t>
  </si>
  <si>
    <t>Low Income - EB 2010-0280</t>
  </si>
  <si>
    <t>Norton Rose - Inv #1228144</t>
  </si>
  <si>
    <t>Progressive Impact - 1060</t>
  </si>
  <si>
    <t>Norton Rose - Inv #1237457</t>
  </si>
  <si>
    <t>Ontario Energy Board - CA1314Q1080</t>
  </si>
  <si>
    <t>Ontario Energy Board - CA1314Q2003</t>
  </si>
  <si>
    <t>Steering Committee (System Integrety Study)</t>
  </si>
  <si>
    <t>Osler Hoskin &amp; Harcourt - Inv #11582938</t>
  </si>
  <si>
    <t>Osler Hoskin &amp; Harcourt - Inv #11576514</t>
  </si>
  <si>
    <t>Osler Hoskin &amp; Harcourt - Inv #11657342</t>
  </si>
  <si>
    <t>SNC-Lavalin - Inv #1162427</t>
  </si>
  <si>
    <t>SNC-Lavalin - Inv #1154174</t>
  </si>
  <si>
    <t>Walsh, Phil Inv #001-14</t>
  </si>
  <si>
    <t>SNC-Lavalin - Inv #1175490</t>
  </si>
  <si>
    <t>SNC-Lavalin - Inv #1164160</t>
  </si>
  <si>
    <t>SNC-Lavalin - Inv #1179246</t>
  </si>
  <si>
    <t>SNC-Lavalin - Inv #1184110</t>
  </si>
  <si>
    <t>SNC-Lavalin - Inv #1192504</t>
  </si>
  <si>
    <t>SNC-Lavalin - Inv #1200425</t>
  </si>
  <si>
    <t>SNC-Lavalin - Inv #1202608</t>
  </si>
  <si>
    <t>SNC-Lavalin - Inv #1171542</t>
  </si>
  <si>
    <t>SNC-Lavalin - Inv #1207283</t>
  </si>
  <si>
    <t>SNC-Lavalin - Inv #1228955</t>
  </si>
  <si>
    <t>SNC-Lavalin - Inv #1232433</t>
  </si>
  <si>
    <t>SNC-Lavalin - Inv #1268298</t>
  </si>
  <si>
    <t>SNC-Lavalin - Inv #1248789</t>
  </si>
  <si>
    <t>SNC-Lavalin - Inv #1240539</t>
  </si>
  <si>
    <t>2014-0199 - Review of QRAM Process</t>
  </si>
  <si>
    <t>Fasken Martineau DuMoulin - Inv #834063</t>
  </si>
  <si>
    <t>Fasken Martineau DuMoulin - Inv #839124</t>
  </si>
  <si>
    <t>Fasken Martineau DuMoulin - Inv #849444</t>
  </si>
  <si>
    <t>Fasken Martineau DuMoulin - Inv #853098</t>
  </si>
  <si>
    <t>Fasken Martineau DuMoulin - Inv #816984</t>
  </si>
  <si>
    <t>2014-0289 Natural Gas Market Review</t>
  </si>
  <si>
    <t>Fasken Martineau DuMoulin - Inv #864049</t>
  </si>
  <si>
    <t>Fasken Martineau DuMoulin - Inv #883674</t>
  </si>
  <si>
    <t>Fasken Martineau Dumoulin - Inv #887975</t>
  </si>
  <si>
    <t>Fasken Martineau DuMoulin LLP - Inv #913514</t>
  </si>
  <si>
    <t>Fasken Martineau DuMoulin LLP - Inv #922460</t>
  </si>
  <si>
    <t>Ontario Energy Board - #CA1516Q2003</t>
  </si>
  <si>
    <t>DSM Account</t>
  </si>
  <si>
    <t>Redman/Williams - #IN138280</t>
  </si>
  <si>
    <t>Application for Service - put to capital cost of Pipeline</t>
  </si>
  <si>
    <t>Osler, Hoskin &amp; Harcourt LLP - #11842664</t>
  </si>
  <si>
    <t>Osler, Hoskin &amp; Harcourt LLP - #11850956</t>
  </si>
  <si>
    <t>John A. Gandry - #November 2015</t>
  </si>
  <si>
    <t>Osler, Hoskin &amp; Harcourt LLP - #11860762</t>
  </si>
  <si>
    <t>Osler, Hoskin &amp; Harcourt LLP - #11869746</t>
  </si>
  <si>
    <t>Osler, Hoskin &amp; Harcourt LLP - #1168788</t>
  </si>
  <si>
    <t>Osler, Hoskin &amp; Harcourt LLP - #11886676</t>
  </si>
  <si>
    <t>Osler, Hoskin &amp; Harcourt LLP - #11899047</t>
  </si>
  <si>
    <t>Lenczner Slaught Royce Smith Griffin LLP - Inv #40668</t>
  </si>
  <si>
    <t>Osler, Hoskin &amp; Harcourt LLP - #11908625</t>
  </si>
  <si>
    <t>sub-total</t>
  </si>
  <si>
    <t>Other REDA Items</t>
  </si>
  <si>
    <t>Cap &amp; Trade Deferral (moved to C&amp;T in 2017)</t>
  </si>
  <si>
    <t>EB-2015-0238 Distribution Gas Supply Planning - OEB - Inv #CA1617Q4003</t>
  </si>
  <si>
    <t>EB=2014-0255 Corporate Governance - OEB - Inv #CA1718Q1003</t>
  </si>
  <si>
    <t xml:space="preserve">EB-2016-0004 OEB - Inv #CA1718Q1003 </t>
  </si>
  <si>
    <t>EB-2015-0245 - OEB - Inv #CA1718Q3003</t>
  </si>
  <si>
    <t>EB-2016-0359 - OEB - Inv #CA1718Q3003</t>
  </si>
  <si>
    <t>DSM Evaluation Technical Committee - OEB - Inv #CA1718Q2003</t>
  </si>
  <si>
    <t xml:space="preserve">Cyber Security Framework - OEB - Inv #CA1718Q2003 </t>
  </si>
  <si>
    <t>Interest on carry forward</t>
  </si>
  <si>
    <t>NRG Calculated Interest</t>
  </si>
  <si>
    <t>Interest on Approved Costs until approved disposition</t>
  </si>
  <si>
    <t>Cumulative Interest on Approved Costs until approved disposition</t>
  </si>
  <si>
    <t>REDA CostsSince October 1, 2017</t>
  </si>
  <si>
    <t>EB-2015-0245 DSM</t>
  </si>
  <si>
    <t>Ontario Energy Board - #CA18119Q1003</t>
  </si>
  <si>
    <t>EB-2017-0108 Overlapping CPCN’s</t>
  </si>
  <si>
    <t>Osler, Hoskin &amp; Harcourt LLP -  #12109615</t>
  </si>
  <si>
    <t>Osler, Hoskin &amp; Harcourt LLP - #12118810</t>
  </si>
  <si>
    <t>EB-2015-0040 - Ontario Energy Board - #CA1718Q4003</t>
  </si>
  <si>
    <t>EB-2017-0183 - Ontario Energy Board - #CA1819Q2003</t>
  </si>
  <si>
    <t>REDA Interest Expense</t>
  </si>
  <si>
    <t>DSM Interest Expense</t>
  </si>
  <si>
    <t>DSM Cumulative Interest Balance</t>
  </si>
  <si>
    <t>Overlapping CPCN's and Other REDA interest</t>
  </si>
  <si>
    <t>Cumulative Interest Balance</t>
  </si>
  <si>
    <t>Cumulative Total with Interest</t>
  </si>
  <si>
    <t>Total REDA</t>
  </si>
  <si>
    <t xml:space="preserve">Total REDA and Interest </t>
  </si>
  <si>
    <t>Subtotal REDA and IFRS Approved for Disposition in EB-2018-0235</t>
  </si>
  <si>
    <t>Sub-total DSM</t>
  </si>
  <si>
    <t xml:space="preserve">Total Balance in REDA </t>
  </si>
  <si>
    <t>Subtotal REDA Since October 1, 2017</t>
  </si>
  <si>
    <t xml:space="preserve">Total Interst Expense </t>
  </si>
  <si>
    <t xml:space="preserve">Total REDA and interest </t>
  </si>
  <si>
    <t>PGTVA 1-5 as of Dec 31, 2018</t>
  </si>
  <si>
    <t>PGTVA 1-5 carrying charges as of Dec. 31, 2018</t>
  </si>
  <si>
    <t>PGTVA 1-5 forecasted interest from Dec 31, 2018 through Dec 31, 2019</t>
  </si>
  <si>
    <t>Total Projected Disposition Amount</t>
  </si>
  <si>
    <t>PGTVA 6</t>
  </si>
  <si>
    <t>PGTVA 6 as of Dec 31, 2018</t>
  </si>
  <si>
    <t>PGTVA 6 carrying charges as of Dec. 31, 2018</t>
  </si>
  <si>
    <t>PGTVA 6 forecasted interest from Dec 31, 2018 through Dec 31, 2019</t>
  </si>
  <si>
    <t>REDA</t>
  </si>
  <si>
    <t>DSM</t>
  </si>
  <si>
    <t>All Other</t>
  </si>
  <si>
    <t>REDA as of Dec 31, 2018</t>
  </si>
  <si>
    <t>REDA carrying charges as of Dec. 31, 2018</t>
  </si>
  <si>
    <t>REDA forecasted interest from Dec 31, 2018 through Dec 31, 2019</t>
  </si>
  <si>
    <t>Total projected disposition amount</t>
  </si>
  <si>
    <t>A</t>
  </si>
  <si>
    <t>B</t>
  </si>
  <si>
    <t>C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</si>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</sst>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_-;\-* #,##0.0_-;_-* &quot;-&quot;??_-;_-@_-"/>
    <numFmt numFmtId="167" formatCode="[$-F800]dddd\,\ mmmm\ dd\,\ yyyy"/>
    <numFmt numFmtId="168" formatCode="_(* #,##0_);_(* \(#,##0\);_(* &quot;-&quot;_);_(@_)"/>
    <numFmt numFmtId="169" formatCode="#,##0.000000_);\(#,##0.000000\)"/>
    <numFmt numFmtId="170" formatCode="[$-409]d\-mmm\-yy;@"/>
    <numFmt numFmtId="171" formatCode="_(* #,##0_);_(* \(#,##0\);_(* &quot;-&quot;??_);_(@_)"/>
    <numFmt numFmtId="172" formatCode="_-* #,##0_-;\-* #,##0_-;_-* &quot;-&quot;??_-;_-@_-"/>
    <numFmt numFmtId="173" formatCode="_-&quot;$&quot;* #,##0_-;\-&quot;$&quot;* #,##0_-;_-&quot;$&quot;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16" fillId="16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0" fillId="0" borderId="0" xfId="0" applyFont="1"/>
    <xf numFmtId="0" fontId="2" fillId="0" borderId="0" xfId="0" applyFont="1" applyAlignment="1">
      <alignment horizontal="left"/>
    </xf>
    <xf numFmtId="167" fontId="2" fillId="0" borderId="0" xfId="0" applyNumberFormat="1" applyFont="1" applyAlignment="1" applyProtection="1"/>
    <xf numFmtId="0" fontId="20" fillId="0" borderId="0" xfId="0" applyFont="1"/>
    <xf numFmtId="0" fontId="21" fillId="0" borderId="0" xfId="0" applyFont="1"/>
    <xf numFmtId="0" fontId="2" fillId="0" borderId="0" xfId="0" applyFont="1" applyAlignment="1" applyProtection="1">
      <alignment horizontal="centerContinuous"/>
      <protection locked="0"/>
    </xf>
    <xf numFmtId="0" fontId="2" fillId="0" borderId="13" xfId="0" quotePrefix="1" applyFont="1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/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/>
    <xf numFmtId="0" fontId="0" fillId="0" borderId="0" xfId="0" applyFont="1" applyAlignment="1">
      <alignment horizontal="left" indent="1"/>
    </xf>
    <xf numFmtId="168" fontId="1" fillId="0" borderId="0" xfId="0" applyNumberFormat="1" applyFont="1" applyAlignment="1">
      <alignment horizontal="left" indent="2"/>
    </xf>
    <xf numFmtId="168" fontId="1" fillId="0" borderId="18" xfId="0" applyNumberFormat="1" applyFont="1" applyBorder="1" applyProtection="1">
      <protection locked="0"/>
    </xf>
    <xf numFmtId="168" fontId="1" fillId="0" borderId="0" xfId="0" applyNumberFormat="1" applyFont="1" applyProtection="1">
      <protection locked="0"/>
    </xf>
    <xf numFmtId="168" fontId="1" fillId="0" borderId="17" xfId="0" applyNumberFormat="1" applyFont="1" applyBorder="1" applyProtection="1"/>
    <xf numFmtId="168" fontId="0" fillId="0" borderId="0" xfId="0" applyNumberFormat="1" applyFont="1"/>
    <xf numFmtId="168" fontId="1" fillId="0" borderId="0" xfId="47" applyNumberFormat="1" applyFont="1" applyAlignment="1">
      <alignment horizontal="left" indent="2"/>
    </xf>
    <xf numFmtId="168" fontId="1" fillId="0" borderId="12" xfId="47" applyNumberFormat="1" applyFont="1" applyBorder="1"/>
    <xf numFmtId="168" fontId="1" fillId="0" borderId="13" xfId="47" applyNumberFormat="1" applyFont="1" applyBorder="1"/>
    <xf numFmtId="168" fontId="0" fillId="0" borderId="0" xfId="47" applyNumberFormat="1" applyFont="1"/>
    <xf numFmtId="168" fontId="1" fillId="0" borderId="0" xfId="47" applyNumberFormat="1" applyFont="1" applyBorder="1" applyAlignment="1">
      <alignment horizontal="left" indent="1"/>
    </xf>
    <xf numFmtId="168" fontId="1" fillId="0" borderId="0" xfId="47" applyNumberFormat="1" applyFont="1" applyBorder="1" applyProtection="1"/>
    <xf numFmtId="168" fontId="1" fillId="0" borderId="0" xfId="47" applyNumberFormat="1" applyFont="1" applyBorder="1" applyProtection="1">
      <protection locked="0"/>
    </xf>
    <xf numFmtId="168" fontId="1" fillId="0" borderId="17" xfId="47" applyNumberFormat="1" applyFont="1" applyBorder="1" applyProtection="1"/>
    <xf numFmtId="168" fontId="0" fillId="0" borderId="0" xfId="47" applyNumberFormat="1" applyFont="1" applyBorder="1"/>
    <xf numFmtId="166" fontId="1" fillId="0" borderId="0" xfId="47" applyNumberFormat="1" applyFont="1" applyBorder="1" applyAlignment="1">
      <alignment horizontal="left" indent="1"/>
    </xf>
    <xf numFmtId="169" fontId="1" fillId="0" borderId="14" xfId="0" applyNumberFormat="1" applyFont="1" applyBorder="1" applyProtection="1"/>
    <xf numFmtId="169" fontId="1" fillId="0" borderId="12" xfId="0" applyNumberFormat="1" applyFont="1" applyBorder="1" applyProtection="1"/>
    <xf numFmtId="168" fontId="2" fillId="0" borderId="13" xfId="0" applyNumberFormat="1" applyFont="1" applyBorder="1" applyProtection="1"/>
    <xf numFmtId="166" fontId="22" fillId="0" borderId="0" xfId="47" applyNumberFormat="1" applyFont="1" applyBorder="1" applyAlignment="1">
      <alignment horizontal="left" indent="1"/>
    </xf>
    <xf numFmtId="169" fontId="22" fillId="0" borderId="18" xfId="0" applyNumberFormat="1" applyFont="1" applyBorder="1" applyProtection="1">
      <protection locked="0"/>
    </xf>
    <xf numFmtId="169" fontId="22" fillId="0" borderId="0" xfId="0" applyNumberFormat="1" applyFont="1" applyProtection="1">
      <protection locked="0"/>
    </xf>
    <xf numFmtId="168" fontId="2" fillId="0" borderId="17" xfId="0" applyNumberFormat="1" applyFont="1" applyBorder="1" applyProtection="1">
      <protection locked="0"/>
    </xf>
    <xf numFmtId="0" fontId="22" fillId="0" borderId="0" xfId="0" applyFont="1"/>
    <xf numFmtId="0" fontId="1" fillId="0" borderId="0" xfId="0" applyFont="1" applyBorder="1" applyAlignment="1">
      <alignment horizontal="left" indent="1"/>
    </xf>
    <xf numFmtId="0" fontId="0" fillId="0" borderId="0" xfId="0" applyFont="1" applyBorder="1"/>
    <xf numFmtId="168" fontId="1" fillId="0" borderId="16" xfId="0" applyNumberFormat="1" applyFont="1" applyBorder="1" applyProtection="1">
      <protection locked="0"/>
    </xf>
    <xf numFmtId="168" fontId="1" fillId="0" borderId="10" xfId="0" applyNumberFormat="1" applyFont="1" applyBorder="1" applyProtection="1">
      <protection locked="0"/>
    </xf>
    <xf numFmtId="168" fontId="1" fillId="0" borderId="15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0" fontId="1" fillId="0" borderId="0" xfId="47" applyNumberFormat="1" applyFont="1" applyAlignment="1">
      <alignment horizontal="left" indent="1"/>
    </xf>
    <xf numFmtId="10" fontId="1" fillId="0" borderId="0" xfId="48" applyNumberFormat="1" applyFont="1" applyBorder="1" applyProtection="1">
      <protection locked="0"/>
    </xf>
    <xf numFmtId="10" fontId="1" fillId="0" borderId="0" xfId="48" applyNumberFormat="1" applyFont="1"/>
    <xf numFmtId="0" fontId="1" fillId="0" borderId="0" xfId="0" applyFont="1" applyAlignment="1" applyProtection="1">
      <alignment horizontal="left" indent="2"/>
      <protection locked="0"/>
    </xf>
    <xf numFmtId="0" fontId="1" fillId="0" borderId="0" xfId="0" applyFont="1" applyFill="1" applyAlignment="1">
      <alignment horizontal="left" indent="2"/>
    </xf>
    <xf numFmtId="168" fontId="1" fillId="0" borderId="0" xfId="0" applyNumberFormat="1" applyFont="1" applyFill="1" applyProtection="1">
      <protection locked="0"/>
    </xf>
    <xf numFmtId="168" fontId="2" fillId="0" borderId="17" xfId="0" applyNumberFormat="1" applyFont="1" applyFill="1" applyBorder="1" applyProtection="1">
      <protection locked="0"/>
    </xf>
    <xf numFmtId="0" fontId="0" fillId="0" borderId="0" xfId="0" applyFont="1" applyFill="1"/>
    <xf numFmtId="0" fontId="2" fillId="0" borderId="0" xfId="0" applyFont="1" applyAlignment="1">
      <alignment horizontal="left" indent="2"/>
    </xf>
    <xf numFmtId="168" fontId="2" fillId="0" borderId="11" xfId="0" applyNumberFormat="1" applyFont="1" applyBorder="1" applyProtection="1">
      <protection locked="0"/>
    </xf>
    <xf numFmtId="168" fontId="2" fillId="0" borderId="19" xfId="0" applyNumberFormat="1" applyFont="1" applyBorder="1" applyProtection="1">
      <protection locked="0"/>
    </xf>
    <xf numFmtId="168" fontId="2" fillId="0" borderId="17" xfId="0" applyNumberFormat="1" applyFont="1" applyBorder="1"/>
    <xf numFmtId="168" fontId="1" fillId="0" borderId="0" xfId="0" applyNumberFormat="1" applyFont="1"/>
    <xf numFmtId="0" fontId="22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68" fontId="2" fillId="0" borderId="0" xfId="0" applyNumberFormat="1" applyFont="1" applyProtection="1">
      <protection locked="0"/>
    </xf>
    <xf numFmtId="168" fontId="2" fillId="0" borderId="0" xfId="0" applyNumberFormat="1" applyFont="1"/>
    <xf numFmtId="43" fontId="2" fillId="0" borderId="0" xfId="47" applyFont="1" applyBorder="1"/>
    <xf numFmtId="43" fontId="1" fillId="0" borderId="0" xfId="47" applyFont="1" applyBorder="1" applyAlignment="1">
      <alignment horizontal="left" indent="1"/>
    </xf>
    <xf numFmtId="43" fontId="1" fillId="0" borderId="0" xfId="47" applyFont="1" applyBorder="1" applyAlignment="1" applyProtection="1">
      <alignment horizontal="left" indent="1"/>
      <protection locked="0"/>
    </xf>
    <xf numFmtId="43" fontId="1" fillId="0" borderId="0" xfId="47" applyFont="1" applyAlignment="1">
      <alignment horizontal="left" indent="1"/>
    </xf>
    <xf numFmtId="0" fontId="2" fillId="0" borderId="21" xfId="0" quotePrefix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/>
    <xf numFmtId="168" fontId="1" fillId="0" borderId="23" xfId="0" applyNumberFormat="1" applyFont="1" applyBorder="1" applyProtection="1">
      <protection locked="0"/>
    </xf>
    <xf numFmtId="168" fontId="1" fillId="0" borderId="21" xfId="47" applyNumberFormat="1" applyFont="1" applyBorder="1"/>
    <xf numFmtId="168" fontId="1" fillId="0" borderId="23" xfId="47" applyNumberFormat="1" applyFont="1" applyBorder="1" applyProtection="1">
      <protection locked="0"/>
    </xf>
    <xf numFmtId="169" fontId="1" fillId="0" borderId="21" xfId="0" applyNumberFormat="1" applyFont="1" applyBorder="1" applyProtection="1"/>
    <xf numFmtId="168" fontId="1" fillId="0" borderId="22" xfId="0" applyNumberFormat="1" applyFont="1" applyBorder="1" applyProtection="1">
      <protection locked="0"/>
    </xf>
    <xf numFmtId="10" fontId="1" fillId="0" borderId="23" xfId="48" applyNumberFormat="1" applyFont="1" applyBorder="1" applyProtection="1">
      <protection locked="0"/>
    </xf>
    <xf numFmtId="168" fontId="1" fillId="0" borderId="23" xfId="0" applyNumberFormat="1" applyFont="1" applyFill="1" applyBorder="1" applyProtection="1">
      <protection locked="0"/>
    </xf>
    <xf numFmtId="168" fontId="2" fillId="0" borderId="20" xfId="0" applyNumberFormat="1" applyFont="1" applyBorder="1" applyProtection="1">
      <protection locked="0"/>
    </xf>
    <xf numFmtId="168" fontId="1" fillId="0" borderId="23" xfId="0" applyNumberFormat="1" applyFont="1" applyBorder="1"/>
    <xf numFmtId="0" fontId="2" fillId="0" borderId="14" xfId="0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8" xfId="0" applyFont="1" applyBorder="1"/>
    <xf numFmtId="168" fontId="1" fillId="0" borderId="14" xfId="47" applyNumberFormat="1" applyFont="1" applyBorder="1"/>
    <xf numFmtId="168" fontId="1" fillId="0" borderId="18" xfId="47" applyNumberFormat="1" applyFont="1" applyBorder="1" applyProtection="1">
      <protection locked="0"/>
    </xf>
    <xf numFmtId="10" fontId="1" fillId="0" borderId="18" xfId="48" applyNumberFormat="1" applyFont="1" applyBorder="1" applyProtection="1">
      <protection locked="0"/>
    </xf>
    <xf numFmtId="168" fontId="1" fillId="0" borderId="18" xfId="0" applyNumberFormat="1" applyFont="1" applyFill="1" applyBorder="1" applyProtection="1">
      <protection locked="0"/>
    </xf>
    <xf numFmtId="168" fontId="2" fillId="0" borderId="24" xfId="0" applyNumberFormat="1" applyFont="1" applyBorder="1" applyProtection="1">
      <protection locked="0"/>
    </xf>
    <xf numFmtId="168" fontId="1" fillId="0" borderId="18" xfId="0" applyNumberFormat="1" applyFont="1" applyBorder="1"/>
    <xf numFmtId="0" fontId="1" fillId="0" borderId="0" xfId="0" applyFont="1" applyBorder="1"/>
    <xf numFmtId="168" fontId="1" fillId="0" borderId="0" xfId="0" applyNumberFormat="1" applyFont="1" applyBorder="1" applyProtection="1">
      <protection locked="0"/>
    </xf>
    <xf numFmtId="169" fontId="22" fillId="0" borderId="0" xfId="0" applyNumberFormat="1" applyFont="1" applyBorder="1" applyProtection="1">
      <protection locked="0"/>
    </xf>
    <xf numFmtId="168" fontId="1" fillId="0" borderId="0" xfId="0" applyNumberFormat="1" applyFont="1" applyFill="1" applyBorder="1" applyProtection="1">
      <protection locked="0"/>
    </xf>
    <xf numFmtId="168" fontId="1" fillId="0" borderId="0" xfId="0" applyNumberFormat="1" applyFont="1" applyBorder="1"/>
    <xf numFmtId="169" fontId="22" fillId="0" borderId="22" xfId="0" applyNumberFormat="1" applyFont="1" applyBorder="1" applyProtection="1">
      <protection locked="0"/>
    </xf>
    <xf numFmtId="168" fontId="23" fillId="0" borderId="23" xfId="0" applyNumberFormat="1" applyFont="1" applyBorder="1" applyProtection="1">
      <protection locked="0"/>
    </xf>
    <xf numFmtId="168" fontId="23" fillId="0" borderId="23" xfId="47" applyNumberFormat="1" applyFont="1" applyBorder="1" applyProtection="1">
      <protection locked="0"/>
    </xf>
    <xf numFmtId="168" fontId="1" fillId="0" borderId="17" xfId="0" applyNumberFormat="1" applyFont="1" applyBorder="1" applyProtection="1">
      <protection locked="0"/>
    </xf>
    <xf numFmtId="168" fontId="1" fillId="0" borderId="13" xfId="0" applyNumberFormat="1" applyFont="1" applyBorder="1" applyProtection="1">
      <protection locked="0"/>
    </xf>
    <xf numFmtId="168" fontId="1" fillId="0" borderId="14" xfId="0" applyNumberFormat="1" applyFont="1" applyBorder="1" applyProtection="1">
      <protection locked="0"/>
    </xf>
    <xf numFmtId="0" fontId="23" fillId="0" borderId="0" xfId="0" applyFont="1" applyAlignment="1">
      <alignment horizontal="left" indent="1"/>
    </xf>
    <xf numFmtId="168" fontId="1" fillId="0" borderId="25" xfId="0" applyNumberFormat="1" applyFont="1" applyBorder="1" applyProtection="1">
      <protection locked="0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10" fontId="24" fillId="0" borderId="0" xfId="0" applyNumberFormat="1" applyFont="1"/>
    <xf numFmtId="0" fontId="2" fillId="0" borderId="0" xfId="0" applyFont="1" applyFill="1"/>
    <xf numFmtId="170" fontId="2" fillId="0" borderId="0" xfId="1" applyNumberFormat="1" applyFont="1" applyAlignment="1">
      <alignment horizontal="center"/>
    </xf>
    <xf numFmtId="0" fontId="25" fillId="0" borderId="0" xfId="0" applyFont="1" applyFill="1"/>
    <xf numFmtId="170" fontId="2" fillId="0" borderId="0" xfId="1" applyNumberFormat="1" applyFont="1" applyBorder="1" applyAlignment="1">
      <alignment horizontal="center"/>
    </xf>
    <xf numFmtId="0" fontId="26" fillId="0" borderId="0" xfId="0" applyFont="1"/>
    <xf numFmtId="0" fontId="19" fillId="0" borderId="0" xfId="0" applyFont="1" applyBorder="1"/>
    <xf numFmtId="0" fontId="1" fillId="0" borderId="0" xfId="0" applyFont="1" applyFill="1"/>
    <xf numFmtId="171" fontId="1" fillId="18" borderId="0" xfId="29" applyNumberFormat="1" applyFont="1" applyFill="1"/>
    <xf numFmtId="171" fontId="1" fillId="18" borderId="0" xfId="29" applyNumberFormat="1" applyFont="1" applyFill="1" applyBorder="1"/>
    <xf numFmtId="0" fontId="2" fillId="0" borderId="0" xfId="0" applyFont="1" applyFill="1" applyBorder="1"/>
    <xf numFmtId="171" fontId="2" fillId="0" borderId="0" xfId="30" applyNumberFormat="1" applyFont="1" applyFill="1" applyBorder="1"/>
    <xf numFmtId="0" fontId="1" fillId="0" borderId="0" xfId="0" applyFont="1" applyFill="1" applyBorder="1"/>
    <xf numFmtId="171" fontId="2" fillId="0" borderId="26" xfId="30" applyNumberFormat="1" applyFont="1" applyFill="1" applyBorder="1"/>
    <xf numFmtId="171" fontId="2" fillId="0" borderId="12" xfId="30" applyNumberFormat="1" applyFont="1" applyFill="1" applyBorder="1"/>
    <xf numFmtId="0" fontId="1" fillId="0" borderId="0" xfId="0" applyFont="1" applyBorder="1" applyAlignment="1">
      <alignment horizontal="left" indent="2"/>
    </xf>
    <xf numFmtId="171" fontId="1" fillId="0" borderId="0" xfId="30" applyNumberFormat="1" applyFont="1" applyFill="1" applyBorder="1"/>
    <xf numFmtId="171" fontId="24" fillId="0" borderId="0" xfId="0" applyNumberFormat="1" applyFont="1" applyBorder="1"/>
    <xf numFmtId="0" fontId="26" fillId="0" borderId="0" xfId="0" applyFont="1" applyFill="1"/>
    <xf numFmtId="10" fontId="0" fillId="0" borderId="0" xfId="0" applyNumberFormat="1"/>
    <xf numFmtId="172" fontId="19" fillId="0" borderId="0" xfId="47" applyNumberFormat="1" applyFont="1"/>
    <xf numFmtId="0" fontId="2" fillId="0" borderId="11" xfId="0" applyFont="1" applyFill="1" applyBorder="1"/>
    <xf numFmtId="171" fontId="24" fillId="0" borderId="11" xfId="0" applyNumberFormat="1" applyFont="1" applyBorder="1"/>
    <xf numFmtId="0" fontId="26" fillId="0" borderId="0" xfId="0" applyFont="1" applyFill="1" applyBorder="1"/>
    <xf numFmtId="172" fontId="24" fillId="0" borderId="0" xfId="47" applyNumberFormat="1" applyFont="1"/>
    <xf numFmtId="172" fontId="24" fillId="0" borderId="26" xfId="0" applyNumberFormat="1" applyFont="1" applyBorder="1"/>
    <xf numFmtId="0" fontId="27" fillId="0" borderId="11" xfId="0" applyFont="1" applyFill="1" applyBorder="1"/>
    <xf numFmtId="0" fontId="28" fillId="0" borderId="2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72" fontId="29" fillId="0" borderId="25" xfId="47" applyNumberFormat="1" applyFont="1" applyBorder="1" applyAlignment="1">
      <alignment horizontal="justify" vertical="center" wrapText="1"/>
    </xf>
    <xf numFmtId="0" fontId="29" fillId="0" borderId="28" xfId="0" applyFont="1" applyBorder="1" applyAlignment="1">
      <alignment horizontal="justify" vertical="center" wrapText="1"/>
    </xf>
    <xf numFmtId="173" fontId="29" fillId="0" borderId="25" xfId="49" applyNumberFormat="1" applyFont="1" applyBorder="1" applyAlignment="1">
      <alignment horizontal="justify" vertical="center" wrapText="1"/>
    </xf>
    <xf numFmtId="0" fontId="30" fillId="0" borderId="28" xfId="0" applyFont="1" applyBorder="1" applyAlignment="1">
      <alignment horizontal="justify" vertical="center" wrapText="1"/>
    </xf>
    <xf numFmtId="173" fontId="30" fillId="0" borderId="25" xfId="49" applyNumberFormat="1" applyFont="1" applyBorder="1" applyAlignment="1">
      <alignment horizontal="justify" vertical="center" wrapText="1"/>
    </xf>
    <xf numFmtId="0" fontId="29" fillId="0" borderId="21" xfId="0" applyFont="1" applyBorder="1" applyAlignment="1">
      <alignment horizontal="justify" vertical="center" wrapText="1"/>
    </xf>
    <xf numFmtId="173" fontId="29" fillId="0" borderId="13" xfId="49" applyNumberFormat="1" applyFont="1" applyBorder="1" applyAlignment="1">
      <alignment horizontal="justify" vertical="center" wrapText="1"/>
    </xf>
    <xf numFmtId="0" fontId="29" fillId="0" borderId="23" xfId="0" applyFont="1" applyBorder="1" applyAlignment="1">
      <alignment horizontal="justify" vertical="center" wrapText="1"/>
    </xf>
    <xf numFmtId="172" fontId="29" fillId="0" borderId="17" xfId="47" applyNumberFormat="1" applyFont="1" applyBorder="1" applyAlignment="1">
      <alignment horizontal="justify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72" fontId="29" fillId="0" borderId="13" xfId="47" applyNumberFormat="1" applyFont="1" applyBorder="1" applyAlignment="1">
      <alignment horizontal="justify" vertical="center" wrapText="1"/>
    </xf>
    <xf numFmtId="0" fontId="29" fillId="0" borderId="18" xfId="0" applyFont="1" applyBorder="1" applyAlignment="1">
      <alignment horizontal="center" vertical="center" wrapText="1"/>
    </xf>
    <xf numFmtId="172" fontId="29" fillId="0" borderId="15" xfId="47" applyNumberFormat="1" applyFont="1" applyBorder="1" applyAlignment="1">
      <alignment horizontal="justify" vertical="center" wrapText="1"/>
    </xf>
    <xf numFmtId="43" fontId="1" fillId="0" borderId="0" xfId="0" applyNumberFormat="1" applyFont="1" applyBorder="1" applyProtection="1">
      <protection locked="0"/>
    </xf>
    <xf numFmtId="0" fontId="29" fillId="0" borderId="22" xfId="0" applyFont="1" applyBorder="1" applyAlignment="1">
      <alignment horizontal="justify" vertical="center" wrapText="1"/>
    </xf>
    <xf numFmtId="0" fontId="30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justify" vertical="center" wrapText="1"/>
    </xf>
    <xf numFmtId="0" fontId="29" fillId="0" borderId="23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1" fillId="0" borderId="0" xfId="0" applyFont="1"/>
    <xf numFmtId="0" fontId="28" fillId="0" borderId="0" xfId="0" applyFont="1"/>
    <xf numFmtId="0" fontId="29" fillId="0" borderId="0" xfId="0" applyFont="1"/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wrapText="1"/>
    </xf>
  </cellXfs>
  <cellStyles count="5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7" builtinId="3"/>
    <cellStyle name="Comma 2" xfId="29"/>
    <cellStyle name="Currency" xfId="49" builtinId="4"/>
    <cellStyle name="Currency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40"/>
    <cellStyle name="Normal 3" xfId="1"/>
    <cellStyle name="Note 2" xfId="41"/>
    <cellStyle name="Output 2" xfId="42"/>
    <cellStyle name="Percent" xfId="48" builtinId="5"/>
    <cellStyle name="Percen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4"/>
  <sheetViews>
    <sheetView tabSelected="1" workbookViewId="0">
      <selection activeCell="C26" sqref="C26"/>
    </sheetView>
  </sheetViews>
  <sheetFormatPr defaultRowHeight="15" x14ac:dyDescent="0.25"/>
  <cols>
    <col min="1" max="1" width="9.140625" style="159"/>
    <col min="2" max="2" width="4.140625" style="159" customWidth="1"/>
    <col min="3" max="3" width="54.28515625" style="159" customWidth="1"/>
    <col min="4" max="4" width="10.42578125" style="159" customWidth="1"/>
    <col min="5" max="16384" width="9.140625" style="159"/>
  </cols>
  <sheetData>
    <row r="3" spans="2:4" x14ac:dyDescent="0.25">
      <c r="B3" s="158" t="s">
        <v>36</v>
      </c>
    </row>
    <row r="5" spans="2:4" x14ac:dyDescent="0.25">
      <c r="B5" s="146">
        <v>1</v>
      </c>
      <c r="C5" s="142" t="s">
        <v>163</v>
      </c>
      <c r="D5" s="143">
        <f>ROUND(-'A1.3 PGTVA'!Q21,0)</f>
        <v>41551</v>
      </c>
    </row>
    <row r="6" spans="2:4" x14ac:dyDescent="0.25">
      <c r="B6" s="147">
        <v>2</v>
      </c>
      <c r="C6" s="144" t="s">
        <v>164</v>
      </c>
      <c r="D6" s="145">
        <f>ROUND(-'A1.3 PGTVA'!Q27,0)</f>
        <v>196</v>
      </c>
    </row>
    <row r="7" spans="2:4" ht="15" customHeight="1" x14ac:dyDescent="0.25">
      <c r="B7" s="147">
        <v>3</v>
      </c>
      <c r="C7" s="144" t="s">
        <v>165</v>
      </c>
      <c r="D7" s="145">
        <f>ROUND(-'A1.3 PGTVA'!R24,0)</f>
        <v>902</v>
      </c>
    </row>
    <row r="8" spans="2:4" x14ac:dyDescent="0.25">
      <c r="B8" s="133">
        <v>4</v>
      </c>
      <c r="C8" s="140" t="s">
        <v>166</v>
      </c>
      <c r="D8" s="141">
        <f>SUM(D5:D7)</f>
        <v>42649</v>
      </c>
    </row>
    <row r="9" spans="2:4" x14ac:dyDescent="0.25">
      <c r="C9" s="160"/>
      <c r="D9" s="160"/>
    </row>
    <row r="10" spans="2:4" x14ac:dyDescent="0.25">
      <c r="B10" s="158" t="s">
        <v>167</v>
      </c>
      <c r="C10" s="160"/>
      <c r="D10" s="160"/>
    </row>
    <row r="11" spans="2:4" x14ac:dyDescent="0.25">
      <c r="B11" s="133"/>
      <c r="C11" s="138"/>
      <c r="D11" s="139"/>
    </row>
    <row r="12" spans="2:4" x14ac:dyDescent="0.25">
      <c r="B12" s="146">
        <v>1</v>
      </c>
      <c r="C12" s="142" t="s">
        <v>168</v>
      </c>
      <c r="D12" s="143">
        <f>-'A1.3 PGTVA'!Q44</f>
        <v>178809.28230889997</v>
      </c>
    </row>
    <row r="13" spans="2:4" x14ac:dyDescent="0.25">
      <c r="B13" s="147">
        <v>2</v>
      </c>
      <c r="C13" s="144" t="s">
        <v>169</v>
      </c>
      <c r="D13" s="145">
        <f>-'A1.3 PGTVA'!Q49</f>
        <v>2131.5099999999911</v>
      </c>
    </row>
    <row r="14" spans="2:4" x14ac:dyDescent="0.25">
      <c r="B14" s="134">
        <v>3</v>
      </c>
      <c r="C14" s="153" t="s">
        <v>170</v>
      </c>
      <c r="D14" s="151">
        <f>-'A1.3 PGTVA'!R46</f>
        <v>3880.16</v>
      </c>
    </row>
    <row r="15" spans="2:4" x14ac:dyDescent="0.25">
      <c r="B15" s="133">
        <v>4</v>
      </c>
      <c r="C15" s="140" t="s">
        <v>166</v>
      </c>
      <c r="D15" s="141">
        <f>SUM(D12:D14)</f>
        <v>184820.95230889996</v>
      </c>
    </row>
    <row r="18" spans="2:6" x14ac:dyDescent="0.25">
      <c r="B18" s="158" t="s">
        <v>171</v>
      </c>
    </row>
    <row r="19" spans="2:6" x14ac:dyDescent="0.25">
      <c r="B19" s="155"/>
      <c r="C19" s="142"/>
      <c r="D19" s="136" t="s">
        <v>178</v>
      </c>
      <c r="E19" s="136" t="s">
        <v>179</v>
      </c>
      <c r="F19" s="136" t="s">
        <v>180</v>
      </c>
    </row>
    <row r="20" spans="2:6" x14ac:dyDescent="0.25">
      <c r="B20" s="135"/>
      <c r="C20" s="153"/>
      <c r="D20" s="154" t="s">
        <v>172</v>
      </c>
      <c r="E20" s="154" t="s">
        <v>173</v>
      </c>
      <c r="F20" s="154" t="s">
        <v>181</v>
      </c>
    </row>
    <row r="21" spans="2:6" x14ac:dyDescent="0.25">
      <c r="B21" s="148">
        <v>1</v>
      </c>
      <c r="C21" s="142" t="s">
        <v>174</v>
      </c>
      <c r="D21" s="149">
        <f>ROUND('A1.2 REDA'!Q123,0)</f>
        <v>2803</v>
      </c>
      <c r="E21" s="149">
        <f>'A1.2 REDA'!Q130</f>
        <v>27258.94</v>
      </c>
      <c r="F21" s="149">
        <f>ROUND(SUM(D21:E21),0)</f>
        <v>30062</v>
      </c>
    </row>
    <row r="22" spans="2:6" x14ac:dyDescent="0.25">
      <c r="B22" s="150">
        <v>2</v>
      </c>
      <c r="C22" s="144" t="s">
        <v>175</v>
      </c>
      <c r="D22" s="145">
        <f>ROUND('A1.2 REDA'!Q146,0)</f>
        <v>37</v>
      </c>
      <c r="E22" s="145">
        <f>ROUND('A1.2 REDA'!Q149,0)</f>
        <v>466</v>
      </c>
      <c r="F22" s="145">
        <f>D22+E22</f>
        <v>503</v>
      </c>
    </row>
    <row r="23" spans="2:6" x14ac:dyDescent="0.25">
      <c r="B23" s="150">
        <v>3</v>
      </c>
      <c r="C23" s="156" t="s">
        <v>176</v>
      </c>
      <c r="D23" s="145">
        <f>ROUND('A1.2 REDA'!R145,0)</f>
        <v>61</v>
      </c>
      <c r="E23" s="145">
        <f>ROUND('A1.2 REDA'!R148,0)</f>
        <v>592</v>
      </c>
      <c r="F23" s="145">
        <f>D23+E23</f>
        <v>653</v>
      </c>
    </row>
    <row r="24" spans="2:6" x14ac:dyDescent="0.25">
      <c r="B24" s="157">
        <v>4</v>
      </c>
      <c r="C24" s="140" t="s">
        <v>177</v>
      </c>
      <c r="D24" s="137">
        <f>SUM(D21:D23)</f>
        <v>2901</v>
      </c>
      <c r="E24" s="137">
        <f>SUM(E21:E23)</f>
        <v>28316.94</v>
      </c>
      <c r="F24" s="137">
        <f>D24+E24</f>
        <v>31217.94</v>
      </c>
    </row>
  </sheetData>
  <pageMargins left="0.70866141732283472" right="0.70866141732283472" top="0.74803149606299213" bottom="0.74803149606299213" header="0.31496062992125984" footer="0.31496062992125984"/>
  <pageSetup scale="93" orientation="portrait" r:id="rId1"/>
  <headerFooter>
    <oddHeader>&amp;R&amp;"Times New Roman,Regular"&amp;10Filed: 2019-01-31
EB-2018-0336
Exhibit 9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showGridLines="0" zoomScale="90" zoomScaleNormal="90" workbookViewId="0">
      <pane xSplit="1" ySplit="5" topLeftCell="B6" activePane="bottomRight" state="frozen"/>
      <selection activeCell="C26" sqref="C26"/>
      <selection pane="topRight" activeCell="C26" sqref="C26"/>
      <selection pane="bottomLeft" activeCell="C26" sqref="C26"/>
      <selection pane="bottomRight" activeCell="C26" sqref="C26"/>
    </sheetView>
  </sheetViews>
  <sheetFormatPr defaultRowHeight="15" outlineLevelRow="2" x14ac:dyDescent="0.25"/>
  <cols>
    <col min="1" max="1" width="58.7109375" customWidth="1"/>
    <col min="2" max="2" width="11.7109375" customWidth="1"/>
    <col min="3" max="3" width="10" bestFit="1" customWidth="1"/>
    <col min="4" max="4" width="10.140625" bestFit="1" customWidth="1"/>
    <col min="5" max="5" width="10.28515625" bestFit="1" customWidth="1"/>
    <col min="6" max="6" width="10.140625" bestFit="1" customWidth="1"/>
    <col min="7" max="7" width="10" bestFit="1" customWidth="1"/>
    <col min="8" max="8" width="10.28515625" bestFit="1" customWidth="1"/>
    <col min="9" max="9" width="10" bestFit="1" customWidth="1"/>
    <col min="10" max="10" width="10.42578125" bestFit="1" customWidth="1"/>
    <col min="11" max="11" width="10.140625" bestFit="1" customWidth="1"/>
    <col min="12" max="12" width="9.5703125" bestFit="1" customWidth="1"/>
    <col min="13" max="14" width="10.28515625" bestFit="1" customWidth="1"/>
    <col min="15" max="15" width="10" bestFit="1" customWidth="1"/>
    <col min="16" max="16" width="10.140625" bestFit="1" customWidth="1"/>
    <col min="17" max="17" width="11.28515625" customWidth="1"/>
    <col min="18" max="18" width="9.85546875" bestFit="1" customWidth="1"/>
  </cols>
  <sheetData>
    <row r="1" spans="1:18" x14ac:dyDescent="0.25">
      <c r="A1" s="5" t="s">
        <v>30</v>
      </c>
    </row>
    <row r="2" spans="1:18" x14ac:dyDescent="0.25">
      <c r="A2" s="5" t="s">
        <v>43</v>
      </c>
    </row>
    <row r="3" spans="1:18" x14ac:dyDescent="0.25">
      <c r="A3" s="104" t="s">
        <v>44</v>
      </c>
      <c r="B3" s="105"/>
      <c r="C3" s="106">
        <v>1.4999999999999999E-2</v>
      </c>
      <c r="D3" s="106">
        <v>1.4999999999999999E-2</v>
      </c>
      <c r="E3" s="106">
        <v>1.4999999999999999E-2</v>
      </c>
      <c r="F3" s="106">
        <v>1.4999999999999999E-2</v>
      </c>
      <c r="G3" s="106">
        <v>1.4999999999999999E-2</v>
      </c>
      <c r="H3" s="106">
        <v>1.4999999999999999E-2</v>
      </c>
      <c r="I3" s="106">
        <v>1.89E-2</v>
      </c>
      <c r="J3" s="106">
        <v>1.89E-2</v>
      </c>
      <c r="K3" s="106">
        <v>1.89E-2</v>
      </c>
      <c r="L3" s="106">
        <v>1.89E-2</v>
      </c>
      <c r="M3" s="106">
        <v>1.89E-2</v>
      </c>
      <c r="N3" s="106">
        <v>1.89E-2</v>
      </c>
      <c r="O3" s="106">
        <v>2.1700000000000001E-2</v>
      </c>
      <c r="P3" s="106">
        <v>2.1700000000000001E-2</v>
      </c>
      <c r="Q3" s="106">
        <v>2.1700000000000001E-2</v>
      </c>
    </row>
    <row r="4" spans="1:18" ht="39" x14ac:dyDescent="0.25">
      <c r="B4" s="107" t="s">
        <v>45</v>
      </c>
      <c r="R4" s="103" t="s">
        <v>46</v>
      </c>
    </row>
    <row r="5" spans="1:18" x14ac:dyDescent="0.25">
      <c r="A5" s="107" t="s">
        <v>47</v>
      </c>
      <c r="B5" s="108">
        <v>43008</v>
      </c>
      <c r="C5" s="108">
        <v>43039</v>
      </c>
      <c r="D5" s="108">
        <v>43069</v>
      </c>
      <c r="E5" s="108">
        <v>43100</v>
      </c>
      <c r="F5" s="108">
        <v>43131</v>
      </c>
      <c r="G5" s="108">
        <v>43159</v>
      </c>
      <c r="H5" s="108">
        <v>43190</v>
      </c>
      <c r="I5" s="108">
        <v>43220</v>
      </c>
      <c r="J5" s="108">
        <v>43251</v>
      </c>
      <c r="K5" s="108">
        <v>43281</v>
      </c>
      <c r="L5" s="108">
        <v>43312</v>
      </c>
      <c r="M5" s="108">
        <v>43343</v>
      </c>
      <c r="N5" s="108">
        <v>43373</v>
      </c>
      <c r="O5" s="108">
        <v>43404</v>
      </c>
      <c r="P5" s="108">
        <v>43434</v>
      </c>
      <c r="Q5" s="108">
        <v>43465</v>
      </c>
      <c r="R5" s="108" t="s">
        <v>42</v>
      </c>
    </row>
    <row r="6" spans="1:18" x14ac:dyDescent="0.25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8" x14ac:dyDescent="0.25">
      <c r="A7" s="109" t="s">
        <v>48</v>
      </c>
      <c r="B7" s="110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</row>
    <row r="8" spans="1:18" hidden="1" outlineLevel="1" x14ac:dyDescent="0.25">
      <c r="A8" s="111" t="s">
        <v>49</v>
      </c>
      <c r="B8" s="112"/>
    </row>
    <row r="9" spans="1:18" hidden="1" outlineLevel="1" x14ac:dyDescent="0.25">
      <c r="A9" s="113" t="s">
        <v>50</v>
      </c>
      <c r="B9" s="115">
        <v>1042.3399999999999</v>
      </c>
    </row>
    <row r="10" spans="1:18" hidden="1" outlineLevel="1" x14ac:dyDescent="0.25">
      <c r="A10" s="113" t="s">
        <v>51</v>
      </c>
      <c r="B10" s="115">
        <v>83.35</v>
      </c>
    </row>
    <row r="11" spans="1:18" hidden="1" outlineLevel="1" x14ac:dyDescent="0.25">
      <c r="A11" s="113" t="s">
        <v>52</v>
      </c>
      <c r="B11" s="115">
        <v>412.02</v>
      </c>
    </row>
    <row r="12" spans="1:18" collapsed="1" x14ac:dyDescent="0.25">
      <c r="A12" s="89" t="s">
        <v>49</v>
      </c>
      <c r="B12" s="114">
        <v>1537.7099999999998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f>-B12</f>
        <v>-1537.7099999999998</v>
      </c>
    </row>
    <row r="13" spans="1:18" hidden="1" outlineLevel="1" x14ac:dyDescent="0.25">
      <c r="A13" s="116"/>
      <c r="B13" s="114"/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f t="shared" ref="Q13:Q76" si="0">-B13</f>
        <v>0</v>
      </c>
    </row>
    <row r="14" spans="1:18" hidden="1" outlineLevel="1" x14ac:dyDescent="0.25">
      <c r="A14" s="118" t="s">
        <v>53</v>
      </c>
      <c r="B14" s="114"/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f t="shared" si="0"/>
        <v>0</v>
      </c>
    </row>
    <row r="15" spans="1:18" hidden="1" outlineLevel="1" x14ac:dyDescent="0.25">
      <c r="A15" s="118" t="s">
        <v>54</v>
      </c>
      <c r="B15" s="114">
        <v>280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f t="shared" si="0"/>
        <v>-280</v>
      </c>
    </row>
    <row r="16" spans="1:18" hidden="1" outlineLevel="1" x14ac:dyDescent="0.25">
      <c r="A16" s="118" t="s">
        <v>55</v>
      </c>
      <c r="B16" s="114">
        <v>300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f t="shared" si="0"/>
        <v>-300</v>
      </c>
    </row>
    <row r="17" spans="1:17" hidden="1" outlineLevel="1" x14ac:dyDescent="0.25">
      <c r="A17" s="118" t="s">
        <v>56</v>
      </c>
      <c r="B17" s="114">
        <v>423.83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f t="shared" si="0"/>
        <v>-423.83</v>
      </c>
    </row>
    <row r="18" spans="1:17" hidden="1" outlineLevel="1" x14ac:dyDescent="0.25">
      <c r="A18" s="118" t="s">
        <v>57</v>
      </c>
      <c r="B18" s="114">
        <v>1891.75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4">
        <f t="shared" si="0"/>
        <v>-1891.75</v>
      </c>
    </row>
    <row r="19" spans="1:17" hidden="1" outlineLevel="1" x14ac:dyDescent="0.25">
      <c r="A19" s="118" t="s">
        <v>58</v>
      </c>
      <c r="B19" s="114">
        <v>790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f t="shared" si="0"/>
        <v>-790</v>
      </c>
    </row>
    <row r="20" spans="1:17" collapsed="1" x14ac:dyDescent="0.25">
      <c r="A20" s="118" t="s">
        <v>53</v>
      </c>
      <c r="B20" s="114">
        <v>3685.58</v>
      </c>
      <c r="C20" s="114">
        <v>0</v>
      </c>
      <c r="D20" s="114">
        <v>0</v>
      </c>
      <c r="E20" s="114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  <c r="P20" s="114">
        <v>0</v>
      </c>
      <c r="Q20" s="114">
        <f t="shared" si="0"/>
        <v>-3685.58</v>
      </c>
    </row>
    <row r="21" spans="1:17" hidden="1" outlineLevel="1" x14ac:dyDescent="0.25">
      <c r="A21" s="116"/>
      <c r="B21" s="114"/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f t="shared" si="0"/>
        <v>0</v>
      </c>
    </row>
    <row r="22" spans="1:17" hidden="1" outlineLevel="1" x14ac:dyDescent="0.25">
      <c r="A22" s="118" t="s">
        <v>59</v>
      </c>
      <c r="B22" s="114"/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f t="shared" si="0"/>
        <v>0</v>
      </c>
    </row>
    <row r="23" spans="1:17" hidden="1" outlineLevel="1" x14ac:dyDescent="0.25">
      <c r="A23" s="118" t="s">
        <v>60</v>
      </c>
      <c r="B23" s="114">
        <v>191.36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4">
        <v>0</v>
      </c>
      <c r="Q23" s="114">
        <f t="shared" si="0"/>
        <v>-191.36</v>
      </c>
    </row>
    <row r="24" spans="1:17" hidden="1" outlineLevel="1" x14ac:dyDescent="0.25">
      <c r="A24" s="118" t="s">
        <v>61</v>
      </c>
      <c r="B24" s="114">
        <v>1108.46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4">
        <v>0</v>
      </c>
      <c r="Q24" s="114">
        <f t="shared" si="0"/>
        <v>-1108.46</v>
      </c>
    </row>
    <row r="25" spans="1:17" hidden="1" outlineLevel="1" x14ac:dyDescent="0.25">
      <c r="A25" s="118" t="s">
        <v>62</v>
      </c>
      <c r="B25" s="114">
        <v>514.01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f t="shared" si="0"/>
        <v>-514.01</v>
      </c>
    </row>
    <row r="26" spans="1:17" hidden="1" outlineLevel="1" x14ac:dyDescent="0.25">
      <c r="A26" s="118" t="s">
        <v>63</v>
      </c>
      <c r="B26" s="114">
        <v>577.96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f t="shared" si="0"/>
        <v>-577.96</v>
      </c>
    </row>
    <row r="27" spans="1:17" hidden="1" outlineLevel="1" x14ac:dyDescent="0.25">
      <c r="A27" s="118" t="s">
        <v>64</v>
      </c>
      <c r="B27" s="114">
        <v>828.4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  <c r="H27" s="114">
        <v>0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14">
        <v>0</v>
      </c>
      <c r="Q27" s="114">
        <f t="shared" si="0"/>
        <v>-828.4</v>
      </c>
    </row>
    <row r="28" spans="1:17" hidden="1" outlineLevel="1" x14ac:dyDescent="0.25">
      <c r="A28" s="118" t="s">
        <v>65</v>
      </c>
      <c r="B28" s="114">
        <v>4000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f t="shared" si="0"/>
        <v>-4000</v>
      </c>
    </row>
    <row r="29" spans="1:17" hidden="1" outlineLevel="1" x14ac:dyDescent="0.25">
      <c r="A29" s="118" t="s">
        <v>66</v>
      </c>
      <c r="B29" s="114">
        <v>1772.57</v>
      </c>
      <c r="C29" s="114">
        <v>0</v>
      </c>
      <c r="D29" s="114">
        <v>0</v>
      </c>
      <c r="E29" s="114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  <c r="P29" s="114">
        <v>0</v>
      </c>
      <c r="Q29" s="114">
        <f t="shared" si="0"/>
        <v>-1772.57</v>
      </c>
    </row>
    <row r="30" spans="1:17" hidden="1" outlineLevel="1" x14ac:dyDescent="0.25">
      <c r="A30" s="118" t="s">
        <v>67</v>
      </c>
      <c r="B30" s="114">
        <v>3880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14">
        <v>0</v>
      </c>
      <c r="Q30" s="114">
        <f t="shared" si="0"/>
        <v>-3880</v>
      </c>
    </row>
    <row r="31" spans="1:17" hidden="1" outlineLevel="1" x14ac:dyDescent="0.25">
      <c r="A31" s="118" t="s">
        <v>68</v>
      </c>
      <c r="B31" s="114">
        <v>150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4">
        <v>0</v>
      </c>
      <c r="M31" s="114">
        <v>0</v>
      </c>
      <c r="N31" s="114">
        <v>0</v>
      </c>
      <c r="O31" s="114">
        <v>0</v>
      </c>
      <c r="P31" s="114">
        <v>0</v>
      </c>
      <c r="Q31" s="114">
        <f t="shared" si="0"/>
        <v>-150</v>
      </c>
    </row>
    <row r="32" spans="1:17" hidden="1" outlineLevel="1" x14ac:dyDescent="0.25">
      <c r="A32" s="118" t="s">
        <v>69</v>
      </c>
      <c r="B32" s="114">
        <v>550</v>
      </c>
      <c r="C32" s="114">
        <v>0</v>
      </c>
      <c r="D32" s="114">
        <v>0</v>
      </c>
      <c r="E32" s="114">
        <v>0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114">
        <v>0</v>
      </c>
      <c r="L32" s="114">
        <v>0</v>
      </c>
      <c r="M32" s="114">
        <v>0</v>
      </c>
      <c r="N32" s="114">
        <v>0</v>
      </c>
      <c r="O32" s="114">
        <v>0</v>
      </c>
      <c r="P32" s="114">
        <v>0</v>
      </c>
      <c r="Q32" s="114">
        <f t="shared" si="0"/>
        <v>-550</v>
      </c>
    </row>
    <row r="33" spans="1:17" hidden="1" outlineLevel="1" x14ac:dyDescent="0.25">
      <c r="A33" s="118" t="s">
        <v>70</v>
      </c>
      <c r="B33" s="114">
        <v>427.94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  <c r="H33" s="114">
        <v>0</v>
      </c>
      <c r="I33" s="114">
        <v>0</v>
      </c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0</v>
      </c>
      <c r="P33" s="114">
        <v>0</v>
      </c>
      <c r="Q33" s="114">
        <f t="shared" si="0"/>
        <v>-427.94</v>
      </c>
    </row>
    <row r="34" spans="1:17" hidden="1" outlineLevel="1" x14ac:dyDescent="0.25">
      <c r="A34" s="118" t="s">
        <v>71</v>
      </c>
      <c r="B34" s="114">
        <v>380.68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  <c r="N34" s="114">
        <v>0</v>
      </c>
      <c r="O34" s="114">
        <v>0</v>
      </c>
      <c r="P34" s="114">
        <v>0</v>
      </c>
      <c r="Q34" s="114">
        <f t="shared" si="0"/>
        <v>-380.68</v>
      </c>
    </row>
    <row r="35" spans="1:17" hidden="1" outlineLevel="1" x14ac:dyDescent="0.25">
      <c r="A35" s="118" t="s">
        <v>72</v>
      </c>
      <c r="B35" s="114">
        <v>4450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14">
        <v>0</v>
      </c>
      <c r="Q35" s="114">
        <f t="shared" si="0"/>
        <v>-4450</v>
      </c>
    </row>
    <row r="36" spans="1:17" hidden="1" outlineLevel="1" x14ac:dyDescent="0.25">
      <c r="A36" s="118" t="s">
        <v>73</v>
      </c>
      <c r="B36" s="114">
        <v>-9415.69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114">
        <v>0</v>
      </c>
      <c r="M36" s="114">
        <v>0</v>
      </c>
      <c r="N36" s="114">
        <v>0</v>
      </c>
      <c r="O36" s="114">
        <v>0</v>
      </c>
      <c r="P36" s="114">
        <v>0</v>
      </c>
      <c r="Q36" s="114">
        <f t="shared" si="0"/>
        <v>9415.69</v>
      </c>
    </row>
    <row r="37" spans="1:17" collapsed="1" x14ac:dyDescent="0.25">
      <c r="A37" s="118" t="s">
        <v>59</v>
      </c>
      <c r="B37" s="114">
        <v>9415.69</v>
      </c>
      <c r="C37" s="114">
        <v>0</v>
      </c>
      <c r="D37" s="114">
        <v>0</v>
      </c>
      <c r="E37" s="114">
        <v>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4">
        <v>0</v>
      </c>
      <c r="Q37" s="114">
        <f t="shared" si="0"/>
        <v>-9415.69</v>
      </c>
    </row>
    <row r="38" spans="1:17" hidden="1" outlineLevel="1" x14ac:dyDescent="0.25">
      <c r="A38" s="116"/>
      <c r="B38" s="114"/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f t="shared" si="0"/>
        <v>0</v>
      </c>
    </row>
    <row r="39" spans="1:17" hidden="1" outlineLevel="1" x14ac:dyDescent="0.25">
      <c r="A39" s="118" t="s">
        <v>74</v>
      </c>
      <c r="B39" s="114"/>
      <c r="C39" s="114">
        <v>0</v>
      </c>
      <c r="D39" s="114">
        <v>0</v>
      </c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14">
        <v>0</v>
      </c>
      <c r="P39" s="114">
        <v>0</v>
      </c>
      <c r="Q39" s="114">
        <f t="shared" si="0"/>
        <v>0</v>
      </c>
    </row>
    <row r="40" spans="1:17" hidden="1" outlineLevel="1" x14ac:dyDescent="0.25">
      <c r="A40" s="89" t="s">
        <v>75</v>
      </c>
      <c r="B40" s="114">
        <v>390</v>
      </c>
      <c r="C40" s="114">
        <v>0</v>
      </c>
      <c r="D40" s="114">
        <v>0</v>
      </c>
      <c r="E40" s="114">
        <v>0</v>
      </c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f t="shared" si="0"/>
        <v>-390</v>
      </c>
    </row>
    <row r="41" spans="1:17" hidden="1" outlineLevel="1" x14ac:dyDescent="0.25">
      <c r="A41" s="118" t="s">
        <v>76</v>
      </c>
      <c r="B41" s="114">
        <v>1126.25</v>
      </c>
      <c r="C41" s="114">
        <v>0</v>
      </c>
      <c r="D41" s="114">
        <v>0</v>
      </c>
      <c r="E41" s="114">
        <v>0</v>
      </c>
      <c r="F41" s="114">
        <v>0</v>
      </c>
      <c r="G41" s="114">
        <v>0</v>
      </c>
      <c r="H41" s="114">
        <v>0</v>
      </c>
      <c r="I41" s="114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0</v>
      </c>
      <c r="Q41" s="114">
        <f t="shared" si="0"/>
        <v>-1126.25</v>
      </c>
    </row>
    <row r="42" spans="1:17" hidden="1" outlineLevel="1" x14ac:dyDescent="0.25">
      <c r="A42" s="118" t="s">
        <v>77</v>
      </c>
      <c r="B42" s="114">
        <v>19256.64</v>
      </c>
      <c r="C42" s="114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f t="shared" si="0"/>
        <v>-19256.64</v>
      </c>
    </row>
    <row r="43" spans="1:17" hidden="1" outlineLevel="1" x14ac:dyDescent="0.25">
      <c r="A43" s="118" t="s">
        <v>78</v>
      </c>
      <c r="B43" s="114">
        <v>54.5</v>
      </c>
      <c r="C43" s="114">
        <v>0</v>
      </c>
      <c r="D43" s="114">
        <v>0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f t="shared" si="0"/>
        <v>-54.5</v>
      </c>
    </row>
    <row r="44" spans="1:17" hidden="1" outlineLevel="1" x14ac:dyDescent="0.25">
      <c r="A44" s="118" t="s">
        <v>79</v>
      </c>
      <c r="B44" s="114">
        <v>10.66</v>
      </c>
      <c r="C44" s="114">
        <v>0</v>
      </c>
      <c r="D44" s="114">
        <v>0</v>
      </c>
      <c r="E44" s="114">
        <v>0</v>
      </c>
      <c r="F44" s="114">
        <v>0</v>
      </c>
      <c r="G44" s="114">
        <v>0</v>
      </c>
      <c r="H44" s="114">
        <v>0</v>
      </c>
      <c r="I44" s="114">
        <v>0</v>
      </c>
      <c r="J44" s="114">
        <v>0</v>
      </c>
      <c r="K44" s="114">
        <v>0</v>
      </c>
      <c r="L44" s="114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f t="shared" si="0"/>
        <v>-10.66</v>
      </c>
    </row>
    <row r="45" spans="1:17" collapsed="1" x14ac:dyDescent="0.25">
      <c r="A45" s="118" t="s">
        <v>74</v>
      </c>
      <c r="B45" s="114">
        <v>20838.05</v>
      </c>
      <c r="C45" s="114">
        <v>0</v>
      </c>
      <c r="D45" s="114">
        <v>0</v>
      </c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f t="shared" si="0"/>
        <v>-20838.05</v>
      </c>
    </row>
    <row r="46" spans="1:17" hidden="1" outlineLevel="1" x14ac:dyDescent="0.25">
      <c r="A46" s="116"/>
      <c r="B46" s="114"/>
      <c r="C46" s="114">
        <v>0</v>
      </c>
      <c r="D46" s="114">
        <v>0</v>
      </c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4">
        <v>0</v>
      </c>
      <c r="M46" s="114">
        <v>0</v>
      </c>
      <c r="N46" s="114">
        <v>0</v>
      </c>
      <c r="O46" s="114">
        <v>0</v>
      </c>
      <c r="P46" s="114">
        <v>0</v>
      </c>
      <c r="Q46" s="114">
        <f t="shared" si="0"/>
        <v>0</v>
      </c>
    </row>
    <row r="47" spans="1:17" hidden="1" outlineLevel="1" x14ac:dyDescent="0.25">
      <c r="A47" s="118" t="s">
        <v>80</v>
      </c>
      <c r="B47" s="114"/>
      <c r="C47" s="114">
        <v>0</v>
      </c>
      <c r="D47" s="114">
        <v>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114">
        <v>0</v>
      </c>
      <c r="M47" s="114">
        <v>0</v>
      </c>
      <c r="N47" s="114">
        <v>0</v>
      </c>
      <c r="O47" s="114">
        <v>0</v>
      </c>
      <c r="P47" s="114">
        <v>0</v>
      </c>
      <c r="Q47" s="114">
        <f t="shared" si="0"/>
        <v>0</v>
      </c>
    </row>
    <row r="48" spans="1:17" hidden="1" outlineLevel="1" x14ac:dyDescent="0.25">
      <c r="A48" s="89" t="s">
        <v>81</v>
      </c>
      <c r="B48" s="114">
        <v>532</v>
      </c>
      <c r="C48" s="114">
        <v>0</v>
      </c>
      <c r="D48" s="114">
        <v>0</v>
      </c>
      <c r="E48" s="114">
        <v>0</v>
      </c>
      <c r="F48" s="114"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f t="shared" si="0"/>
        <v>-532</v>
      </c>
    </row>
    <row r="49" spans="1:17" hidden="1" outlineLevel="1" x14ac:dyDescent="0.25">
      <c r="A49" s="89" t="s">
        <v>82</v>
      </c>
      <c r="B49" s="114">
        <v>3876</v>
      </c>
      <c r="C49" s="114">
        <v>0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f t="shared" si="0"/>
        <v>-3876</v>
      </c>
    </row>
    <row r="50" spans="1:17" hidden="1" outlineLevel="1" x14ac:dyDescent="0.25">
      <c r="A50" s="89" t="s">
        <v>83</v>
      </c>
      <c r="B50" s="114">
        <v>390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f t="shared" si="0"/>
        <v>-390</v>
      </c>
    </row>
    <row r="51" spans="1:17" hidden="1" outlineLevel="1" x14ac:dyDescent="0.25">
      <c r="A51" s="89" t="s">
        <v>84</v>
      </c>
      <c r="B51" s="114">
        <v>1465.74</v>
      </c>
      <c r="C51" s="114">
        <v>0</v>
      </c>
      <c r="D51" s="114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14">
        <v>0</v>
      </c>
      <c r="K51" s="114">
        <v>0</v>
      </c>
      <c r="L51" s="114">
        <v>0</v>
      </c>
      <c r="M51" s="114">
        <v>0</v>
      </c>
      <c r="N51" s="114">
        <v>0</v>
      </c>
      <c r="O51" s="114">
        <v>0</v>
      </c>
      <c r="P51" s="114">
        <v>0</v>
      </c>
      <c r="Q51" s="114">
        <f t="shared" si="0"/>
        <v>-1465.74</v>
      </c>
    </row>
    <row r="52" spans="1:17" hidden="1" outlineLevel="1" x14ac:dyDescent="0.25">
      <c r="A52" s="89" t="s">
        <v>85</v>
      </c>
      <c r="B52" s="114">
        <v>8625.2800000000007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v>0</v>
      </c>
      <c r="I52" s="114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f t="shared" si="0"/>
        <v>-8625.2800000000007</v>
      </c>
    </row>
    <row r="53" spans="1:17" hidden="1" outlineLevel="1" x14ac:dyDescent="0.25">
      <c r="A53" s="89" t="s">
        <v>86</v>
      </c>
      <c r="B53" s="114">
        <v>17600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f t="shared" si="0"/>
        <v>-17600</v>
      </c>
    </row>
    <row r="54" spans="1:17" hidden="1" outlineLevel="1" x14ac:dyDescent="0.25">
      <c r="A54" s="89" t="s">
        <v>87</v>
      </c>
      <c r="B54" s="114">
        <v>2868.45</v>
      </c>
      <c r="C54" s="114">
        <v>0</v>
      </c>
      <c r="D54" s="114">
        <v>0</v>
      </c>
      <c r="E54" s="114">
        <v>0</v>
      </c>
      <c r="F54" s="114">
        <v>0</v>
      </c>
      <c r="G54" s="114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14">
        <v>0</v>
      </c>
      <c r="P54" s="114">
        <v>0</v>
      </c>
      <c r="Q54" s="114">
        <f t="shared" si="0"/>
        <v>-2868.45</v>
      </c>
    </row>
    <row r="55" spans="1:17" hidden="1" outlineLevel="1" x14ac:dyDescent="0.25">
      <c r="A55" s="89" t="s">
        <v>88</v>
      </c>
      <c r="B55" s="114">
        <v>2025.72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0</v>
      </c>
      <c r="N55" s="114">
        <v>0</v>
      </c>
      <c r="O55" s="114">
        <v>0</v>
      </c>
      <c r="P55" s="114">
        <v>0</v>
      </c>
      <c r="Q55" s="114">
        <f t="shared" si="0"/>
        <v>-2025.72</v>
      </c>
    </row>
    <row r="56" spans="1:17" hidden="1" outlineLevel="1" x14ac:dyDescent="0.25">
      <c r="A56" s="89" t="s">
        <v>89</v>
      </c>
      <c r="B56" s="114">
        <v>6664.31</v>
      </c>
      <c r="C56" s="114">
        <v>0</v>
      </c>
      <c r="D56" s="114">
        <v>0</v>
      </c>
      <c r="E56" s="114">
        <v>0</v>
      </c>
      <c r="F56" s="114">
        <v>0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v>0</v>
      </c>
      <c r="N56" s="114">
        <v>0</v>
      </c>
      <c r="O56" s="114">
        <v>0</v>
      </c>
      <c r="P56" s="114">
        <v>0</v>
      </c>
      <c r="Q56" s="114">
        <f t="shared" si="0"/>
        <v>-6664.31</v>
      </c>
    </row>
    <row r="57" spans="1:17" hidden="1" outlineLevel="1" x14ac:dyDescent="0.25">
      <c r="A57" s="89" t="s">
        <v>90</v>
      </c>
      <c r="B57" s="114">
        <v>2891.9</v>
      </c>
      <c r="C57" s="114">
        <v>0</v>
      </c>
      <c r="D57" s="114">
        <v>0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0</v>
      </c>
      <c r="N57" s="114">
        <v>0</v>
      </c>
      <c r="O57" s="114">
        <v>0</v>
      </c>
      <c r="P57" s="114">
        <v>0</v>
      </c>
      <c r="Q57" s="114">
        <f t="shared" si="0"/>
        <v>-2891.9</v>
      </c>
    </row>
    <row r="58" spans="1:17" hidden="1" outlineLevel="1" x14ac:dyDescent="0.25">
      <c r="A58" s="89" t="s">
        <v>91</v>
      </c>
      <c r="B58" s="114">
        <v>2619.35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  <c r="N58" s="114">
        <v>0</v>
      </c>
      <c r="O58" s="114">
        <v>0</v>
      </c>
      <c r="P58" s="114">
        <v>0</v>
      </c>
      <c r="Q58" s="114">
        <f t="shared" si="0"/>
        <v>-2619.35</v>
      </c>
    </row>
    <row r="59" spans="1:17" hidden="1" outlineLevel="1" x14ac:dyDescent="0.25">
      <c r="A59" s="89" t="s">
        <v>92</v>
      </c>
      <c r="B59" s="114">
        <v>4922.6099999999997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14">
        <v>0</v>
      </c>
      <c r="P59" s="114">
        <v>0</v>
      </c>
      <c r="Q59" s="114">
        <f t="shared" si="0"/>
        <v>-4922.6099999999997</v>
      </c>
    </row>
    <row r="60" spans="1:17" hidden="1" outlineLevel="1" x14ac:dyDescent="0.25">
      <c r="A60" s="89" t="s">
        <v>93</v>
      </c>
      <c r="B60" s="114">
        <v>2921.78</v>
      </c>
      <c r="C60" s="114">
        <v>0</v>
      </c>
      <c r="D60" s="114">
        <v>0</v>
      </c>
      <c r="E60" s="114">
        <v>0</v>
      </c>
      <c r="F60" s="114">
        <v>0</v>
      </c>
      <c r="G60" s="114">
        <v>0</v>
      </c>
      <c r="H60" s="114">
        <v>0</v>
      </c>
      <c r="I60" s="114">
        <v>0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f t="shared" si="0"/>
        <v>-2921.78</v>
      </c>
    </row>
    <row r="61" spans="1:17" hidden="1" outlineLevel="1" x14ac:dyDescent="0.25">
      <c r="A61" s="89" t="s">
        <v>94</v>
      </c>
      <c r="B61" s="114">
        <v>1186.26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114">
        <v>0</v>
      </c>
      <c r="Q61" s="114">
        <f t="shared" si="0"/>
        <v>-1186.26</v>
      </c>
    </row>
    <row r="62" spans="1:17" hidden="1" outlineLevel="1" x14ac:dyDescent="0.25">
      <c r="A62" s="89" t="s">
        <v>95</v>
      </c>
      <c r="B62" s="114">
        <v>1162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f t="shared" si="0"/>
        <v>-1162</v>
      </c>
    </row>
    <row r="63" spans="1:17" hidden="1" outlineLevel="1" x14ac:dyDescent="0.25">
      <c r="A63" s="89" t="s">
        <v>96</v>
      </c>
      <c r="B63" s="114">
        <v>1613.7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f t="shared" si="0"/>
        <v>-1613.7</v>
      </c>
    </row>
    <row r="64" spans="1:17" hidden="1" outlineLevel="1" x14ac:dyDescent="0.25">
      <c r="A64" s="89" t="s">
        <v>97</v>
      </c>
      <c r="B64" s="114">
        <v>1945.05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v>0</v>
      </c>
      <c r="I64" s="114">
        <v>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  <c r="O64" s="114">
        <v>0</v>
      </c>
      <c r="P64" s="114">
        <v>0</v>
      </c>
      <c r="Q64" s="114">
        <f t="shared" si="0"/>
        <v>-1945.05</v>
      </c>
    </row>
    <row r="65" spans="1:17" hidden="1" outlineLevel="1" x14ac:dyDescent="0.25">
      <c r="A65" s="89" t="s">
        <v>98</v>
      </c>
      <c r="B65" s="114">
        <v>219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0</v>
      </c>
      <c r="I65" s="114">
        <v>0</v>
      </c>
      <c r="J65" s="114">
        <v>0</v>
      </c>
      <c r="K65" s="114">
        <v>0</v>
      </c>
      <c r="L65" s="114">
        <v>0</v>
      </c>
      <c r="M65" s="114">
        <v>0</v>
      </c>
      <c r="N65" s="114">
        <v>0</v>
      </c>
      <c r="O65" s="114">
        <v>0</v>
      </c>
      <c r="P65" s="114">
        <v>0</v>
      </c>
      <c r="Q65" s="114">
        <f t="shared" si="0"/>
        <v>-219</v>
      </c>
    </row>
    <row r="66" spans="1:17" hidden="1" outlineLevel="1" x14ac:dyDescent="0.25">
      <c r="A66" s="89" t="s">
        <v>99</v>
      </c>
      <c r="B66" s="114">
        <v>3780.46</v>
      </c>
      <c r="C66" s="114">
        <v>0</v>
      </c>
      <c r="D66" s="114">
        <v>0</v>
      </c>
      <c r="E66" s="114">
        <v>0</v>
      </c>
      <c r="F66" s="114">
        <v>0</v>
      </c>
      <c r="G66" s="114">
        <v>0</v>
      </c>
      <c r="H66" s="114">
        <v>0</v>
      </c>
      <c r="I66" s="114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  <c r="O66" s="114">
        <v>0</v>
      </c>
      <c r="P66" s="114">
        <v>0</v>
      </c>
      <c r="Q66" s="114">
        <f t="shared" si="0"/>
        <v>-3780.46</v>
      </c>
    </row>
    <row r="67" spans="1:17" hidden="1" outlineLevel="1" x14ac:dyDescent="0.25">
      <c r="A67" s="89" t="s">
        <v>100</v>
      </c>
      <c r="B67" s="114">
        <v>5205.8999999999996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v>0</v>
      </c>
      <c r="I67" s="114">
        <v>0</v>
      </c>
      <c r="J67" s="114">
        <v>0</v>
      </c>
      <c r="K67" s="114">
        <v>0</v>
      </c>
      <c r="L67" s="114">
        <v>0</v>
      </c>
      <c r="M67" s="114">
        <v>0</v>
      </c>
      <c r="N67" s="114">
        <v>0</v>
      </c>
      <c r="O67" s="114">
        <v>0</v>
      </c>
      <c r="P67" s="114">
        <v>0</v>
      </c>
      <c r="Q67" s="114">
        <f t="shared" si="0"/>
        <v>-5205.8999999999996</v>
      </c>
    </row>
    <row r="68" spans="1:17" collapsed="1" x14ac:dyDescent="0.25">
      <c r="A68" s="118" t="s">
        <v>80</v>
      </c>
      <c r="B68" s="114">
        <v>72515.509999999995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f t="shared" si="0"/>
        <v>-72515.509999999995</v>
      </c>
    </row>
    <row r="69" spans="1:17" hidden="1" outlineLevel="1" x14ac:dyDescent="0.25">
      <c r="A69" s="116"/>
      <c r="B69" s="114"/>
      <c r="C69" s="114">
        <v>0</v>
      </c>
      <c r="D69" s="114">
        <v>0</v>
      </c>
      <c r="E69" s="114">
        <v>0</v>
      </c>
      <c r="F69" s="114">
        <v>0</v>
      </c>
      <c r="G69" s="114">
        <v>0</v>
      </c>
      <c r="H69" s="114">
        <v>0</v>
      </c>
      <c r="I69" s="114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f t="shared" si="0"/>
        <v>0</v>
      </c>
    </row>
    <row r="70" spans="1:17" hidden="1" outlineLevel="1" x14ac:dyDescent="0.25">
      <c r="A70" s="118" t="s">
        <v>101</v>
      </c>
      <c r="B70" s="114"/>
      <c r="C70" s="114">
        <v>0</v>
      </c>
      <c r="D70" s="114">
        <v>0</v>
      </c>
      <c r="E70" s="114">
        <v>0</v>
      </c>
      <c r="F70" s="114">
        <v>0</v>
      </c>
      <c r="G70" s="114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f t="shared" si="0"/>
        <v>0</v>
      </c>
    </row>
    <row r="71" spans="1:17" hidden="1" outlineLevel="1" x14ac:dyDescent="0.25">
      <c r="A71" s="89" t="s">
        <v>102</v>
      </c>
      <c r="B71" s="114">
        <v>14820</v>
      </c>
      <c r="C71" s="114">
        <v>0</v>
      </c>
      <c r="D71" s="114">
        <v>0</v>
      </c>
      <c r="E71" s="114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f t="shared" si="0"/>
        <v>-14820</v>
      </c>
    </row>
    <row r="72" spans="1:17" hidden="1" outlineLevel="1" x14ac:dyDescent="0.25">
      <c r="A72" s="118" t="s">
        <v>103</v>
      </c>
      <c r="B72" s="114">
        <v>1330</v>
      </c>
      <c r="C72" s="114">
        <v>0</v>
      </c>
      <c r="D72" s="114">
        <v>0</v>
      </c>
      <c r="E72" s="114">
        <v>0</v>
      </c>
      <c r="F72" s="114">
        <v>0</v>
      </c>
      <c r="G72" s="114">
        <v>0</v>
      </c>
      <c r="H72" s="114">
        <v>0</v>
      </c>
      <c r="I72" s="114">
        <v>0</v>
      </c>
      <c r="J72" s="114">
        <v>0</v>
      </c>
      <c r="K72" s="114">
        <v>0</v>
      </c>
      <c r="L72" s="114">
        <v>0</v>
      </c>
      <c r="M72" s="114">
        <v>0</v>
      </c>
      <c r="N72" s="114">
        <v>0</v>
      </c>
      <c r="O72" s="114">
        <v>0</v>
      </c>
      <c r="P72" s="114">
        <v>0</v>
      </c>
      <c r="Q72" s="114">
        <f t="shared" si="0"/>
        <v>-1330</v>
      </c>
    </row>
    <row r="73" spans="1:17" hidden="1" outlineLevel="1" x14ac:dyDescent="0.25">
      <c r="A73" s="118" t="s">
        <v>104</v>
      </c>
      <c r="B73" s="114">
        <v>5700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114">
        <v>0</v>
      </c>
      <c r="P73" s="114">
        <v>0</v>
      </c>
      <c r="Q73" s="114">
        <f t="shared" si="0"/>
        <v>-5700</v>
      </c>
    </row>
    <row r="74" spans="1:17" hidden="1" outlineLevel="1" x14ac:dyDescent="0.25">
      <c r="A74" s="118" t="s">
        <v>105</v>
      </c>
      <c r="B74" s="114">
        <v>1140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  <c r="H74" s="114">
        <v>0</v>
      </c>
      <c r="I74" s="114">
        <v>0</v>
      </c>
      <c r="J74" s="114">
        <v>0</v>
      </c>
      <c r="K74" s="114">
        <v>0</v>
      </c>
      <c r="L74" s="114">
        <v>0</v>
      </c>
      <c r="M74" s="114">
        <v>0</v>
      </c>
      <c r="N74" s="114">
        <v>0</v>
      </c>
      <c r="O74" s="114">
        <v>0</v>
      </c>
      <c r="P74" s="114">
        <v>0</v>
      </c>
      <c r="Q74" s="114">
        <f t="shared" si="0"/>
        <v>-1140</v>
      </c>
    </row>
    <row r="75" spans="1:17" hidden="1" outlineLevel="1" x14ac:dyDescent="0.25">
      <c r="A75" s="118" t="s">
        <v>106</v>
      </c>
      <c r="B75" s="114">
        <v>95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4">
        <v>0</v>
      </c>
      <c r="M75" s="114">
        <v>0</v>
      </c>
      <c r="N75" s="114">
        <v>0</v>
      </c>
      <c r="O75" s="114">
        <v>0</v>
      </c>
      <c r="P75" s="114">
        <v>0</v>
      </c>
      <c r="Q75" s="114">
        <f t="shared" si="0"/>
        <v>-95</v>
      </c>
    </row>
    <row r="76" spans="1:17" collapsed="1" x14ac:dyDescent="0.25">
      <c r="A76" s="118" t="s">
        <v>101</v>
      </c>
      <c r="B76" s="114">
        <v>23085</v>
      </c>
      <c r="C76" s="114">
        <v>0</v>
      </c>
      <c r="D76" s="114">
        <v>0</v>
      </c>
      <c r="E76" s="114">
        <v>0</v>
      </c>
      <c r="F76" s="114">
        <v>0</v>
      </c>
      <c r="G76" s="114">
        <v>0</v>
      </c>
      <c r="H76" s="114">
        <v>0</v>
      </c>
      <c r="I76" s="114">
        <v>0</v>
      </c>
      <c r="J76" s="114">
        <v>0</v>
      </c>
      <c r="K76" s="114">
        <v>0</v>
      </c>
      <c r="L76" s="114">
        <v>0</v>
      </c>
      <c r="M76" s="114">
        <v>0</v>
      </c>
      <c r="N76" s="114">
        <v>0</v>
      </c>
      <c r="O76" s="114">
        <v>0</v>
      </c>
      <c r="P76" s="114">
        <v>0</v>
      </c>
      <c r="Q76" s="114">
        <f t="shared" si="0"/>
        <v>-23085</v>
      </c>
    </row>
    <row r="77" spans="1:17" hidden="1" outlineLevel="1" x14ac:dyDescent="0.25">
      <c r="A77" s="116"/>
      <c r="B77" s="114"/>
      <c r="C77" s="114">
        <v>0</v>
      </c>
      <c r="D77" s="114">
        <v>0</v>
      </c>
      <c r="E77" s="114">
        <v>0</v>
      </c>
      <c r="F77" s="114">
        <v>0</v>
      </c>
      <c r="G77" s="114">
        <v>0</v>
      </c>
      <c r="H77" s="114">
        <v>0</v>
      </c>
      <c r="I77" s="114">
        <v>0</v>
      </c>
      <c r="J77" s="114">
        <v>0</v>
      </c>
      <c r="K77" s="114">
        <v>0</v>
      </c>
      <c r="L77" s="114">
        <v>0</v>
      </c>
      <c r="M77" s="114">
        <v>0</v>
      </c>
      <c r="N77" s="114">
        <v>0</v>
      </c>
      <c r="O77" s="114">
        <v>0</v>
      </c>
      <c r="P77" s="114">
        <v>0</v>
      </c>
      <c r="Q77" s="114">
        <f t="shared" ref="Q77:Q116" si="1">-B77</f>
        <v>0</v>
      </c>
    </row>
    <row r="78" spans="1:17" hidden="1" outlineLevel="1" x14ac:dyDescent="0.25">
      <c r="A78" s="118" t="s">
        <v>107</v>
      </c>
      <c r="B78" s="114"/>
      <c r="C78" s="114">
        <v>0</v>
      </c>
      <c r="D78" s="114">
        <v>0</v>
      </c>
      <c r="E78" s="114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  <c r="O78" s="114">
        <v>0</v>
      </c>
      <c r="P78" s="114">
        <v>0</v>
      </c>
      <c r="Q78" s="114">
        <f t="shared" si="1"/>
        <v>0</v>
      </c>
    </row>
    <row r="79" spans="1:17" hidden="1" outlineLevel="1" x14ac:dyDescent="0.25">
      <c r="A79" s="89" t="s">
        <v>108</v>
      </c>
      <c r="B79" s="114">
        <v>1995</v>
      </c>
      <c r="C79" s="114">
        <v>0</v>
      </c>
      <c r="D79" s="114">
        <v>0</v>
      </c>
      <c r="E79" s="114">
        <v>0</v>
      </c>
      <c r="F79" s="114">
        <v>0</v>
      </c>
      <c r="G79" s="114">
        <v>0</v>
      </c>
      <c r="H79" s="114">
        <v>0</v>
      </c>
      <c r="I79" s="114">
        <v>0</v>
      </c>
      <c r="J79" s="114">
        <v>0</v>
      </c>
      <c r="K79" s="114">
        <v>0</v>
      </c>
      <c r="L79" s="114">
        <v>0</v>
      </c>
      <c r="M79" s="114">
        <v>0</v>
      </c>
      <c r="N79" s="114">
        <v>0</v>
      </c>
      <c r="O79" s="114">
        <v>0</v>
      </c>
      <c r="P79" s="114">
        <v>0</v>
      </c>
      <c r="Q79" s="114">
        <f t="shared" si="1"/>
        <v>-1995</v>
      </c>
    </row>
    <row r="80" spans="1:17" hidden="1" outlineLevel="1" x14ac:dyDescent="0.25">
      <c r="A80" s="89" t="s">
        <v>109</v>
      </c>
      <c r="B80" s="114">
        <v>7885</v>
      </c>
      <c r="C80" s="114">
        <v>0</v>
      </c>
      <c r="D80" s="114">
        <v>0</v>
      </c>
      <c r="E80" s="114">
        <v>0</v>
      </c>
      <c r="F80" s="114">
        <v>0</v>
      </c>
      <c r="G80" s="114">
        <v>0</v>
      </c>
      <c r="H80" s="114">
        <v>0</v>
      </c>
      <c r="I80" s="114">
        <v>0</v>
      </c>
      <c r="J80" s="114">
        <v>0</v>
      </c>
      <c r="K80" s="114">
        <v>0</v>
      </c>
      <c r="L80" s="114">
        <v>0</v>
      </c>
      <c r="M80" s="114">
        <v>0</v>
      </c>
      <c r="N80" s="114">
        <v>0</v>
      </c>
      <c r="O80" s="114">
        <v>0</v>
      </c>
      <c r="P80" s="114">
        <v>0</v>
      </c>
      <c r="Q80" s="114">
        <f t="shared" si="1"/>
        <v>-7885</v>
      </c>
    </row>
    <row r="81" spans="1:17" hidden="1" outlineLevel="1" x14ac:dyDescent="0.25">
      <c r="A81" s="118" t="s">
        <v>110</v>
      </c>
      <c r="B81" s="114">
        <v>2700</v>
      </c>
      <c r="C81" s="114">
        <v>0</v>
      </c>
      <c r="D81" s="114">
        <v>0</v>
      </c>
      <c r="E81" s="114">
        <v>0</v>
      </c>
      <c r="F81" s="114">
        <v>0</v>
      </c>
      <c r="G81" s="114">
        <v>0</v>
      </c>
      <c r="H81" s="114">
        <v>0</v>
      </c>
      <c r="I81" s="114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f t="shared" si="1"/>
        <v>-2700</v>
      </c>
    </row>
    <row r="82" spans="1:17" hidden="1" outlineLevel="1" x14ac:dyDescent="0.25">
      <c r="A82" s="118" t="s">
        <v>111</v>
      </c>
      <c r="B82" s="114">
        <v>180</v>
      </c>
      <c r="C82" s="114">
        <v>0</v>
      </c>
      <c r="D82" s="114">
        <v>0</v>
      </c>
      <c r="E82" s="114">
        <v>0</v>
      </c>
      <c r="F82" s="114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f t="shared" si="1"/>
        <v>-180</v>
      </c>
    </row>
    <row r="83" spans="1:17" hidden="1" outlineLevel="1" x14ac:dyDescent="0.25">
      <c r="A83" s="118" t="s">
        <v>112</v>
      </c>
      <c r="B83" s="114">
        <v>90</v>
      </c>
      <c r="C83" s="114">
        <v>0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  <c r="O83" s="114">
        <v>0</v>
      </c>
      <c r="P83" s="114">
        <v>0</v>
      </c>
      <c r="Q83" s="114">
        <f t="shared" si="1"/>
        <v>-90</v>
      </c>
    </row>
    <row r="84" spans="1:17" hidden="1" outlineLevel="1" x14ac:dyDescent="0.25">
      <c r="A84" s="118" t="s">
        <v>113</v>
      </c>
      <c r="B84" s="114">
        <v>952.46</v>
      </c>
      <c r="C84" s="114">
        <v>0</v>
      </c>
      <c r="D84" s="114">
        <v>0</v>
      </c>
      <c r="E84" s="114">
        <v>0</v>
      </c>
      <c r="F84" s="114">
        <v>0</v>
      </c>
      <c r="G84" s="114">
        <v>0</v>
      </c>
      <c r="H84" s="114">
        <v>0</v>
      </c>
      <c r="I84" s="114">
        <v>0</v>
      </c>
      <c r="J84" s="114">
        <v>0</v>
      </c>
      <c r="K84" s="114">
        <v>0</v>
      </c>
      <c r="L84" s="114">
        <v>0</v>
      </c>
      <c r="M84" s="114">
        <v>0</v>
      </c>
      <c r="N84" s="114">
        <v>0</v>
      </c>
      <c r="O84" s="114">
        <v>0</v>
      </c>
      <c r="P84" s="114">
        <v>0</v>
      </c>
      <c r="Q84" s="114">
        <f t="shared" si="1"/>
        <v>-952.46</v>
      </c>
    </row>
    <row r="85" spans="1:17" hidden="1" outlineLevel="1" x14ac:dyDescent="0.25">
      <c r="A85" s="116"/>
      <c r="B85" s="114"/>
      <c r="C85" s="114">
        <v>0</v>
      </c>
      <c r="D85" s="114">
        <v>0</v>
      </c>
      <c r="E85" s="114">
        <v>0</v>
      </c>
      <c r="F85" s="114">
        <v>0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0</v>
      </c>
      <c r="O85" s="114">
        <v>0</v>
      </c>
      <c r="P85" s="114">
        <v>0</v>
      </c>
      <c r="Q85" s="114">
        <f t="shared" si="1"/>
        <v>0</v>
      </c>
    </row>
    <row r="86" spans="1:17" collapsed="1" x14ac:dyDescent="0.25">
      <c r="A86" s="118" t="s">
        <v>107</v>
      </c>
      <c r="B86" s="114">
        <v>13802.46</v>
      </c>
      <c r="C86" s="114">
        <v>0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  <c r="O86" s="114">
        <v>0</v>
      </c>
      <c r="P86" s="114">
        <v>0</v>
      </c>
      <c r="Q86" s="114">
        <f t="shared" si="1"/>
        <v>-13802.46</v>
      </c>
    </row>
    <row r="87" spans="1:17" hidden="1" outlineLevel="1" x14ac:dyDescent="0.25">
      <c r="A87" s="116"/>
      <c r="B87" s="114"/>
      <c r="C87" s="114">
        <v>0</v>
      </c>
      <c r="D87" s="114">
        <v>0</v>
      </c>
      <c r="E87" s="114">
        <v>0</v>
      </c>
      <c r="F87" s="114">
        <v>0</v>
      </c>
      <c r="G87" s="114">
        <v>0</v>
      </c>
      <c r="H87" s="114">
        <v>0</v>
      </c>
      <c r="I87" s="114">
        <v>0</v>
      </c>
      <c r="J87" s="114">
        <v>0</v>
      </c>
      <c r="K87" s="114">
        <v>0</v>
      </c>
      <c r="L87" s="114">
        <v>0</v>
      </c>
      <c r="M87" s="114">
        <v>0</v>
      </c>
      <c r="N87" s="114">
        <v>0</v>
      </c>
      <c r="O87" s="114">
        <v>0</v>
      </c>
      <c r="P87" s="114">
        <v>0</v>
      </c>
      <c r="Q87" s="114">
        <f t="shared" si="1"/>
        <v>0</v>
      </c>
    </row>
    <row r="88" spans="1:17" hidden="1" outlineLevel="1" x14ac:dyDescent="0.25">
      <c r="A88" s="118" t="s">
        <v>114</v>
      </c>
      <c r="B88" s="114"/>
      <c r="C88" s="114">
        <v>0</v>
      </c>
      <c r="D88" s="114">
        <v>0</v>
      </c>
      <c r="E88" s="114">
        <v>0</v>
      </c>
      <c r="F88" s="114">
        <v>0</v>
      </c>
      <c r="G88" s="114">
        <v>0</v>
      </c>
      <c r="H88" s="114">
        <v>0</v>
      </c>
      <c r="I88" s="114">
        <v>0</v>
      </c>
      <c r="J88" s="114">
        <v>0</v>
      </c>
      <c r="K88" s="114">
        <v>0</v>
      </c>
      <c r="L88" s="114">
        <v>0</v>
      </c>
      <c r="M88" s="114">
        <v>0</v>
      </c>
      <c r="N88" s="114">
        <v>0</v>
      </c>
      <c r="O88" s="114">
        <v>0</v>
      </c>
      <c r="P88" s="114">
        <v>0</v>
      </c>
      <c r="Q88" s="114">
        <f t="shared" si="1"/>
        <v>0</v>
      </c>
    </row>
    <row r="89" spans="1:17" hidden="1" outlineLevel="1" x14ac:dyDescent="0.25">
      <c r="A89" s="118" t="s">
        <v>115</v>
      </c>
      <c r="B89" s="114">
        <v>3532.03</v>
      </c>
      <c r="C89" s="114">
        <v>0</v>
      </c>
      <c r="D89" s="114">
        <v>0</v>
      </c>
      <c r="E89" s="114">
        <v>0</v>
      </c>
      <c r="F89" s="114">
        <v>0</v>
      </c>
      <c r="G89" s="114">
        <v>0</v>
      </c>
      <c r="H89" s="114">
        <v>0</v>
      </c>
      <c r="I89" s="114">
        <v>0</v>
      </c>
      <c r="J89" s="114">
        <v>0</v>
      </c>
      <c r="K89" s="114">
        <v>0</v>
      </c>
      <c r="L89" s="114">
        <v>0</v>
      </c>
      <c r="M89" s="114">
        <v>0</v>
      </c>
      <c r="N89" s="114">
        <v>0</v>
      </c>
      <c r="O89" s="114">
        <v>0</v>
      </c>
      <c r="P89" s="114">
        <v>0</v>
      </c>
      <c r="Q89" s="114">
        <f t="shared" si="1"/>
        <v>-3532.03</v>
      </c>
    </row>
    <row r="90" spans="1:17" collapsed="1" x14ac:dyDescent="0.25">
      <c r="A90" s="118" t="s">
        <v>114</v>
      </c>
      <c r="B90" s="114">
        <v>3532.03</v>
      </c>
      <c r="C90" s="114">
        <v>0</v>
      </c>
      <c r="D90" s="114">
        <v>0</v>
      </c>
      <c r="E90" s="114">
        <v>0</v>
      </c>
      <c r="F90" s="114">
        <v>0</v>
      </c>
      <c r="G90" s="114">
        <v>0</v>
      </c>
      <c r="H90" s="114">
        <v>0</v>
      </c>
      <c r="I90" s="114">
        <v>0</v>
      </c>
      <c r="J90" s="114">
        <v>0</v>
      </c>
      <c r="K90" s="114">
        <v>0</v>
      </c>
      <c r="L90" s="114">
        <v>0</v>
      </c>
      <c r="M90" s="114">
        <v>0</v>
      </c>
      <c r="N90" s="114">
        <v>0</v>
      </c>
      <c r="O90" s="114">
        <v>0</v>
      </c>
      <c r="P90" s="114">
        <v>0</v>
      </c>
      <c r="Q90" s="114">
        <f t="shared" si="1"/>
        <v>-3532.03</v>
      </c>
    </row>
    <row r="91" spans="1:17" hidden="1" outlineLevel="1" x14ac:dyDescent="0.25">
      <c r="A91" s="116"/>
      <c r="B91" s="114"/>
      <c r="C91" s="114">
        <v>0</v>
      </c>
      <c r="D91" s="114">
        <v>0</v>
      </c>
      <c r="E91" s="114">
        <v>0</v>
      </c>
      <c r="F91" s="114">
        <v>0</v>
      </c>
      <c r="G91" s="114">
        <v>0</v>
      </c>
      <c r="H91" s="114">
        <v>0</v>
      </c>
      <c r="I91" s="114">
        <v>0</v>
      </c>
      <c r="J91" s="114">
        <v>0</v>
      </c>
      <c r="K91" s="114">
        <v>0</v>
      </c>
      <c r="L91" s="114">
        <v>0</v>
      </c>
      <c r="M91" s="114">
        <v>0</v>
      </c>
      <c r="N91" s="114">
        <v>0</v>
      </c>
      <c r="O91" s="114">
        <v>0</v>
      </c>
      <c r="P91" s="114">
        <v>0</v>
      </c>
      <c r="Q91" s="114">
        <f t="shared" si="1"/>
        <v>0</v>
      </c>
    </row>
    <row r="92" spans="1:17" hidden="1" outlineLevel="1" x14ac:dyDescent="0.25">
      <c r="A92" s="118" t="s">
        <v>116</v>
      </c>
      <c r="B92" s="114"/>
      <c r="C92" s="114">
        <v>0</v>
      </c>
      <c r="D92" s="114">
        <v>0</v>
      </c>
      <c r="E92" s="114">
        <v>0</v>
      </c>
      <c r="F92" s="114">
        <v>0</v>
      </c>
      <c r="G92" s="114">
        <v>0</v>
      </c>
      <c r="H92" s="114">
        <v>0</v>
      </c>
      <c r="I92" s="114">
        <v>0</v>
      </c>
      <c r="J92" s="114">
        <v>0</v>
      </c>
      <c r="K92" s="114">
        <v>0</v>
      </c>
      <c r="L92" s="114">
        <v>0</v>
      </c>
      <c r="M92" s="114">
        <v>0</v>
      </c>
      <c r="N92" s="114">
        <v>0</v>
      </c>
      <c r="O92" s="114">
        <v>0</v>
      </c>
      <c r="P92" s="114">
        <v>0</v>
      </c>
      <c r="Q92" s="114">
        <f t="shared" si="1"/>
        <v>0</v>
      </c>
    </row>
    <row r="93" spans="1:17" hidden="1" outlineLevel="2" x14ac:dyDescent="0.25">
      <c r="A93" s="118" t="s">
        <v>117</v>
      </c>
      <c r="B93" s="114">
        <v>0</v>
      </c>
      <c r="C93" s="114">
        <v>0</v>
      </c>
      <c r="D93" s="114">
        <v>0</v>
      </c>
      <c r="E93" s="114">
        <v>0</v>
      </c>
      <c r="F93" s="114">
        <v>0</v>
      </c>
      <c r="G93" s="114">
        <v>0</v>
      </c>
      <c r="H93" s="114">
        <v>0</v>
      </c>
      <c r="I93" s="114">
        <v>0</v>
      </c>
      <c r="J93" s="114">
        <v>0</v>
      </c>
      <c r="K93" s="114">
        <v>0</v>
      </c>
      <c r="L93" s="114">
        <v>0</v>
      </c>
      <c r="M93" s="114">
        <v>0</v>
      </c>
      <c r="N93" s="114">
        <v>0</v>
      </c>
      <c r="O93" s="114">
        <v>0</v>
      </c>
      <c r="P93" s="114">
        <v>0</v>
      </c>
      <c r="Q93" s="114">
        <f t="shared" si="1"/>
        <v>0</v>
      </c>
    </row>
    <row r="94" spans="1:17" hidden="1" outlineLevel="2" x14ac:dyDescent="0.25">
      <c r="A94" s="118" t="s">
        <v>118</v>
      </c>
      <c r="B94" s="114">
        <v>0</v>
      </c>
      <c r="C94" s="114">
        <v>0</v>
      </c>
      <c r="D94" s="114">
        <v>0</v>
      </c>
      <c r="E94" s="114">
        <v>0</v>
      </c>
      <c r="F94" s="114">
        <v>0</v>
      </c>
      <c r="G94" s="114">
        <v>0</v>
      </c>
      <c r="H94" s="114">
        <v>0</v>
      </c>
      <c r="I94" s="114">
        <v>0</v>
      </c>
      <c r="J94" s="114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f t="shared" si="1"/>
        <v>0</v>
      </c>
    </row>
    <row r="95" spans="1:17" hidden="1" outlineLevel="2" x14ac:dyDescent="0.25">
      <c r="A95" s="118" t="s">
        <v>119</v>
      </c>
      <c r="B95" s="114">
        <v>0</v>
      </c>
      <c r="C95" s="114">
        <v>0</v>
      </c>
      <c r="D95" s="114">
        <v>0</v>
      </c>
      <c r="E95" s="114">
        <v>0</v>
      </c>
      <c r="F95" s="114">
        <v>0</v>
      </c>
      <c r="G95" s="114">
        <v>0</v>
      </c>
      <c r="H95" s="114">
        <v>0</v>
      </c>
      <c r="I95" s="114">
        <v>0</v>
      </c>
      <c r="J95" s="114">
        <v>0</v>
      </c>
      <c r="K95" s="114">
        <v>0</v>
      </c>
      <c r="L95" s="114">
        <v>0</v>
      </c>
      <c r="M95" s="114">
        <v>0</v>
      </c>
      <c r="N95" s="114">
        <v>0</v>
      </c>
      <c r="O95" s="114">
        <v>0</v>
      </c>
      <c r="P95" s="114">
        <v>0</v>
      </c>
      <c r="Q95" s="114">
        <f t="shared" si="1"/>
        <v>0</v>
      </c>
    </row>
    <row r="96" spans="1:17" hidden="1" outlineLevel="2" x14ac:dyDescent="0.25">
      <c r="A96" s="118" t="s">
        <v>120</v>
      </c>
      <c r="B96" s="114">
        <v>0</v>
      </c>
      <c r="C96" s="114">
        <v>0</v>
      </c>
      <c r="D96" s="114">
        <v>0</v>
      </c>
      <c r="E96" s="114">
        <v>0</v>
      </c>
      <c r="F96" s="114">
        <v>0</v>
      </c>
      <c r="G96" s="114">
        <v>0</v>
      </c>
      <c r="H96" s="114">
        <v>0</v>
      </c>
      <c r="I96" s="114">
        <v>0</v>
      </c>
      <c r="J96" s="114">
        <v>0</v>
      </c>
      <c r="K96" s="114">
        <v>0</v>
      </c>
      <c r="L96" s="114">
        <v>0</v>
      </c>
      <c r="M96" s="114">
        <v>0</v>
      </c>
      <c r="N96" s="114">
        <v>0</v>
      </c>
      <c r="O96" s="114">
        <v>0</v>
      </c>
      <c r="P96" s="114">
        <v>0</v>
      </c>
      <c r="Q96" s="114">
        <f t="shared" si="1"/>
        <v>0</v>
      </c>
    </row>
    <row r="97" spans="1:17" hidden="1" outlineLevel="2" x14ac:dyDescent="0.25">
      <c r="A97" s="118" t="s">
        <v>121</v>
      </c>
      <c r="B97" s="114">
        <v>0</v>
      </c>
      <c r="C97" s="114">
        <v>0</v>
      </c>
      <c r="D97" s="114">
        <v>0</v>
      </c>
      <c r="E97" s="114">
        <v>0</v>
      </c>
      <c r="F97" s="114">
        <v>0</v>
      </c>
      <c r="G97" s="114">
        <v>0</v>
      </c>
      <c r="H97" s="114">
        <v>0</v>
      </c>
      <c r="I97" s="114">
        <v>0</v>
      </c>
      <c r="J97" s="114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114">
        <v>0</v>
      </c>
      <c r="Q97" s="114">
        <f t="shared" si="1"/>
        <v>0</v>
      </c>
    </row>
    <row r="98" spans="1:17" hidden="1" outlineLevel="2" x14ac:dyDescent="0.25">
      <c r="A98" s="118" t="s">
        <v>122</v>
      </c>
      <c r="B98" s="114">
        <v>0</v>
      </c>
      <c r="C98" s="114">
        <v>0</v>
      </c>
      <c r="D98" s="114">
        <v>0</v>
      </c>
      <c r="E98" s="114">
        <v>0</v>
      </c>
      <c r="F98" s="114">
        <v>0</v>
      </c>
      <c r="G98" s="114">
        <v>0</v>
      </c>
      <c r="H98" s="114">
        <v>0</v>
      </c>
      <c r="I98" s="114">
        <v>0</v>
      </c>
      <c r="J98" s="114">
        <v>0</v>
      </c>
      <c r="K98" s="114">
        <v>0</v>
      </c>
      <c r="L98" s="114">
        <v>0</v>
      </c>
      <c r="M98" s="114">
        <v>0</v>
      </c>
      <c r="N98" s="114">
        <v>0</v>
      </c>
      <c r="O98" s="114">
        <v>0</v>
      </c>
      <c r="P98" s="114">
        <v>0</v>
      </c>
      <c r="Q98" s="114">
        <f t="shared" si="1"/>
        <v>0</v>
      </c>
    </row>
    <row r="99" spans="1:17" hidden="1" outlineLevel="2" x14ac:dyDescent="0.25">
      <c r="A99" s="118" t="s">
        <v>123</v>
      </c>
      <c r="B99" s="114">
        <v>0</v>
      </c>
      <c r="C99" s="114">
        <v>0</v>
      </c>
      <c r="D99" s="114">
        <v>0</v>
      </c>
      <c r="E99" s="114">
        <v>0</v>
      </c>
      <c r="F99" s="114">
        <v>0</v>
      </c>
      <c r="G99" s="114">
        <v>0</v>
      </c>
      <c r="H99" s="114">
        <v>0</v>
      </c>
      <c r="I99" s="114">
        <v>0</v>
      </c>
      <c r="J99" s="114">
        <v>0</v>
      </c>
      <c r="K99" s="114">
        <v>0</v>
      </c>
      <c r="L99" s="114">
        <v>0</v>
      </c>
      <c r="M99" s="114">
        <v>0</v>
      </c>
      <c r="N99" s="114">
        <v>0</v>
      </c>
      <c r="O99" s="114">
        <v>0</v>
      </c>
      <c r="P99" s="114">
        <v>0</v>
      </c>
      <c r="Q99" s="114">
        <f t="shared" si="1"/>
        <v>0</v>
      </c>
    </row>
    <row r="100" spans="1:17" hidden="1" outlineLevel="2" x14ac:dyDescent="0.25">
      <c r="A100" s="118" t="s">
        <v>124</v>
      </c>
      <c r="B100" s="114">
        <v>0</v>
      </c>
      <c r="C100" s="114">
        <v>0</v>
      </c>
      <c r="D100" s="114">
        <v>0</v>
      </c>
      <c r="E100" s="114">
        <v>0</v>
      </c>
      <c r="F100" s="114">
        <v>0</v>
      </c>
      <c r="G100" s="114">
        <v>0</v>
      </c>
      <c r="H100" s="114">
        <v>0</v>
      </c>
      <c r="I100" s="114">
        <v>0</v>
      </c>
      <c r="J100" s="114">
        <v>0</v>
      </c>
      <c r="K100" s="114">
        <v>0</v>
      </c>
      <c r="L100" s="114">
        <v>0</v>
      </c>
      <c r="M100" s="114">
        <v>0</v>
      </c>
      <c r="N100" s="114">
        <v>0</v>
      </c>
      <c r="O100" s="114">
        <v>0</v>
      </c>
      <c r="P100" s="114">
        <v>0</v>
      </c>
      <c r="Q100" s="114">
        <f t="shared" si="1"/>
        <v>0</v>
      </c>
    </row>
    <row r="101" spans="1:17" hidden="1" outlineLevel="2" x14ac:dyDescent="0.25">
      <c r="A101" s="118" t="s">
        <v>125</v>
      </c>
      <c r="B101" s="114">
        <v>0</v>
      </c>
      <c r="C101" s="114">
        <v>0</v>
      </c>
      <c r="D101" s="114">
        <v>0</v>
      </c>
      <c r="E101" s="114">
        <v>0</v>
      </c>
      <c r="F101" s="114">
        <v>0</v>
      </c>
      <c r="G101" s="114">
        <v>0</v>
      </c>
      <c r="H101" s="114">
        <v>0</v>
      </c>
      <c r="I101" s="114">
        <v>0</v>
      </c>
      <c r="J101" s="114">
        <v>0</v>
      </c>
      <c r="K101" s="114">
        <v>0</v>
      </c>
      <c r="L101" s="114">
        <v>0</v>
      </c>
      <c r="M101" s="114">
        <v>0</v>
      </c>
      <c r="N101" s="114">
        <v>0</v>
      </c>
      <c r="O101" s="114">
        <v>0</v>
      </c>
      <c r="P101" s="114">
        <v>0</v>
      </c>
      <c r="Q101" s="114">
        <f t="shared" si="1"/>
        <v>0</v>
      </c>
    </row>
    <row r="102" spans="1:17" hidden="1" outlineLevel="2" x14ac:dyDescent="0.25">
      <c r="A102" s="118" t="s">
        <v>126</v>
      </c>
      <c r="B102" s="114">
        <v>0</v>
      </c>
      <c r="C102" s="114">
        <v>0</v>
      </c>
      <c r="D102" s="114">
        <v>0</v>
      </c>
      <c r="E102" s="114">
        <v>0</v>
      </c>
      <c r="F102" s="114">
        <v>0</v>
      </c>
      <c r="G102" s="114">
        <v>0</v>
      </c>
      <c r="H102" s="114">
        <v>0</v>
      </c>
      <c r="I102" s="114">
        <v>0</v>
      </c>
      <c r="J102" s="114">
        <v>0</v>
      </c>
      <c r="K102" s="114">
        <v>0</v>
      </c>
      <c r="L102" s="114">
        <v>0</v>
      </c>
      <c r="M102" s="114">
        <v>0</v>
      </c>
      <c r="N102" s="114">
        <v>0</v>
      </c>
      <c r="O102" s="114">
        <v>0</v>
      </c>
      <c r="P102" s="114">
        <v>0</v>
      </c>
      <c r="Q102" s="114">
        <f t="shared" si="1"/>
        <v>0</v>
      </c>
    </row>
    <row r="103" spans="1:17" hidden="1" outlineLevel="2" x14ac:dyDescent="0.25">
      <c r="A103" s="116"/>
      <c r="B103" s="114"/>
      <c r="C103" s="114">
        <v>0</v>
      </c>
      <c r="D103" s="114">
        <v>0</v>
      </c>
      <c r="E103" s="114">
        <v>0</v>
      </c>
      <c r="F103" s="114">
        <v>0</v>
      </c>
      <c r="G103" s="114">
        <v>0</v>
      </c>
      <c r="H103" s="114">
        <v>0</v>
      </c>
      <c r="I103" s="114">
        <v>0</v>
      </c>
      <c r="J103" s="114">
        <v>0</v>
      </c>
      <c r="K103" s="114">
        <v>0</v>
      </c>
      <c r="L103" s="114">
        <v>0</v>
      </c>
      <c r="M103" s="114">
        <v>0</v>
      </c>
      <c r="N103" s="114">
        <v>0</v>
      </c>
      <c r="O103" s="114">
        <v>0</v>
      </c>
      <c r="P103" s="114">
        <v>0</v>
      </c>
      <c r="Q103" s="114">
        <f t="shared" si="1"/>
        <v>0</v>
      </c>
    </row>
    <row r="104" spans="1:17" hidden="1" outlineLevel="1" x14ac:dyDescent="0.25">
      <c r="A104" s="116" t="s">
        <v>127</v>
      </c>
      <c r="B104" s="114">
        <v>0</v>
      </c>
      <c r="C104" s="114">
        <v>0</v>
      </c>
      <c r="D104" s="114">
        <v>0</v>
      </c>
      <c r="E104" s="114">
        <v>0</v>
      </c>
      <c r="F104" s="114">
        <v>0</v>
      </c>
      <c r="G104" s="114">
        <v>0</v>
      </c>
      <c r="H104" s="114">
        <v>0</v>
      </c>
      <c r="I104" s="114">
        <v>0</v>
      </c>
      <c r="J104" s="114">
        <v>0</v>
      </c>
      <c r="K104" s="114">
        <v>0</v>
      </c>
      <c r="L104" s="114">
        <v>0</v>
      </c>
      <c r="M104" s="114">
        <v>0</v>
      </c>
      <c r="N104" s="114">
        <v>0</v>
      </c>
      <c r="O104" s="114">
        <v>0</v>
      </c>
      <c r="P104" s="114">
        <v>0</v>
      </c>
      <c r="Q104" s="114">
        <f t="shared" si="1"/>
        <v>0</v>
      </c>
    </row>
    <row r="105" spans="1:17" hidden="1" outlineLevel="1" x14ac:dyDescent="0.25">
      <c r="A105" s="116"/>
      <c r="B105" s="114"/>
      <c r="C105" s="114">
        <v>0</v>
      </c>
      <c r="D105" s="114">
        <v>0</v>
      </c>
      <c r="E105" s="114">
        <v>0</v>
      </c>
      <c r="F105" s="114">
        <v>0</v>
      </c>
      <c r="G105" s="114">
        <v>0</v>
      </c>
      <c r="H105" s="114">
        <v>0</v>
      </c>
      <c r="I105" s="114">
        <v>0</v>
      </c>
      <c r="J105" s="114">
        <v>0</v>
      </c>
      <c r="K105" s="114">
        <v>0</v>
      </c>
      <c r="L105" s="114">
        <v>0</v>
      </c>
      <c r="M105" s="114">
        <v>0</v>
      </c>
      <c r="N105" s="114">
        <v>0</v>
      </c>
      <c r="O105" s="114">
        <v>0</v>
      </c>
      <c r="P105" s="114">
        <v>0</v>
      </c>
      <c r="Q105" s="114">
        <f t="shared" si="1"/>
        <v>0</v>
      </c>
    </row>
    <row r="106" spans="1:17" hidden="1" outlineLevel="1" x14ac:dyDescent="0.25">
      <c r="A106" s="118" t="s">
        <v>128</v>
      </c>
      <c r="B106" s="114"/>
      <c r="C106" s="114">
        <v>0</v>
      </c>
      <c r="D106" s="114">
        <v>0</v>
      </c>
      <c r="E106" s="114">
        <v>0</v>
      </c>
      <c r="F106" s="114">
        <v>0</v>
      </c>
      <c r="G106" s="114">
        <v>0</v>
      </c>
      <c r="H106" s="114">
        <v>0</v>
      </c>
      <c r="I106" s="114">
        <v>0</v>
      </c>
      <c r="J106" s="114">
        <v>0</v>
      </c>
      <c r="K106" s="114">
        <v>0</v>
      </c>
      <c r="L106" s="114">
        <v>0</v>
      </c>
      <c r="M106" s="114">
        <v>0</v>
      </c>
      <c r="N106" s="114">
        <v>0</v>
      </c>
      <c r="O106" s="114">
        <v>0</v>
      </c>
      <c r="P106" s="114">
        <v>0</v>
      </c>
      <c r="Q106" s="114">
        <f t="shared" si="1"/>
        <v>0</v>
      </c>
    </row>
    <row r="107" spans="1:17" hidden="1" outlineLevel="1" x14ac:dyDescent="0.25">
      <c r="A107" s="118"/>
      <c r="B107" s="114"/>
      <c r="C107" s="114">
        <v>0</v>
      </c>
      <c r="D107" s="114">
        <v>0</v>
      </c>
      <c r="E107" s="114">
        <v>0</v>
      </c>
      <c r="F107" s="114">
        <v>0</v>
      </c>
      <c r="G107" s="114">
        <v>0</v>
      </c>
      <c r="H107" s="114">
        <v>0</v>
      </c>
      <c r="I107" s="114">
        <v>0</v>
      </c>
      <c r="J107" s="114">
        <v>0</v>
      </c>
      <c r="K107" s="114">
        <v>0</v>
      </c>
      <c r="L107" s="114">
        <v>0</v>
      </c>
      <c r="M107" s="114">
        <v>0</v>
      </c>
      <c r="N107" s="114">
        <v>0</v>
      </c>
      <c r="O107" s="114">
        <v>0</v>
      </c>
      <c r="P107" s="114">
        <v>0</v>
      </c>
      <c r="Q107" s="114">
        <f t="shared" si="1"/>
        <v>0</v>
      </c>
    </row>
    <row r="108" spans="1:17" hidden="1" outlineLevel="1" x14ac:dyDescent="0.25">
      <c r="A108" s="121" t="s">
        <v>129</v>
      </c>
      <c r="B108" s="114">
        <v>0</v>
      </c>
      <c r="C108" s="114">
        <v>0</v>
      </c>
      <c r="D108" s="114">
        <v>0</v>
      </c>
      <c r="E108" s="114">
        <v>0</v>
      </c>
      <c r="F108" s="114">
        <v>0</v>
      </c>
      <c r="G108" s="114">
        <v>0</v>
      </c>
      <c r="H108" s="114">
        <v>0</v>
      </c>
      <c r="I108" s="114">
        <v>0</v>
      </c>
      <c r="J108" s="114">
        <v>0</v>
      </c>
      <c r="K108" s="114">
        <v>0</v>
      </c>
      <c r="L108" s="114">
        <v>0</v>
      </c>
      <c r="M108" s="114">
        <v>0</v>
      </c>
      <c r="N108" s="114">
        <v>0</v>
      </c>
      <c r="O108" s="114">
        <v>0</v>
      </c>
      <c r="P108" s="114">
        <v>0</v>
      </c>
      <c r="Q108" s="114">
        <f t="shared" si="1"/>
        <v>0</v>
      </c>
    </row>
    <row r="109" spans="1:17" hidden="1" outlineLevel="1" x14ac:dyDescent="0.25">
      <c r="A109" s="121" t="s">
        <v>130</v>
      </c>
      <c r="B109" s="114">
        <v>119</v>
      </c>
      <c r="C109" s="114">
        <v>0</v>
      </c>
      <c r="D109" s="114">
        <v>0</v>
      </c>
      <c r="E109" s="114">
        <v>0</v>
      </c>
      <c r="F109" s="114">
        <v>0</v>
      </c>
      <c r="G109" s="114">
        <v>0</v>
      </c>
      <c r="H109" s="114">
        <v>0</v>
      </c>
      <c r="I109" s="114">
        <v>0</v>
      </c>
      <c r="J109" s="114">
        <v>0</v>
      </c>
      <c r="K109" s="114">
        <v>0</v>
      </c>
      <c r="L109" s="114">
        <v>0</v>
      </c>
      <c r="M109" s="114">
        <v>0</v>
      </c>
      <c r="N109" s="114">
        <v>0</v>
      </c>
      <c r="O109" s="114">
        <v>0</v>
      </c>
      <c r="P109" s="114">
        <v>0</v>
      </c>
      <c r="Q109" s="114">
        <f t="shared" si="1"/>
        <v>-119</v>
      </c>
    </row>
    <row r="110" spans="1:17" hidden="1" outlineLevel="1" x14ac:dyDescent="0.25">
      <c r="A110" s="121" t="s">
        <v>131</v>
      </c>
      <c r="B110" s="114">
        <v>106</v>
      </c>
      <c r="C110" s="114">
        <v>0</v>
      </c>
      <c r="D110" s="114">
        <v>0</v>
      </c>
      <c r="E110" s="114">
        <v>0</v>
      </c>
      <c r="F110" s="114">
        <v>0</v>
      </c>
      <c r="G110" s="114">
        <v>0</v>
      </c>
      <c r="H110" s="114">
        <v>0</v>
      </c>
      <c r="I110" s="114">
        <v>0</v>
      </c>
      <c r="J110" s="114">
        <v>0</v>
      </c>
      <c r="K110" s="114">
        <v>0</v>
      </c>
      <c r="L110" s="114">
        <v>0</v>
      </c>
      <c r="M110" s="114">
        <v>0</v>
      </c>
      <c r="N110" s="114">
        <v>0</v>
      </c>
      <c r="O110" s="114">
        <v>0</v>
      </c>
      <c r="P110" s="114">
        <v>0</v>
      </c>
      <c r="Q110" s="114">
        <f t="shared" si="1"/>
        <v>-106</v>
      </c>
    </row>
    <row r="111" spans="1:17" hidden="1" outlineLevel="1" x14ac:dyDescent="0.25">
      <c r="A111" s="121" t="s">
        <v>132</v>
      </c>
      <c r="B111" s="114">
        <v>2817</v>
      </c>
      <c r="C111" s="114">
        <v>0</v>
      </c>
      <c r="D111" s="114">
        <v>0</v>
      </c>
      <c r="E111" s="114">
        <v>0</v>
      </c>
      <c r="F111" s="114">
        <v>0</v>
      </c>
      <c r="G111" s="114">
        <v>0</v>
      </c>
      <c r="H111" s="114">
        <v>0</v>
      </c>
      <c r="I111" s="114">
        <v>0</v>
      </c>
      <c r="J111" s="114">
        <v>0</v>
      </c>
      <c r="K111" s="114">
        <v>0</v>
      </c>
      <c r="L111" s="114">
        <v>0</v>
      </c>
      <c r="M111" s="114">
        <v>0</v>
      </c>
      <c r="N111" s="114">
        <v>0</v>
      </c>
      <c r="O111" s="114">
        <v>0</v>
      </c>
      <c r="P111" s="114">
        <v>0</v>
      </c>
      <c r="Q111" s="114">
        <f t="shared" si="1"/>
        <v>-2817</v>
      </c>
    </row>
    <row r="112" spans="1:17" hidden="1" outlineLevel="1" x14ac:dyDescent="0.25">
      <c r="A112" s="121" t="s">
        <v>133</v>
      </c>
      <c r="B112" s="114">
        <v>0</v>
      </c>
      <c r="C112" s="114">
        <v>0</v>
      </c>
      <c r="D112" s="114">
        <v>0</v>
      </c>
      <c r="E112" s="114">
        <v>0</v>
      </c>
      <c r="F112" s="114">
        <v>0</v>
      </c>
      <c r="G112" s="114">
        <v>0</v>
      </c>
      <c r="H112" s="114">
        <v>0</v>
      </c>
      <c r="I112" s="114">
        <v>0</v>
      </c>
      <c r="J112" s="114">
        <v>0</v>
      </c>
      <c r="K112" s="114">
        <v>0</v>
      </c>
      <c r="L112" s="114">
        <v>0</v>
      </c>
      <c r="M112" s="114">
        <v>0</v>
      </c>
      <c r="N112" s="114">
        <v>0</v>
      </c>
      <c r="O112" s="114">
        <v>0</v>
      </c>
      <c r="P112" s="114">
        <v>0</v>
      </c>
      <c r="Q112" s="114">
        <f t="shared" si="1"/>
        <v>0</v>
      </c>
    </row>
    <row r="113" spans="1:17" hidden="1" outlineLevel="1" x14ac:dyDescent="0.25">
      <c r="A113" s="121" t="s">
        <v>134</v>
      </c>
      <c r="B113" s="114">
        <v>0</v>
      </c>
      <c r="C113" s="114">
        <v>0</v>
      </c>
      <c r="D113" s="114">
        <v>0</v>
      </c>
      <c r="E113" s="114">
        <v>0</v>
      </c>
      <c r="F113" s="114">
        <v>0</v>
      </c>
      <c r="G113" s="114">
        <v>0</v>
      </c>
      <c r="H113" s="114">
        <v>0</v>
      </c>
      <c r="I113" s="114">
        <v>0</v>
      </c>
      <c r="J113" s="114">
        <v>0</v>
      </c>
      <c r="K113" s="114">
        <v>0</v>
      </c>
      <c r="L113" s="114">
        <v>0</v>
      </c>
      <c r="M113" s="114">
        <v>0</v>
      </c>
      <c r="N113" s="114">
        <v>0</v>
      </c>
      <c r="O113" s="114">
        <v>0</v>
      </c>
      <c r="P113" s="114">
        <v>0</v>
      </c>
      <c r="Q113" s="114">
        <f t="shared" si="1"/>
        <v>0</v>
      </c>
    </row>
    <row r="114" spans="1:17" hidden="1" outlineLevel="1" x14ac:dyDescent="0.25">
      <c r="A114" s="121" t="s">
        <v>135</v>
      </c>
      <c r="B114" s="114">
        <v>192</v>
      </c>
      <c r="C114" s="114">
        <v>0</v>
      </c>
      <c r="D114" s="114">
        <v>0</v>
      </c>
      <c r="E114" s="114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>
        <v>0</v>
      </c>
      <c r="N114" s="114">
        <v>0</v>
      </c>
      <c r="O114" s="114">
        <v>0</v>
      </c>
      <c r="P114" s="114">
        <v>0</v>
      </c>
      <c r="Q114" s="114">
        <f t="shared" si="1"/>
        <v>-192</v>
      </c>
    </row>
    <row r="115" spans="1:17" hidden="1" outlineLevel="1" x14ac:dyDescent="0.25">
      <c r="A115" s="121" t="s">
        <v>136</v>
      </c>
      <c r="B115" s="114">
        <v>879</v>
      </c>
      <c r="C115" s="114">
        <v>0</v>
      </c>
      <c r="D115" s="114">
        <v>0</v>
      </c>
      <c r="E115" s="114">
        <v>0</v>
      </c>
      <c r="F115" s="114">
        <v>0</v>
      </c>
      <c r="G115" s="114">
        <v>0</v>
      </c>
      <c r="H115" s="114">
        <v>0</v>
      </c>
      <c r="I115" s="114">
        <v>0</v>
      </c>
      <c r="J115" s="114">
        <v>0</v>
      </c>
      <c r="K115" s="114">
        <v>0</v>
      </c>
      <c r="L115" s="114">
        <v>0</v>
      </c>
      <c r="M115" s="114">
        <v>0</v>
      </c>
      <c r="N115" s="114">
        <v>0</v>
      </c>
      <c r="O115" s="114">
        <v>0</v>
      </c>
      <c r="P115" s="114">
        <v>0</v>
      </c>
      <c r="Q115" s="114">
        <f t="shared" si="1"/>
        <v>-879</v>
      </c>
    </row>
    <row r="116" spans="1:17" collapsed="1" x14ac:dyDescent="0.25">
      <c r="A116" s="118" t="s">
        <v>128</v>
      </c>
      <c r="B116" s="114">
        <v>4113</v>
      </c>
      <c r="C116" s="114">
        <v>0</v>
      </c>
      <c r="D116" s="114">
        <v>0</v>
      </c>
      <c r="E116" s="114">
        <v>0</v>
      </c>
      <c r="F116" s="114">
        <v>0</v>
      </c>
      <c r="G116" s="114">
        <v>0</v>
      </c>
      <c r="H116" s="114">
        <v>0</v>
      </c>
      <c r="I116" s="114">
        <v>0</v>
      </c>
      <c r="J116" s="114">
        <v>0</v>
      </c>
      <c r="K116" s="114">
        <v>0</v>
      </c>
      <c r="L116" s="114">
        <v>0</v>
      </c>
      <c r="M116" s="114">
        <v>0</v>
      </c>
      <c r="N116" s="114">
        <v>0</v>
      </c>
      <c r="O116" s="114">
        <v>0</v>
      </c>
      <c r="P116" s="114">
        <v>0</v>
      </c>
      <c r="Q116" s="114">
        <f t="shared" si="1"/>
        <v>-4113</v>
      </c>
    </row>
    <row r="117" spans="1:17" x14ac:dyDescent="0.25">
      <c r="A117" s="118"/>
    </row>
    <row r="118" spans="1:17" x14ac:dyDescent="0.25">
      <c r="A118" s="107" t="s">
        <v>157</v>
      </c>
      <c r="B118" s="119">
        <f>B12+B20+B37+B45+B68+B76+B86+B90+B116</f>
        <v>152525.02999999997</v>
      </c>
      <c r="C118" s="119">
        <f>C12+C20+C37+C45+C68+C76+C86+C90+C116+B118</f>
        <v>152525.02999999997</v>
      </c>
      <c r="D118" s="119">
        <f t="shared" ref="D118:Q118" si="2">D12+D20+D37+D45+D68+D76+D86+D90+D116+C118</f>
        <v>152525.02999999997</v>
      </c>
      <c r="E118" s="119">
        <f t="shared" si="2"/>
        <v>152525.02999999997</v>
      </c>
      <c r="F118" s="119">
        <f t="shared" si="2"/>
        <v>152525.02999999997</v>
      </c>
      <c r="G118" s="119">
        <f t="shared" si="2"/>
        <v>152525.02999999997</v>
      </c>
      <c r="H118" s="119">
        <f t="shared" si="2"/>
        <v>152525.02999999997</v>
      </c>
      <c r="I118" s="119">
        <f t="shared" si="2"/>
        <v>152525.02999999997</v>
      </c>
      <c r="J118" s="119">
        <f t="shared" si="2"/>
        <v>152525.02999999997</v>
      </c>
      <c r="K118" s="119">
        <f t="shared" si="2"/>
        <v>152525.02999999997</v>
      </c>
      <c r="L118" s="119">
        <f t="shared" si="2"/>
        <v>152525.02999999997</v>
      </c>
      <c r="M118" s="119">
        <f t="shared" si="2"/>
        <v>152525.02999999997</v>
      </c>
      <c r="N118" s="119">
        <f t="shared" si="2"/>
        <v>152525.02999999997</v>
      </c>
      <c r="O118" s="119">
        <f t="shared" si="2"/>
        <v>152525.02999999997</v>
      </c>
      <c r="P118" s="119">
        <f t="shared" si="2"/>
        <v>152525.02999999997</v>
      </c>
      <c r="Q118" s="119">
        <f t="shared" si="2"/>
        <v>0</v>
      </c>
    </row>
    <row r="119" spans="1:17" x14ac:dyDescent="0.25">
      <c r="A119" s="118"/>
    </row>
    <row r="120" spans="1:17" x14ac:dyDescent="0.25">
      <c r="A120" s="109" t="s">
        <v>141</v>
      </c>
    </row>
    <row r="121" spans="1:17" ht="25.5" customHeight="1" x14ac:dyDescent="0.25">
      <c r="A121" s="129" t="s">
        <v>142</v>
      </c>
    </row>
    <row r="122" spans="1:17" x14ac:dyDescent="0.25">
      <c r="A122" s="113" t="s">
        <v>143</v>
      </c>
      <c r="C122" s="114">
        <v>0</v>
      </c>
      <c r="D122" s="114">
        <v>0</v>
      </c>
      <c r="E122" s="114">
        <v>0</v>
      </c>
      <c r="F122" s="114">
        <v>0</v>
      </c>
      <c r="G122" s="114">
        <v>0</v>
      </c>
      <c r="H122" s="114">
        <v>0</v>
      </c>
      <c r="I122" s="114">
        <v>2802.5</v>
      </c>
      <c r="J122" s="114">
        <v>0</v>
      </c>
      <c r="K122" s="114">
        <v>0</v>
      </c>
      <c r="L122" s="114">
        <v>0</v>
      </c>
      <c r="M122" s="114">
        <v>0</v>
      </c>
      <c r="N122" s="114">
        <v>0</v>
      </c>
      <c r="O122" s="114">
        <v>0</v>
      </c>
      <c r="P122" s="114">
        <v>0</v>
      </c>
      <c r="Q122" s="114">
        <v>0</v>
      </c>
    </row>
    <row r="123" spans="1:17" x14ac:dyDescent="0.25">
      <c r="A123" s="107" t="s">
        <v>158</v>
      </c>
      <c r="B123" s="120"/>
      <c r="C123" s="120">
        <f t="shared" ref="C123:I123" si="3">SUM(C122)</f>
        <v>0</v>
      </c>
      <c r="D123" s="120">
        <f t="shared" si="3"/>
        <v>0</v>
      </c>
      <c r="E123" s="120">
        <f t="shared" si="3"/>
        <v>0</v>
      </c>
      <c r="F123" s="120">
        <f t="shared" si="3"/>
        <v>0</v>
      </c>
      <c r="G123" s="120">
        <f t="shared" si="3"/>
        <v>0</v>
      </c>
      <c r="H123" s="120">
        <f t="shared" si="3"/>
        <v>0</v>
      </c>
      <c r="I123" s="120">
        <f t="shared" si="3"/>
        <v>2802.5</v>
      </c>
      <c r="J123" s="120">
        <f>I123+J122</f>
        <v>2802.5</v>
      </c>
      <c r="K123" s="120">
        <f t="shared" ref="K123:Q123" si="4">J123+K122</f>
        <v>2802.5</v>
      </c>
      <c r="L123" s="120">
        <f t="shared" si="4"/>
        <v>2802.5</v>
      </c>
      <c r="M123" s="120">
        <f t="shared" si="4"/>
        <v>2802.5</v>
      </c>
      <c r="N123" s="120">
        <f t="shared" si="4"/>
        <v>2802.5</v>
      </c>
      <c r="O123" s="120">
        <f t="shared" si="4"/>
        <v>2802.5</v>
      </c>
      <c r="P123" s="120">
        <f t="shared" si="4"/>
        <v>2802.5</v>
      </c>
      <c r="Q123" s="120">
        <f t="shared" si="4"/>
        <v>2802.5</v>
      </c>
    </row>
    <row r="124" spans="1:17" ht="6.75" customHeight="1" x14ac:dyDescent="0.25"/>
    <row r="125" spans="1:17" x14ac:dyDescent="0.25">
      <c r="A125" s="129" t="s">
        <v>144</v>
      </c>
    </row>
    <row r="126" spans="1:17" x14ac:dyDescent="0.25">
      <c r="A126" s="113" t="s">
        <v>145</v>
      </c>
      <c r="C126" s="114">
        <v>0</v>
      </c>
      <c r="D126" s="114">
        <v>0</v>
      </c>
      <c r="E126" s="114">
        <v>0</v>
      </c>
      <c r="F126" s="114">
        <v>22185.170000000002</v>
      </c>
      <c r="G126" s="114">
        <v>0</v>
      </c>
      <c r="H126" s="114">
        <v>0</v>
      </c>
      <c r="I126" s="114">
        <v>0</v>
      </c>
      <c r="J126" s="114">
        <v>0</v>
      </c>
      <c r="K126" s="114">
        <v>0</v>
      </c>
      <c r="L126" s="114">
        <v>0</v>
      </c>
      <c r="M126" s="114">
        <v>0</v>
      </c>
      <c r="N126" s="114">
        <v>0</v>
      </c>
      <c r="O126" s="114">
        <v>0</v>
      </c>
      <c r="P126" s="114">
        <v>0</v>
      </c>
      <c r="Q126" s="114">
        <v>0</v>
      </c>
    </row>
    <row r="127" spans="1:17" x14ac:dyDescent="0.25">
      <c r="A127" s="113" t="s">
        <v>146</v>
      </c>
      <c r="C127" s="114">
        <v>0</v>
      </c>
      <c r="D127" s="114">
        <v>0</v>
      </c>
      <c r="E127" s="114">
        <v>0</v>
      </c>
      <c r="F127" s="114">
        <v>0</v>
      </c>
      <c r="G127" s="114">
        <v>4911.0199999999995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>
        <v>0</v>
      </c>
      <c r="O127" s="114">
        <v>0</v>
      </c>
      <c r="P127" s="114">
        <v>0</v>
      </c>
      <c r="Q127" s="114">
        <v>0</v>
      </c>
    </row>
    <row r="128" spans="1:17" x14ac:dyDescent="0.25">
      <c r="A128" s="113" t="s">
        <v>147</v>
      </c>
      <c r="C128" s="114">
        <v>0</v>
      </c>
      <c r="D128" s="114">
        <v>0</v>
      </c>
      <c r="E128" s="114">
        <v>0</v>
      </c>
      <c r="F128" s="114">
        <v>0</v>
      </c>
      <c r="G128" s="114">
        <v>31.2</v>
      </c>
      <c r="H128" s="114">
        <v>0</v>
      </c>
      <c r="I128" s="114">
        <v>0</v>
      </c>
      <c r="J128" s="114">
        <v>0</v>
      </c>
      <c r="K128" s="114">
        <v>0</v>
      </c>
      <c r="L128" s="114">
        <v>0</v>
      </c>
      <c r="M128" s="114">
        <v>0</v>
      </c>
      <c r="N128" s="114">
        <v>0</v>
      </c>
      <c r="O128" s="114">
        <v>0</v>
      </c>
      <c r="P128" s="114">
        <v>0</v>
      </c>
      <c r="Q128" s="114">
        <v>0</v>
      </c>
    </row>
    <row r="129" spans="1:17" x14ac:dyDescent="0.25">
      <c r="A129" s="113" t="s">
        <v>148</v>
      </c>
      <c r="C129" s="114">
        <v>0</v>
      </c>
      <c r="D129" s="114">
        <v>0</v>
      </c>
      <c r="E129" s="114">
        <v>0</v>
      </c>
      <c r="F129" s="114">
        <v>0</v>
      </c>
      <c r="G129" s="114"/>
      <c r="H129" s="114">
        <v>0</v>
      </c>
      <c r="I129" s="114">
        <v>0</v>
      </c>
      <c r="J129" s="114">
        <v>0</v>
      </c>
      <c r="K129" s="114">
        <v>0</v>
      </c>
      <c r="L129" s="114">
        <v>131.55000000000001</v>
      </c>
      <c r="M129" s="114">
        <v>0</v>
      </c>
      <c r="N129" s="114">
        <v>0</v>
      </c>
      <c r="O129" s="114">
        <v>0</v>
      </c>
      <c r="P129" s="114">
        <v>0</v>
      </c>
      <c r="Q129" s="114">
        <v>0</v>
      </c>
    </row>
    <row r="130" spans="1:17" x14ac:dyDescent="0.25">
      <c r="A130" s="107" t="s">
        <v>127</v>
      </c>
      <c r="B130" s="120"/>
      <c r="C130" s="120">
        <f t="shared" ref="C130:E130" si="5">SUM(C126:C129)+B130</f>
        <v>0</v>
      </c>
      <c r="D130" s="120">
        <f t="shared" si="5"/>
        <v>0</v>
      </c>
      <c r="E130" s="120">
        <f t="shared" si="5"/>
        <v>0</v>
      </c>
      <c r="F130" s="120">
        <f>SUM(F126:F129)+E130</f>
        <v>22185.170000000002</v>
      </c>
      <c r="G130" s="120">
        <f t="shared" ref="G130:Q130" si="6">SUM(G126:G129)+F130</f>
        <v>27127.39</v>
      </c>
      <c r="H130" s="120">
        <f t="shared" si="6"/>
        <v>27127.39</v>
      </c>
      <c r="I130" s="120">
        <f t="shared" si="6"/>
        <v>27127.39</v>
      </c>
      <c r="J130" s="120">
        <f t="shared" si="6"/>
        <v>27127.39</v>
      </c>
      <c r="K130" s="120">
        <f t="shared" si="6"/>
        <v>27127.39</v>
      </c>
      <c r="L130" s="120">
        <f t="shared" si="6"/>
        <v>27258.94</v>
      </c>
      <c r="M130" s="120">
        <f t="shared" si="6"/>
        <v>27258.94</v>
      </c>
      <c r="N130" s="120">
        <f t="shared" si="6"/>
        <v>27258.94</v>
      </c>
      <c r="O130" s="120">
        <f t="shared" si="6"/>
        <v>27258.94</v>
      </c>
      <c r="P130" s="120">
        <f t="shared" si="6"/>
        <v>27258.94</v>
      </c>
      <c r="Q130" s="120">
        <f t="shared" si="6"/>
        <v>27258.94</v>
      </c>
    </row>
    <row r="131" spans="1:17" x14ac:dyDescent="0.25">
      <c r="A131" s="107"/>
    </row>
    <row r="132" spans="1:17" ht="15.75" thickBot="1" x14ac:dyDescent="0.3">
      <c r="A132" s="107" t="s">
        <v>160</v>
      </c>
      <c r="B132" s="128"/>
      <c r="C132" s="128">
        <f t="shared" ref="C132:E132" si="7">C130+B132+C123</f>
        <v>0</v>
      </c>
      <c r="D132" s="128">
        <f t="shared" si="7"/>
        <v>0</v>
      </c>
      <c r="E132" s="128">
        <f t="shared" si="7"/>
        <v>0</v>
      </c>
      <c r="F132" s="128">
        <f>F123+F130</f>
        <v>22185.170000000002</v>
      </c>
      <c r="G132" s="128">
        <f t="shared" ref="G132:Q132" si="8">G123+G130</f>
        <v>27127.39</v>
      </c>
      <c r="H132" s="128">
        <f t="shared" si="8"/>
        <v>27127.39</v>
      </c>
      <c r="I132" s="128">
        <f t="shared" si="8"/>
        <v>29929.89</v>
      </c>
      <c r="J132" s="128">
        <f t="shared" si="8"/>
        <v>29929.89</v>
      </c>
      <c r="K132" s="128">
        <f t="shared" si="8"/>
        <v>29929.89</v>
      </c>
      <c r="L132" s="128">
        <f t="shared" si="8"/>
        <v>30061.439999999999</v>
      </c>
      <c r="M132" s="128">
        <f t="shared" si="8"/>
        <v>30061.439999999999</v>
      </c>
      <c r="N132" s="128">
        <f t="shared" si="8"/>
        <v>30061.439999999999</v>
      </c>
      <c r="O132" s="128">
        <f t="shared" si="8"/>
        <v>30061.439999999999</v>
      </c>
      <c r="P132" s="128">
        <f t="shared" si="8"/>
        <v>30061.439999999999</v>
      </c>
      <c r="Q132" s="128">
        <f t="shared" si="8"/>
        <v>30061.439999999999</v>
      </c>
    </row>
    <row r="133" spans="1:17" x14ac:dyDescent="0.25">
      <c r="A133" s="118"/>
    </row>
    <row r="134" spans="1:17" ht="15.75" thickBot="1" x14ac:dyDescent="0.3">
      <c r="A134" s="127" t="s">
        <v>159</v>
      </c>
      <c r="B134" s="128">
        <f t="shared" ref="B134:Q134" si="9">B118+B132</f>
        <v>152525.02999999997</v>
      </c>
      <c r="C134" s="128">
        <f t="shared" si="9"/>
        <v>152525.02999999997</v>
      </c>
      <c r="D134" s="128">
        <f t="shared" si="9"/>
        <v>152525.02999999997</v>
      </c>
      <c r="E134" s="128">
        <f t="shared" si="9"/>
        <v>152525.02999999997</v>
      </c>
      <c r="F134" s="128">
        <f t="shared" si="9"/>
        <v>174710.19999999998</v>
      </c>
      <c r="G134" s="128">
        <f t="shared" si="9"/>
        <v>179652.41999999998</v>
      </c>
      <c r="H134" s="128">
        <f t="shared" si="9"/>
        <v>179652.41999999998</v>
      </c>
      <c r="I134" s="128">
        <f t="shared" si="9"/>
        <v>182454.91999999998</v>
      </c>
      <c r="J134" s="128">
        <f t="shared" si="9"/>
        <v>182454.91999999998</v>
      </c>
      <c r="K134" s="128">
        <f t="shared" si="9"/>
        <v>182454.91999999998</v>
      </c>
      <c r="L134" s="128">
        <f t="shared" si="9"/>
        <v>182586.46999999997</v>
      </c>
      <c r="M134" s="128">
        <f t="shared" si="9"/>
        <v>182586.46999999997</v>
      </c>
      <c r="N134" s="128">
        <f t="shared" si="9"/>
        <v>182586.46999999997</v>
      </c>
      <c r="O134" s="128">
        <f t="shared" si="9"/>
        <v>182586.46999999997</v>
      </c>
      <c r="P134" s="128">
        <f t="shared" si="9"/>
        <v>182586.46999999997</v>
      </c>
      <c r="Q134" s="128">
        <f t="shared" si="9"/>
        <v>30061.439999999999</v>
      </c>
    </row>
    <row r="135" spans="1:17" x14ac:dyDescent="0.25">
      <c r="A135" s="116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</row>
    <row r="136" spans="1:17" x14ac:dyDescent="0.25">
      <c r="A136" s="124" t="s">
        <v>149</v>
      </c>
    </row>
    <row r="137" spans="1:17" ht="20.25" customHeight="1" x14ac:dyDescent="0.25">
      <c r="A137" s="124" t="s">
        <v>137</v>
      </c>
      <c r="B137" s="125"/>
    </row>
    <row r="138" spans="1:17" hidden="1" x14ac:dyDescent="0.25">
      <c r="A138" s="113" t="s">
        <v>138</v>
      </c>
      <c r="B138" s="122" t="e">
        <f>#REF!-#REF!</f>
        <v>#REF!</v>
      </c>
    </row>
    <row r="139" spans="1:17" x14ac:dyDescent="0.25">
      <c r="A139" s="113" t="s">
        <v>139</v>
      </c>
      <c r="B139" s="114"/>
      <c r="C139" s="114">
        <f t="shared" ref="C139:Q139" si="10">ROUND(($B$12+$B$20+$B$37+$B$45+$B$68+$B$76+$B$86+$B$90+$B$116)*C3/12,2)</f>
        <v>190.66</v>
      </c>
      <c r="D139" s="114">
        <f t="shared" si="10"/>
        <v>190.66</v>
      </c>
      <c r="E139" s="114">
        <f t="shared" si="10"/>
        <v>190.66</v>
      </c>
      <c r="F139" s="114">
        <f t="shared" si="10"/>
        <v>190.66</v>
      </c>
      <c r="G139" s="114">
        <f t="shared" si="10"/>
        <v>190.66</v>
      </c>
      <c r="H139" s="114">
        <f t="shared" si="10"/>
        <v>190.66</v>
      </c>
      <c r="I139" s="114">
        <f t="shared" si="10"/>
        <v>240.23</v>
      </c>
      <c r="J139" s="114">
        <f t="shared" si="10"/>
        <v>240.23</v>
      </c>
      <c r="K139" s="114">
        <f t="shared" si="10"/>
        <v>240.23</v>
      </c>
      <c r="L139" s="114">
        <f t="shared" si="10"/>
        <v>240.23</v>
      </c>
      <c r="M139" s="114">
        <f t="shared" si="10"/>
        <v>240.23</v>
      </c>
      <c r="N139" s="114">
        <f t="shared" si="10"/>
        <v>240.23</v>
      </c>
      <c r="O139" s="114">
        <f t="shared" si="10"/>
        <v>275.82</v>
      </c>
      <c r="P139" s="114">
        <f t="shared" si="10"/>
        <v>275.82</v>
      </c>
      <c r="Q139" s="114">
        <f t="shared" si="10"/>
        <v>275.82</v>
      </c>
    </row>
    <row r="140" spans="1:17" x14ac:dyDescent="0.25">
      <c r="A140" s="113" t="s">
        <v>140</v>
      </c>
      <c r="B140" s="114">
        <v>5750.14</v>
      </c>
      <c r="C140" s="114">
        <f t="shared" ref="C140:Q140" si="11">C139+B140</f>
        <v>5940.8</v>
      </c>
      <c r="D140" s="114">
        <f t="shared" si="11"/>
        <v>6131.46</v>
      </c>
      <c r="E140" s="114">
        <f t="shared" si="11"/>
        <v>6322.12</v>
      </c>
      <c r="F140" s="114">
        <f t="shared" si="11"/>
        <v>6512.78</v>
      </c>
      <c r="G140" s="114">
        <f t="shared" si="11"/>
        <v>6703.44</v>
      </c>
      <c r="H140" s="114">
        <f t="shared" si="11"/>
        <v>6894.0999999999995</v>
      </c>
      <c r="I140" s="114">
        <f t="shared" si="11"/>
        <v>7134.329999999999</v>
      </c>
      <c r="J140" s="114">
        <f t="shared" si="11"/>
        <v>7374.5599999999986</v>
      </c>
      <c r="K140" s="114">
        <f t="shared" si="11"/>
        <v>7614.7899999999981</v>
      </c>
      <c r="L140" s="114">
        <f t="shared" si="11"/>
        <v>7855.0199999999977</v>
      </c>
      <c r="M140" s="114">
        <f t="shared" si="11"/>
        <v>8095.2499999999973</v>
      </c>
      <c r="N140" s="114">
        <f t="shared" si="11"/>
        <v>8335.4799999999977</v>
      </c>
      <c r="O140" s="114">
        <f t="shared" si="11"/>
        <v>8611.2999999999975</v>
      </c>
      <c r="P140" s="114">
        <f t="shared" si="11"/>
        <v>8887.1199999999972</v>
      </c>
      <c r="Q140" s="114">
        <f t="shared" si="11"/>
        <v>9162.9399999999969</v>
      </c>
    </row>
    <row r="141" spans="1:17" x14ac:dyDescent="0.25">
      <c r="A141" s="100" t="s">
        <v>32</v>
      </c>
      <c r="C141" s="114">
        <v>0</v>
      </c>
      <c r="D141" s="114">
        <v>0</v>
      </c>
      <c r="E141" s="114">
        <v>0</v>
      </c>
      <c r="F141" s="114">
        <v>0</v>
      </c>
      <c r="G141" s="114">
        <v>0</v>
      </c>
      <c r="H141" s="114">
        <v>0</v>
      </c>
      <c r="I141" s="114">
        <v>0</v>
      </c>
      <c r="J141" s="114">
        <v>0</v>
      </c>
      <c r="K141" s="114">
        <v>0</v>
      </c>
      <c r="L141" s="114">
        <v>0</v>
      </c>
      <c r="M141" s="114">
        <v>0</v>
      </c>
      <c r="N141" s="114">
        <v>0</v>
      </c>
      <c r="O141" s="114">
        <v>0</v>
      </c>
      <c r="P141" s="114">
        <v>0</v>
      </c>
      <c r="Q141" s="114">
        <f>-B140</f>
        <v>-5750.14</v>
      </c>
    </row>
    <row r="142" spans="1:17" x14ac:dyDescent="0.25">
      <c r="A142" s="100" t="s">
        <v>33</v>
      </c>
      <c r="C142" s="114">
        <v>0</v>
      </c>
      <c r="D142" s="114">
        <v>0</v>
      </c>
      <c r="E142" s="114">
        <v>0</v>
      </c>
      <c r="F142" s="114">
        <v>0</v>
      </c>
      <c r="G142" s="114">
        <v>0</v>
      </c>
      <c r="H142" s="114">
        <v>0</v>
      </c>
      <c r="I142" s="114">
        <v>0</v>
      </c>
      <c r="J142" s="114">
        <v>0</v>
      </c>
      <c r="K142" s="114">
        <v>0</v>
      </c>
      <c r="L142" s="114">
        <v>0</v>
      </c>
      <c r="M142" s="114">
        <v>0</v>
      </c>
      <c r="N142" s="114">
        <v>0</v>
      </c>
      <c r="O142" s="114">
        <v>0</v>
      </c>
      <c r="P142" s="114">
        <v>0</v>
      </c>
      <c r="Q142" s="114">
        <f>-Q140-Q141</f>
        <v>-3412.7999999999965</v>
      </c>
    </row>
    <row r="143" spans="1:17" ht="7.5" customHeight="1" x14ac:dyDescent="0.25"/>
    <row r="144" spans="1:17" x14ac:dyDescent="0.25">
      <c r="A144" s="124" t="s">
        <v>149</v>
      </c>
    </row>
    <row r="145" spans="1:18" x14ac:dyDescent="0.25">
      <c r="A145" s="113" t="s">
        <v>150</v>
      </c>
      <c r="C145" s="114">
        <f t="shared" ref="C145:Q145" si="12">ROUND((B123)*C3/12,2)</f>
        <v>0</v>
      </c>
      <c r="D145" s="114">
        <f t="shared" si="12"/>
        <v>0</v>
      </c>
      <c r="E145" s="114">
        <f t="shared" si="12"/>
        <v>0</v>
      </c>
      <c r="F145" s="114">
        <f t="shared" si="12"/>
        <v>0</v>
      </c>
      <c r="G145" s="114">
        <f t="shared" si="12"/>
        <v>0</v>
      </c>
      <c r="H145" s="114">
        <f t="shared" si="12"/>
        <v>0</v>
      </c>
      <c r="I145" s="114">
        <f t="shared" si="12"/>
        <v>0</v>
      </c>
      <c r="J145" s="114">
        <f t="shared" si="12"/>
        <v>4.41</v>
      </c>
      <c r="K145" s="114">
        <f t="shared" si="12"/>
        <v>4.41</v>
      </c>
      <c r="L145" s="114">
        <f t="shared" si="12"/>
        <v>4.41</v>
      </c>
      <c r="M145" s="114">
        <f t="shared" si="12"/>
        <v>4.41</v>
      </c>
      <c r="N145" s="114">
        <f t="shared" si="12"/>
        <v>4.41</v>
      </c>
      <c r="O145" s="114">
        <f t="shared" si="12"/>
        <v>5.07</v>
      </c>
      <c r="P145" s="114">
        <f t="shared" si="12"/>
        <v>5.07</v>
      </c>
      <c r="Q145" s="114">
        <f t="shared" si="12"/>
        <v>5.07</v>
      </c>
      <c r="R145" s="114">
        <f>ROUND(Q123*Q$3,2)</f>
        <v>60.81</v>
      </c>
    </row>
    <row r="146" spans="1:18" x14ac:dyDescent="0.25">
      <c r="A146" s="113" t="s">
        <v>151</v>
      </c>
      <c r="C146" s="114">
        <f>C145+B146</f>
        <v>0</v>
      </c>
      <c r="D146" s="114">
        <f t="shared" ref="D146:P146" si="13">D145+C146</f>
        <v>0</v>
      </c>
      <c r="E146" s="114">
        <f t="shared" si="13"/>
        <v>0</v>
      </c>
      <c r="F146" s="114">
        <f t="shared" si="13"/>
        <v>0</v>
      </c>
      <c r="G146" s="114">
        <f t="shared" si="13"/>
        <v>0</v>
      </c>
      <c r="H146" s="114">
        <f t="shared" si="13"/>
        <v>0</v>
      </c>
      <c r="I146" s="114">
        <f t="shared" si="13"/>
        <v>0</v>
      </c>
      <c r="J146" s="114">
        <f t="shared" si="13"/>
        <v>4.41</v>
      </c>
      <c r="K146" s="114">
        <f t="shared" si="13"/>
        <v>8.82</v>
      </c>
      <c r="L146" s="114">
        <f t="shared" si="13"/>
        <v>13.23</v>
      </c>
      <c r="M146" s="114">
        <f t="shared" si="13"/>
        <v>17.64</v>
      </c>
      <c r="N146" s="114">
        <f t="shared" si="13"/>
        <v>22.05</v>
      </c>
      <c r="O146" s="114">
        <f t="shared" si="13"/>
        <v>27.12</v>
      </c>
      <c r="P146" s="114">
        <f t="shared" si="13"/>
        <v>32.19</v>
      </c>
      <c r="Q146" s="114">
        <f>Q145+P146</f>
        <v>37.26</v>
      </c>
    </row>
    <row r="147" spans="1:18" ht="10.5" customHeight="1" x14ac:dyDescent="0.25">
      <c r="A147" s="124"/>
    </row>
    <row r="148" spans="1:18" x14ac:dyDescent="0.25">
      <c r="A148" s="113" t="s">
        <v>152</v>
      </c>
      <c r="C148" s="114">
        <f t="shared" ref="C148:Q148" si="14">ROUND((B130)*C3/12,2)</f>
        <v>0</v>
      </c>
      <c r="D148" s="114">
        <f t="shared" si="14"/>
        <v>0</v>
      </c>
      <c r="E148" s="114">
        <f t="shared" si="14"/>
        <v>0</v>
      </c>
      <c r="F148" s="114">
        <f t="shared" si="14"/>
        <v>0</v>
      </c>
      <c r="G148" s="114">
        <f t="shared" si="14"/>
        <v>27.73</v>
      </c>
      <c r="H148" s="114">
        <f t="shared" si="14"/>
        <v>33.909999999999997</v>
      </c>
      <c r="I148" s="114">
        <f t="shared" si="14"/>
        <v>42.73</v>
      </c>
      <c r="J148" s="114">
        <f t="shared" si="14"/>
        <v>42.73</v>
      </c>
      <c r="K148" s="114">
        <f t="shared" si="14"/>
        <v>42.73</v>
      </c>
      <c r="L148" s="114">
        <f t="shared" si="14"/>
        <v>42.73</v>
      </c>
      <c r="M148" s="114">
        <f t="shared" si="14"/>
        <v>42.93</v>
      </c>
      <c r="N148" s="114">
        <f t="shared" si="14"/>
        <v>42.93</v>
      </c>
      <c r="O148" s="114">
        <f t="shared" si="14"/>
        <v>49.29</v>
      </c>
      <c r="P148" s="114">
        <f t="shared" si="14"/>
        <v>49.29</v>
      </c>
      <c r="Q148" s="114">
        <f t="shared" si="14"/>
        <v>49.29</v>
      </c>
      <c r="R148" s="114">
        <f>ROUND(Q130*Q$3,2)</f>
        <v>591.52</v>
      </c>
    </row>
    <row r="149" spans="1:18" x14ac:dyDescent="0.25">
      <c r="A149" s="113" t="s">
        <v>153</v>
      </c>
      <c r="C149" s="114">
        <f>C148+B149</f>
        <v>0</v>
      </c>
      <c r="D149" s="114">
        <f t="shared" ref="D149:Q149" si="15">D148+C149</f>
        <v>0</v>
      </c>
      <c r="E149" s="114">
        <f t="shared" si="15"/>
        <v>0</v>
      </c>
      <c r="F149" s="114">
        <f t="shared" si="15"/>
        <v>0</v>
      </c>
      <c r="G149" s="114">
        <f t="shared" si="15"/>
        <v>27.73</v>
      </c>
      <c r="H149" s="114">
        <f t="shared" si="15"/>
        <v>61.64</v>
      </c>
      <c r="I149" s="114">
        <f t="shared" si="15"/>
        <v>104.37</v>
      </c>
      <c r="J149" s="114">
        <f t="shared" si="15"/>
        <v>147.1</v>
      </c>
      <c r="K149" s="114">
        <f t="shared" si="15"/>
        <v>189.82999999999998</v>
      </c>
      <c r="L149" s="114">
        <f t="shared" si="15"/>
        <v>232.55999999999997</v>
      </c>
      <c r="M149" s="114">
        <f t="shared" si="15"/>
        <v>275.48999999999995</v>
      </c>
      <c r="N149" s="114">
        <f t="shared" si="15"/>
        <v>318.41999999999996</v>
      </c>
      <c r="O149" s="114">
        <f t="shared" si="15"/>
        <v>367.71</v>
      </c>
      <c r="P149" s="114">
        <f t="shared" si="15"/>
        <v>417</v>
      </c>
      <c r="Q149" s="114">
        <f t="shared" si="15"/>
        <v>466.29</v>
      </c>
    </row>
    <row r="151" spans="1:18" ht="15.75" thickBot="1" x14ac:dyDescent="0.3">
      <c r="A151" s="127" t="s">
        <v>161</v>
      </c>
      <c r="B151" s="128">
        <f>B140+B146+B149+B141+B142</f>
        <v>5750.14</v>
      </c>
      <c r="C151" s="128">
        <f t="shared" ref="C151:Q151" si="16">C140+C146+C149+C141+C142</f>
        <v>5940.8</v>
      </c>
      <c r="D151" s="128">
        <f t="shared" si="16"/>
        <v>6131.46</v>
      </c>
      <c r="E151" s="128">
        <f t="shared" si="16"/>
        <v>6322.12</v>
      </c>
      <c r="F151" s="128">
        <f t="shared" si="16"/>
        <v>6512.78</v>
      </c>
      <c r="G151" s="128">
        <f t="shared" si="16"/>
        <v>6731.1699999999992</v>
      </c>
      <c r="H151" s="128">
        <f t="shared" si="16"/>
        <v>6955.74</v>
      </c>
      <c r="I151" s="128">
        <f t="shared" si="16"/>
        <v>7238.6999999999989</v>
      </c>
      <c r="J151" s="128">
        <f t="shared" si="16"/>
        <v>7526.0699999999988</v>
      </c>
      <c r="K151" s="128">
        <f t="shared" si="16"/>
        <v>7813.4399999999978</v>
      </c>
      <c r="L151" s="128">
        <f t="shared" si="16"/>
        <v>8100.8099999999977</v>
      </c>
      <c r="M151" s="128">
        <f t="shared" si="16"/>
        <v>8388.3799999999974</v>
      </c>
      <c r="N151" s="128">
        <f t="shared" si="16"/>
        <v>8675.9499999999971</v>
      </c>
      <c r="O151" s="128">
        <f t="shared" si="16"/>
        <v>9006.1299999999974</v>
      </c>
      <c r="P151" s="128">
        <f t="shared" si="16"/>
        <v>9336.3099999999977</v>
      </c>
      <c r="Q151" s="128">
        <f t="shared" si="16"/>
        <v>503.55000000000109</v>
      </c>
    </row>
    <row r="154" spans="1:18" ht="15.75" thickBot="1" x14ac:dyDescent="0.3">
      <c r="A154" s="132" t="s">
        <v>162</v>
      </c>
      <c r="B154" s="128">
        <f>B134+B151</f>
        <v>158275.16999999998</v>
      </c>
      <c r="C154" s="128">
        <f t="shared" ref="C154:Q154" si="17">C134+C151</f>
        <v>158465.82999999996</v>
      </c>
      <c r="D154" s="128">
        <f t="shared" si="17"/>
        <v>158656.48999999996</v>
      </c>
      <c r="E154" s="128">
        <f t="shared" si="17"/>
        <v>158847.14999999997</v>
      </c>
      <c r="F154" s="128">
        <f t="shared" si="17"/>
        <v>181222.97999999998</v>
      </c>
      <c r="G154" s="128">
        <f t="shared" si="17"/>
        <v>186383.59</v>
      </c>
      <c r="H154" s="128">
        <f t="shared" si="17"/>
        <v>186608.15999999997</v>
      </c>
      <c r="I154" s="128">
        <f t="shared" si="17"/>
        <v>189693.62</v>
      </c>
      <c r="J154" s="128">
        <f t="shared" si="17"/>
        <v>189980.99</v>
      </c>
      <c r="K154" s="128">
        <f t="shared" si="17"/>
        <v>190268.36</v>
      </c>
      <c r="L154" s="128">
        <f t="shared" si="17"/>
        <v>190687.27999999997</v>
      </c>
      <c r="M154" s="128">
        <f t="shared" si="17"/>
        <v>190974.84999999998</v>
      </c>
      <c r="N154" s="128">
        <f t="shared" si="17"/>
        <v>191262.41999999998</v>
      </c>
      <c r="O154" s="128">
        <f t="shared" si="17"/>
        <v>191592.59999999998</v>
      </c>
      <c r="P154" s="128">
        <f t="shared" si="17"/>
        <v>191922.77999999997</v>
      </c>
      <c r="Q154" s="128">
        <f t="shared" si="17"/>
        <v>30564.989999999998</v>
      </c>
    </row>
    <row r="157" spans="1:18" x14ac:dyDescent="0.25">
      <c r="A157" s="109"/>
    </row>
    <row r="159" spans="1:18" outlineLevel="1" x14ac:dyDescent="0.25"/>
    <row r="163" spans="1:18" outlineLevel="1" x14ac:dyDescent="0.25"/>
    <row r="164" spans="1:18" outlineLevel="1" x14ac:dyDescent="0.25"/>
    <row r="168" spans="1:18" outlineLevel="1" x14ac:dyDescent="0.25"/>
    <row r="169" spans="1:18" outlineLevel="1" x14ac:dyDescent="0.25"/>
    <row r="173" spans="1:18" x14ac:dyDescent="0.25">
      <c r="A173" s="124" t="s">
        <v>149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R173" s="130"/>
    </row>
    <row r="174" spans="1:18" x14ac:dyDescent="0.25">
      <c r="A174" s="113" t="s">
        <v>150</v>
      </c>
      <c r="C174" s="114">
        <f t="shared" ref="C174:I174" si="18">ROUND(B122*C$3/12,2)</f>
        <v>0</v>
      </c>
      <c r="D174" s="114">
        <f t="shared" si="18"/>
        <v>0</v>
      </c>
      <c r="E174" s="114">
        <f t="shared" si="18"/>
        <v>0</v>
      </c>
      <c r="F174" s="114">
        <f t="shared" si="18"/>
        <v>0</v>
      </c>
      <c r="G174" s="114">
        <f t="shared" si="18"/>
        <v>0</v>
      </c>
      <c r="H174" s="114">
        <f t="shared" si="18"/>
        <v>0</v>
      </c>
      <c r="I174" s="114">
        <f t="shared" si="18"/>
        <v>0</v>
      </c>
      <c r="J174" s="114">
        <f t="shared" ref="J174:Q174" si="19">ROUND(I123*J$3/12,2)</f>
        <v>4.41</v>
      </c>
      <c r="K174" s="114">
        <f t="shared" si="19"/>
        <v>4.41</v>
      </c>
      <c r="L174" s="114">
        <f t="shared" si="19"/>
        <v>4.41</v>
      </c>
      <c r="M174" s="114">
        <f t="shared" si="19"/>
        <v>4.41</v>
      </c>
      <c r="N174" s="114">
        <f t="shared" si="19"/>
        <v>4.41</v>
      </c>
      <c r="O174" s="114">
        <f t="shared" si="19"/>
        <v>5.07</v>
      </c>
      <c r="P174" s="114">
        <f t="shared" si="19"/>
        <v>5.07</v>
      </c>
      <c r="Q174" s="114">
        <f t="shared" si="19"/>
        <v>5.07</v>
      </c>
    </row>
    <row r="175" spans="1:18" x14ac:dyDescent="0.25">
      <c r="A175" s="113" t="s">
        <v>151</v>
      </c>
      <c r="C175" s="114">
        <f t="shared" ref="C175:I175" si="20">C174+B175</f>
        <v>0</v>
      </c>
      <c r="D175" s="114">
        <f t="shared" si="20"/>
        <v>0</v>
      </c>
      <c r="E175" s="114">
        <f t="shared" si="20"/>
        <v>0</v>
      </c>
      <c r="F175" s="114">
        <f t="shared" si="20"/>
        <v>0</v>
      </c>
      <c r="G175" s="114">
        <f t="shared" si="20"/>
        <v>0</v>
      </c>
      <c r="H175" s="114">
        <f t="shared" si="20"/>
        <v>0</v>
      </c>
      <c r="I175" s="114">
        <f t="shared" si="20"/>
        <v>0</v>
      </c>
      <c r="J175" s="114">
        <f>J174+I175</f>
        <v>4.41</v>
      </c>
      <c r="K175" s="114">
        <f t="shared" ref="K175:Q175" si="21">K174+J175</f>
        <v>8.82</v>
      </c>
      <c r="L175" s="114">
        <f t="shared" si="21"/>
        <v>13.23</v>
      </c>
      <c r="M175" s="114">
        <f t="shared" si="21"/>
        <v>17.64</v>
      </c>
      <c r="N175" s="114">
        <f t="shared" si="21"/>
        <v>22.05</v>
      </c>
      <c r="O175" s="114">
        <f t="shared" si="21"/>
        <v>27.12</v>
      </c>
      <c r="P175" s="114">
        <f>P174+O175</f>
        <v>32.19</v>
      </c>
      <c r="Q175" s="114">
        <f t="shared" si="21"/>
        <v>37.26</v>
      </c>
      <c r="R175" s="4"/>
    </row>
    <row r="176" spans="1:18" ht="9" customHeight="1" x14ac:dyDescent="0.25">
      <c r="A176" s="124"/>
      <c r="B176" s="125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26"/>
    </row>
    <row r="177" spans="1:18" x14ac:dyDescent="0.25">
      <c r="A177" s="113" t="s">
        <v>152</v>
      </c>
      <c r="B177" s="117"/>
      <c r="C177" s="114" t="e">
        <f>ROUND((#REF!+B130)*C$3/12,2)</f>
        <v>#REF!</v>
      </c>
      <c r="D177" s="114" t="e">
        <f>ROUND((#REF!+C130)*D$3/12,2)</f>
        <v>#REF!</v>
      </c>
      <c r="E177" s="114" t="e">
        <f>ROUND((#REF!+D130)*E$3/12,2)</f>
        <v>#REF!</v>
      </c>
      <c r="F177" s="114" t="e">
        <f>ROUND((#REF!+E130)*F$3/12,2)</f>
        <v>#REF!</v>
      </c>
      <c r="G177" s="114" t="e">
        <f>ROUND((#REF!+F130)*G$3/12,2)</f>
        <v>#REF!</v>
      </c>
      <c r="H177" s="114" t="e">
        <f>ROUND((#REF!+G130)*H$3/12,2)</f>
        <v>#REF!</v>
      </c>
      <c r="I177" s="114" t="e">
        <f>ROUND((#REF!+H130)*I$3/12,2)</f>
        <v>#REF!</v>
      </c>
      <c r="J177" s="114" t="e">
        <f>ROUND((#REF!+I130)*J$3/12,2)</f>
        <v>#REF!</v>
      </c>
      <c r="K177" s="114" t="e">
        <f>ROUND((#REF!+J130)*K$3/12,2)</f>
        <v>#REF!</v>
      </c>
      <c r="L177" s="114" t="e">
        <f>ROUND((#REF!+K130)*L$3/12,2)</f>
        <v>#REF!</v>
      </c>
      <c r="M177" s="114" t="e">
        <f>ROUND((#REF!+L130)*M$3/12,2)</f>
        <v>#REF!</v>
      </c>
      <c r="N177" s="114" t="e">
        <f>ROUND((#REF!+M130)*N$3/12,2)</f>
        <v>#REF!</v>
      </c>
      <c r="O177" s="114" t="e">
        <f>ROUND((#REF!+N130)*O$3/12,2)</f>
        <v>#REF!</v>
      </c>
      <c r="P177" s="114" t="e">
        <f>ROUND((#REF!+O130)*P$3/12,2)</f>
        <v>#REF!</v>
      </c>
      <c r="Q177" s="114" t="e">
        <f>ROUND((#REF!+P130)*Q$3/12,2)</f>
        <v>#REF!</v>
      </c>
      <c r="R177" s="114" t="e">
        <f>ROUND((#REF!+Q130)*Q$3,2)</f>
        <v>#REF!</v>
      </c>
    </row>
    <row r="178" spans="1:18" x14ac:dyDescent="0.25">
      <c r="A178" s="113" t="s">
        <v>153</v>
      </c>
      <c r="B178" s="117"/>
      <c r="C178" s="114" t="e">
        <f t="shared" ref="C178:E178" si="22">C177</f>
        <v>#REF!</v>
      </c>
      <c r="D178" s="114" t="e">
        <f t="shared" si="22"/>
        <v>#REF!</v>
      </c>
      <c r="E178" s="114" t="e">
        <f t="shared" si="22"/>
        <v>#REF!</v>
      </c>
      <c r="F178" s="114" t="e">
        <f>F177</f>
        <v>#REF!</v>
      </c>
      <c r="G178" s="114" t="e">
        <f>G177+F178</f>
        <v>#REF!</v>
      </c>
      <c r="H178" s="114" t="e">
        <f>H177+G178</f>
        <v>#REF!</v>
      </c>
      <c r="I178" s="114" t="e">
        <f>I177+H178</f>
        <v>#REF!</v>
      </c>
      <c r="J178" s="114" t="e">
        <f t="shared" ref="J178:Q178" si="23">J177+I178</f>
        <v>#REF!</v>
      </c>
      <c r="K178" s="114" t="e">
        <f>K177+J178</f>
        <v>#REF!</v>
      </c>
      <c r="L178" s="114" t="e">
        <f t="shared" si="23"/>
        <v>#REF!</v>
      </c>
      <c r="M178" s="114" t="e">
        <f t="shared" si="23"/>
        <v>#REF!</v>
      </c>
      <c r="N178" s="114" t="e">
        <f t="shared" si="23"/>
        <v>#REF!</v>
      </c>
      <c r="O178" s="114" t="e">
        <f t="shared" si="23"/>
        <v>#REF!</v>
      </c>
      <c r="P178" s="114" t="e">
        <f t="shared" si="23"/>
        <v>#REF!</v>
      </c>
      <c r="Q178" s="114" t="e">
        <f t="shared" si="23"/>
        <v>#REF!</v>
      </c>
      <c r="R178" s="4"/>
    </row>
    <row r="179" spans="1:18" x14ac:dyDescent="0.25">
      <c r="A179" s="105" t="s">
        <v>154</v>
      </c>
      <c r="C179" s="131" t="e">
        <f>C178+C132</f>
        <v>#REF!</v>
      </c>
      <c r="D179" s="131" t="e">
        <f>D178+D132</f>
        <v>#REF!</v>
      </c>
      <c r="E179" s="131" t="e">
        <f>E178+E132</f>
        <v>#REF!</v>
      </c>
      <c r="F179" s="131" t="e">
        <f>F178+F132</f>
        <v>#REF!</v>
      </c>
      <c r="G179" s="131" t="e">
        <f t="shared" ref="G179:Q179" si="24">G178+G132+G175</f>
        <v>#REF!</v>
      </c>
      <c r="H179" s="131" t="e">
        <f t="shared" si="24"/>
        <v>#REF!</v>
      </c>
      <c r="I179" s="131" t="e">
        <f t="shared" si="24"/>
        <v>#REF!</v>
      </c>
      <c r="J179" s="131" t="e">
        <f t="shared" si="24"/>
        <v>#REF!</v>
      </c>
      <c r="K179" s="131" t="e">
        <f t="shared" si="24"/>
        <v>#REF!</v>
      </c>
      <c r="L179" s="131" t="e">
        <f t="shared" si="24"/>
        <v>#REF!</v>
      </c>
      <c r="M179" s="131" t="e">
        <f t="shared" si="24"/>
        <v>#REF!</v>
      </c>
      <c r="N179" s="131" t="e">
        <f t="shared" si="24"/>
        <v>#REF!</v>
      </c>
      <c r="O179" s="131" t="e">
        <f t="shared" si="24"/>
        <v>#REF!</v>
      </c>
      <c r="P179" s="131" t="e">
        <f t="shared" si="24"/>
        <v>#REF!</v>
      </c>
      <c r="Q179" s="131" t="e">
        <f t="shared" si="24"/>
        <v>#REF!</v>
      </c>
    </row>
    <row r="181" spans="1:18" ht="15.75" thickBot="1" x14ac:dyDescent="0.3">
      <c r="A181" s="127" t="s">
        <v>155</v>
      </c>
      <c r="B181" s="128">
        <f t="shared" ref="B181:Q181" si="25">B134+B132</f>
        <v>152525.02999999997</v>
      </c>
      <c r="C181" s="128">
        <f t="shared" si="25"/>
        <v>152525.02999999997</v>
      </c>
      <c r="D181" s="128">
        <f t="shared" si="25"/>
        <v>152525.02999999997</v>
      </c>
      <c r="E181" s="128">
        <f t="shared" si="25"/>
        <v>152525.02999999997</v>
      </c>
      <c r="F181" s="128">
        <f t="shared" si="25"/>
        <v>196895.37</v>
      </c>
      <c r="G181" s="128">
        <f t="shared" si="25"/>
        <v>206779.81</v>
      </c>
      <c r="H181" s="128">
        <f t="shared" si="25"/>
        <v>206779.81</v>
      </c>
      <c r="I181" s="128">
        <f t="shared" si="25"/>
        <v>212384.81</v>
      </c>
      <c r="J181" s="128">
        <f t="shared" si="25"/>
        <v>212384.81</v>
      </c>
      <c r="K181" s="128">
        <f t="shared" si="25"/>
        <v>212384.81</v>
      </c>
      <c r="L181" s="128">
        <f t="shared" si="25"/>
        <v>212647.90999999997</v>
      </c>
      <c r="M181" s="128">
        <f t="shared" si="25"/>
        <v>212647.90999999997</v>
      </c>
      <c r="N181" s="128">
        <f t="shared" si="25"/>
        <v>212647.90999999997</v>
      </c>
      <c r="O181" s="128">
        <f t="shared" si="25"/>
        <v>212647.90999999997</v>
      </c>
      <c r="P181" s="128">
        <f t="shared" si="25"/>
        <v>212647.90999999997</v>
      </c>
      <c r="Q181" s="128">
        <f t="shared" si="25"/>
        <v>60122.879999999997</v>
      </c>
    </row>
    <row r="182" spans="1:18" ht="15.75" thickBot="1" x14ac:dyDescent="0.3">
      <c r="A182" s="127" t="s">
        <v>156</v>
      </c>
      <c r="B182" s="128">
        <f t="shared" ref="B182:Q182" si="26">B154+B179</f>
        <v>158275.16999999998</v>
      </c>
      <c r="C182" s="128" t="e">
        <f t="shared" si="26"/>
        <v>#REF!</v>
      </c>
      <c r="D182" s="128" t="e">
        <f t="shared" si="26"/>
        <v>#REF!</v>
      </c>
      <c r="E182" s="128" t="e">
        <f t="shared" si="26"/>
        <v>#REF!</v>
      </c>
      <c r="F182" s="128" t="e">
        <f t="shared" si="26"/>
        <v>#REF!</v>
      </c>
      <c r="G182" s="128" t="e">
        <f t="shared" si="26"/>
        <v>#REF!</v>
      </c>
      <c r="H182" s="128" t="e">
        <f t="shared" si="26"/>
        <v>#REF!</v>
      </c>
      <c r="I182" s="128" t="e">
        <f t="shared" si="26"/>
        <v>#REF!</v>
      </c>
      <c r="J182" s="128" t="e">
        <f t="shared" si="26"/>
        <v>#REF!</v>
      </c>
      <c r="K182" s="128" t="e">
        <f t="shared" si="26"/>
        <v>#REF!</v>
      </c>
      <c r="L182" s="128" t="e">
        <f t="shared" si="26"/>
        <v>#REF!</v>
      </c>
      <c r="M182" s="128" t="e">
        <f t="shared" si="26"/>
        <v>#REF!</v>
      </c>
      <c r="N182" s="128" t="e">
        <f t="shared" si="26"/>
        <v>#REF!</v>
      </c>
      <c r="O182" s="128" t="e">
        <f t="shared" si="26"/>
        <v>#REF!</v>
      </c>
      <c r="P182" s="128" t="e">
        <f t="shared" si="26"/>
        <v>#REF!</v>
      </c>
      <c r="Q182" s="128" t="e">
        <f t="shared" si="26"/>
        <v>#REF!</v>
      </c>
    </row>
    <row r="186" spans="1:18" x14ac:dyDescent="0.25">
      <c r="C186">
        <f>42649/26818030*100</f>
        <v>0.15903106976910683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&amp;R&amp;"Times New Roman,Regular"&amp;10Filed: 2019-01-31
EB-2018-0336
Exhibit 9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workbookViewId="0">
      <pane xSplit="1" ySplit="7" topLeftCell="B17" activePane="bottomRight" state="frozen"/>
      <selection activeCell="C26" sqref="C26"/>
      <selection pane="topRight" activeCell="C26" sqref="C26"/>
      <selection pane="bottomLeft" activeCell="C26" sqref="C26"/>
      <selection pane="bottomRight" activeCell="C26" sqref="C26"/>
    </sheetView>
  </sheetViews>
  <sheetFormatPr defaultColWidth="12.5703125" defaultRowHeight="15" x14ac:dyDescent="0.25"/>
  <cols>
    <col min="1" max="1" width="52.42578125" style="4" customWidth="1"/>
    <col min="2" max="2" width="10.5703125" style="8" customWidth="1"/>
    <col min="3" max="3" width="10.28515625" style="4" bestFit="1" customWidth="1"/>
    <col min="4" max="4" width="11.28515625" style="4" bestFit="1" customWidth="1"/>
    <col min="5" max="14" width="10.28515625" style="4" bestFit="1" customWidth="1"/>
    <col min="15" max="17" width="12.5703125" style="4"/>
    <col min="18" max="18" width="9.42578125" style="4" customWidth="1"/>
    <col min="19" max="16384" width="12.5703125" style="4"/>
  </cols>
  <sheetData>
    <row r="1" spans="1:18" x14ac:dyDescent="0.25">
      <c r="A1" s="5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8" x14ac:dyDescent="0.25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8" x14ac:dyDescent="0.25">
      <c r="A3" s="7"/>
    </row>
    <row r="4" spans="1:18" ht="13.5" customHeight="1" x14ac:dyDescent="0.25">
      <c r="A4" s="7"/>
      <c r="B4" s="161" t="s">
        <v>35</v>
      </c>
    </row>
    <row r="5" spans="1:18" ht="24.75" customHeight="1" x14ac:dyDescent="0.25">
      <c r="A5" s="9"/>
      <c r="B5" s="16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R5" s="102" t="s">
        <v>34</v>
      </c>
    </row>
    <row r="6" spans="1:18" s="12" customFormat="1" ht="12.75" x14ac:dyDescent="0.2">
      <c r="A6" s="2"/>
      <c r="B6" s="10">
        <v>2017</v>
      </c>
      <c r="C6" s="80">
        <v>2017</v>
      </c>
      <c r="D6" s="11">
        <v>2017</v>
      </c>
      <c r="E6" s="11">
        <v>2017</v>
      </c>
      <c r="F6" s="11">
        <v>2018</v>
      </c>
      <c r="G6" s="11">
        <v>2018</v>
      </c>
      <c r="H6" s="11">
        <v>2018</v>
      </c>
      <c r="I6" s="11">
        <v>2018</v>
      </c>
      <c r="J6" s="11">
        <v>2018</v>
      </c>
      <c r="K6" s="11">
        <v>2018</v>
      </c>
      <c r="L6" s="11">
        <v>2018</v>
      </c>
      <c r="M6" s="11">
        <v>2018</v>
      </c>
      <c r="N6" s="11">
        <v>2018</v>
      </c>
      <c r="O6" s="11">
        <v>2018</v>
      </c>
      <c r="P6" s="11">
        <v>2018</v>
      </c>
      <c r="Q6" s="68">
        <v>2018</v>
      </c>
      <c r="R6" s="12">
        <v>2019</v>
      </c>
    </row>
    <row r="7" spans="1:18" s="8" customFormat="1" ht="12.75" x14ac:dyDescent="0.2">
      <c r="A7" s="13"/>
      <c r="B7" s="14" t="s">
        <v>31</v>
      </c>
      <c r="C7" s="81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3</v>
      </c>
      <c r="P7" s="15" t="s">
        <v>4</v>
      </c>
      <c r="Q7" s="69" t="s">
        <v>5</v>
      </c>
      <c r="R7" s="15" t="s">
        <v>42</v>
      </c>
    </row>
    <row r="8" spans="1:18" x14ac:dyDescent="0.25">
      <c r="A8" s="8" t="s">
        <v>36</v>
      </c>
      <c r="B8" s="16"/>
      <c r="C8" s="82"/>
      <c r="D8" s="1"/>
      <c r="E8" s="1"/>
      <c r="F8" s="1"/>
      <c r="G8" s="1"/>
      <c r="H8" s="1"/>
      <c r="I8" s="1"/>
      <c r="J8" s="1"/>
      <c r="K8" s="1"/>
      <c r="L8" s="1"/>
      <c r="M8" s="1"/>
      <c r="N8" s="89"/>
      <c r="O8" s="1"/>
      <c r="P8" s="1"/>
      <c r="Q8" s="70"/>
    </row>
    <row r="9" spans="1:18" x14ac:dyDescent="0.25">
      <c r="A9" s="17" t="s">
        <v>15</v>
      </c>
      <c r="B9" s="16"/>
      <c r="C9" s="82"/>
      <c r="D9" s="1"/>
      <c r="E9" s="1"/>
      <c r="F9" s="1"/>
      <c r="G9" s="1"/>
      <c r="H9" s="1"/>
      <c r="I9" s="1"/>
      <c r="J9" s="1"/>
      <c r="K9" s="1"/>
      <c r="L9" s="1"/>
      <c r="M9" s="1"/>
      <c r="N9" s="89"/>
      <c r="O9" s="1"/>
      <c r="P9" s="1"/>
      <c r="Q9" s="70"/>
    </row>
    <row r="10" spans="1:18" s="22" customFormat="1" x14ac:dyDescent="0.25">
      <c r="A10" s="18" t="s">
        <v>16</v>
      </c>
      <c r="B10" s="21">
        <v>0</v>
      </c>
      <c r="C10" s="19">
        <f>65827.95+3390.83</f>
        <v>69218.78</v>
      </c>
      <c r="D10" s="20">
        <f>14705.61+13549.93+129230.3+5793.94</f>
        <v>163279.78</v>
      </c>
      <c r="E10" s="20">
        <f>143040.3+10707.17</f>
        <v>153747.47</v>
      </c>
      <c r="F10" s="20">
        <f>152242.37+19741.81+11791.7</f>
        <v>183775.88</v>
      </c>
      <c r="G10" s="20">
        <f>10587+103927.98</f>
        <v>114514.98</v>
      </c>
      <c r="H10" s="20">
        <f>109149.88+8484.91</f>
        <v>117634.79000000001</v>
      </c>
      <c r="I10" s="20">
        <f>6634.5+74278.13</f>
        <v>80912.63</v>
      </c>
      <c r="J10" s="20">
        <f>22017.48+3420.93+(91865.99-74278.13)</f>
        <v>43026.270000000004</v>
      </c>
      <c r="K10" s="20">
        <f>14587.22+1490.45+(115269.5-103927.88)+(120463.41-109149.88)</f>
        <v>38732.819999999992</v>
      </c>
      <c r="L10" s="20">
        <f>13302.4+1243.14</f>
        <v>14545.539999999999</v>
      </c>
      <c r="M10" s="20">
        <f>23251.57+2001.12</f>
        <v>25252.69</v>
      </c>
      <c r="N10" s="90">
        <f>39457.56+1334.37</f>
        <v>40791.93</v>
      </c>
      <c r="O10" s="20">
        <f>305.38+3846.05</f>
        <v>4151.43</v>
      </c>
      <c r="P10" s="20">
        <f>6921.04+648.01+1195.68</f>
        <v>8764.73</v>
      </c>
      <c r="Q10" s="95">
        <v>5701.58</v>
      </c>
    </row>
    <row r="11" spans="1:18" s="22" customFormat="1" x14ac:dyDescent="0.25">
      <c r="A11" s="18" t="s">
        <v>17</v>
      </c>
      <c r="B11" s="21">
        <v>0</v>
      </c>
      <c r="C11" s="19">
        <f>-61321.27-23.37+5410.97+122.33-0.76-3159.89</f>
        <v>-58971.99</v>
      </c>
      <c r="D11" s="20">
        <f>-14846.84-120917.53</f>
        <v>-135764.37</v>
      </c>
      <c r="E11" s="20">
        <f>-124889.79-9977.94-8408.54</f>
        <v>-143276.26999999999</v>
      </c>
      <c r="F11" s="20">
        <f>-145403.75-11133.07</f>
        <v>-156536.82</v>
      </c>
      <c r="G11" s="20">
        <f>-98122.99-9995.66</f>
        <v>-108118.65000000001</v>
      </c>
      <c r="H11" s="20">
        <f>-103053.21-8010.98</f>
        <v>-111064.19</v>
      </c>
      <c r="I11" s="20">
        <f>-6296-70488.27</f>
        <v>-76784.27</v>
      </c>
      <c r="J11" s="20">
        <f>-20894.1-3246.38-16690.11</f>
        <v>-40830.589999999997</v>
      </c>
      <c r="K11" s="20">
        <f>-1414.43-13842.95-10708.04-10681.6</f>
        <v>-36647.020000000004</v>
      </c>
      <c r="L11" s="20">
        <f>-12623.67-1179.71</f>
        <v>-13803.380000000001</v>
      </c>
      <c r="M11" s="20">
        <f>-1899.02-22065.22</f>
        <v>-23964.240000000002</v>
      </c>
      <c r="N11" s="90">
        <f>-1266.28-37444.34</f>
        <v>-38710.619999999995</v>
      </c>
      <c r="O11" s="20">
        <f>-633.19-72.13</f>
        <v>-705.32</v>
      </c>
      <c r="P11" s="20">
        <v>0</v>
      </c>
      <c r="Q11" s="95">
        <v>0</v>
      </c>
    </row>
    <row r="12" spans="1:18" s="22" customFormat="1" x14ac:dyDescent="0.25">
      <c r="A12" s="18" t="s">
        <v>18</v>
      </c>
      <c r="B12" s="21">
        <v>0</v>
      </c>
      <c r="C12" s="19">
        <f>39550.48+2982.68</f>
        <v>42533.16</v>
      </c>
      <c r="D12" s="20">
        <f>2982.68+39550.48</f>
        <v>42533.16</v>
      </c>
      <c r="E12" s="20">
        <f>39550.48+2982.68</f>
        <v>42533.16</v>
      </c>
      <c r="F12" s="20">
        <f t="shared" ref="F12:K12" si="0">41725.85+3146.73</f>
        <v>44872.58</v>
      </c>
      <c r="G12" s="20">
        <f t="shared" si="0"/>
        <v>44872.58</v>
      </c>
      <c r="H12" s="20">
        <f t="shared" si="0"/>
        <v>44872.58</v>
      </c>
      <c r="I12" s="20">
        <f t="shared" si="0"/>
        <v>44872.58</v>
      </c>
      <c r="J12" s="20">
        <f t="shared" si="0"/>
        <v>44872.58</v>
      </c>
      <c r="K12" s="20">
        <f t="shared" si="0"/>
        <v>44872.58</v>
      </c>
      <c r="L12" s="20">
        <f t="shared" ref="L12:O12" si="1">41725.85+3146.73</f>
        <v>44872.58</v>
      </c>
      <c r="M12" s="20">
        <f t="shared" si="1"/>
        <v>44872.58</v>
      </c>
      <c r="N12" s="20">
        <f t="shared" si="1"/>
        <v>44872.58</v>
      </c>
      <c r="O12" s="20">
        <f t="shared" si="1"/>
        <v>44872.58</v>
      </c>
      <c r="P12" s="20">
        <f>49070.02+3146.73</f>
        <v>52216.75</v>
      </c>
      <c r="Q12" s="95">
        <v>52216.94</v>
      </c>
    </row>
    <row r="13" spans="1:18" s="26" customFormat="1" x14ac:dyDescent="0.25">
      <c r="A13" s="23" t="s">
        <v>19</v>
      </c>
      <c r="B13" s="25">
        <f t="shared" ref="B13:N13" si="2">SUM(B10:B12)</f>
        <v>0</v>
      </c>
      <c r="C13" s="83">
        <f t="shared" si="2"/>
        <v>52779.950000000004</v>
      </c>
      <c r="D13" s="24">
        <f t="shared" si="2"/>
        <v>70048.570000000007</v>
      </c>
      <c r="E13" s="24">
        <f t="shared" si="2"/>
        <v>53004.360000000015</v>
      </c>
      <c r="F13" s="24">
        <f t="shared" si="2"/>
        <v>72111.64</v>
      </c>
      <c r="G13" s="24">
        <f t="shared" si="2"/>
        <v>51268.909999999989</v>
      </c>
      <c r="H13" s="24">
        <f t="shared" si="2"/>
        <v>51443.180000000008</v>
      </c>
      <c r="I13" s="24">
        <f t="shared" si="2"/>
        <v>49000.94</v>
      </c>
      <c r="J13" s="24">
        <f t="shared" si="2"/>
        <v>47068.260000000009</v>
      </c>
      <c r="K13" s="24">
        <f t="shared" si="2"/>
        <v>46958.37999999999</v>
      </c>
      <c r="L13" s="24">
        <f t="shared" si="2"/>
        <v>45614.74</v>
      </c>
      <c r="M13" s="24">
        <f t="shared" si="2"/>
        <v>46161.03</v>
      </c>
      <c r="N13" s="24">
        <f t="shared" si="2"/>
        <v>46953.890000000007</v>
      </c>
      <c r="O13" s="24">
        <f t="shared" ref="O13:Q13" si="3">SUM(O10:O12)</f>
        <v>48318.69</v>
      </c>
      <c r="P13" s="24">
        <f t="shared" si="3"/>
        <v>60981.479999999996</v>
      </c>
      <c r="Q13" s="72">
        <f t="shared" si="3"/>
        <v>57918.520000000004</v>
      </c>
    </row>
    <row r="14" spans="1:18" s="31" customFormat="1" x14ac:dyDescent="0.25">
      <c r="A14" s="27" t="s">
        <v>20</v>
      </c>
      <c r="B14" s="30"/>
      <c r="C14" s="84">
        <f>95232+1848788.2+84931.5+45843.7</f>
        <v>2074795.4</v>
      </c>
      <c r="D14" s="28">
        <f>413009.4+34440.6+3629453+14726.8+82191.8+38944.7</f>
        <v>4212766.3</v>
      </c>
      <c r="E14" s="29">
        <f>4017308.9+300712.4+84931.5+30027.6</f>
        <v>4432980.3999999994</v>
      </c>
      <c r="F14" s="29">
        <f>4382138.9+335525.4+84931.5+23368.5</f>
        <v>4825964.3000000007</v>
      </c>
      <c r="G14" s="29">
        <f>301246.4+2957204+76712+14720.5</f>
        <v>3349882.9</v>
      </c>
      <c r="H14" s="29">
        <f>3105789.9+241432.8+84931+19854</f>
        <v>3452007.6999999997</v>
      </c>
      <c r="I14" s="29">
        <f>189747+2124356.5+82191.8+15678.6</f>
        <v>2411973.9</v>
      </c>
      <c r="J14" s="29">
        <f>629700.6+97838.6+84931.5+13646.8+503001.9</f>
        <v>1329119.3999999999</v>
      </c>
      <c r="K14" s="29">
        <f>417195+42627.6+82192+11673.8+322715.9+321919.1</f>
        <v>1198323.3999999999</v>
      </c>
      <c r="L14" s="29">
        <f>380448.9+35553.9+84931+8877.5</f>
        <v>509811.30000000005</v>
      </c>
      <c r="M14" s="29">
        <f>57232.2+664995.6+84931.5+7897</f>
        <v>815056.29999999993</v>
      </c>
      <c r="N14" s="29">
        <f>1128487.3+38162.9+82192+66.1</f>
        <v>1248908.3</v>
      </c>
      <c r="O14" s="29">
        <f>194636.6+2451275.3+83677.1</f>
        <v>2729589</v>
      </c>
      <c r="P14" s="29">
        <f>4411114.3+413009.4+128443.1+74568.2</f>
        <v>5027135</v>
      </c>
      <c r="Q14" s="96">
        <v>3718824</v>
      </c>
    </row>
    <row r="15" spans="1:18" x14ac:dyDescent="0.25">
      <c r="A15" s="32" t="s">
        <v>21</v>
      </c>
      <c r="B15" s="35"/>
      <c r="C15" s="33">
        <f t="shared" ref="C15:N15" si="4">C13/C14</f>
        <v>2.543862879202451E-2</v>
      </c>
      <c r="D15" s="34">
        <f t="shared" si="4"/>
        <v>1.6627689506536359E-2</v>
      </c>
      <c r="E15" s="34">
        <f t="shared" si="4"/>
        <v>1.1956822547647633E-2</v>
      </c>
      <c r="F15" s="34">
        <f t="shared" si="4"/>
        <v>1.4942431298134549E-2</v>
      </c>
      <c r="G15" s="34">
        <f t="shared" si="4"/>
        <v>1.5304687217574079E-2</v>
      </c>
      <c r="H15" s="34">
        <f t="shared" si="4"/>
        <v>1.4902394337069413E-2</v>
      </c>
      <c r="I15" s="34">
        <f t="shared" si="4"/>
        <v>2.0315700762765305E-2</v>
      </c>
      <c r="J15" s="34">
        <f t="shared" si="4"/>
        <v>3.5413116383674795E-2</v>
      </c>
      <c r="K15" s="34">
        <f t="shared" si="4"/>
        <v>3.918673373147849E-2</v>
      </c>
      <c r="L15" s="34">
        <f t="shared" si="4"/>
        <v>8.9473771962292697E-2</v>
      </c>
      <c r="M15" s="34">
        <f t="shared" si="4"/>
        <v>5.663538825477455E-2</v>
      </c>
      <c r="N15" s="34">
        <f t="shared" si="4"/>
        <v>3.7595946796093842E-2</v>
      </c>
      <c r="O15" s="34">
        <f t="shared" ref="O15:Q15" si="5">O13/O14</f>
        <v>1.7701818845254725E-2</v>
      </c>
      <c r="P15" s="34">
        <f t="shared" si="5"/>
        <v>1.2130463972023825E-2</v>
      </c>
      <c r="Q15" s="74">
        <f t="shared" si="5"/>
        <v>1.5574418149393466E-2</v>
      </c>
    </row>
    <row r="16" spans="1:18" s="40" customFormat="1" ht="12.75" x14ac:dyDescent="0.2">
      <c r="A16" s="36" t="s">
        <v>22</v>
      </c>
      <c r="B16" s="39"/>
      <c r="C16" s="37">
        <v>1.8339000000000001E-2</v>
      </c>
      <c r="D16" s="38">
        <f>C16</f>
        <v>1.8339000000000001E-2</v>
      </c>
      <c r="E16" s="38">
        <f t="shared" ref="E16:Q16" si="6">D16</f>
        <v>1.8339000000000001E-2</v>
      </c>
      <c r="F16" s="38">
        <f t="shared" si="6"/>
        <v>1.8339000000000001E-2</v>
      </c>
      <c r="G16" s="38">
        <f t="shared" si="6"/>
        <v>1.8339000000000001E-2</v>
      </c>
      <c r="H16" s="38">
        <f t="shared" si="6"/>
        <v>1.8339000000000001E-2</v>
      </c>
      <c r="I16" s="38">
        <f t="shared" si="6"/>
        <v>1.8339000000000001E-2</v>
      </c>
      <c r="J16" s="38">
        <f t="shared" si="6"/>
        <v>1.8339000000000001E-2</v>
      </c>
      <c r="K16" s="38">
        <f t="shared" si="6"/>
        <v>1.8339000000000001E-2</v>
      </c>
      <c r="L16" s="38">
        <f t="shared" si="6"/>
        <v>1.8339000000000001E-2</v>
      </c>
      <c r="M16" s="38">
        <f t="shared" si="6"/>
        <v>1.8339000000000001E-2</v>
      </c>
      <c r="N16" s="91">
        <f t="shared" si="6"/>
        <v>1.8339000000000001E-2</v>
      </c>
      <c r="O16" s="38">
        <f t="shared" si="6"/>
        <v>1.8339000000000001E-2</v>
      </c>
      <c r="P16" s="38">
        <f t="shared" si="6"/>
        <v>1.8339000000000001E-2</v>
      </c>
      <c r="Q16" s="94">
        <f t="shared" si="6"/>
        <v>1.8339000000000001E-2</v>
      </c>
    </row>
    <row r="17" spans="1:18" x14ac:dyDescent="0.25">
      <c r="A17" s="32" t="s">
        <v>23</v>
      </c>
      <c r="B17" s="39"/>
      <c r="C17" s="33">
        <f t="shared" ref="C17:N17" si="7">C16-C15</f>
        <v>-7.0996287920245087E-3</v>
      </c>
      <c r="D17" s="34">
        <f t="shared" si="7"/>
        <v>1.7113104934636421E-3</v>
      </c>
      <c r="E17" s="34">
        <f t="shared" si="7"/>
        <v>6.3821774523523684E-3</v>
      </c>
      <c r="F17" s="34">
        <f t="shared" si="7"/>
        <v>3.396568701865452E-3</v>
      </c>
      <c r="G17" s="34">
        <f t="shared" si="7"/>
        <v>3.0343127824259217E-3</v>
      </c>
      <c r="H17" s="34">
        <f t="shared" si="7"/>
        <v>3.4366056629305877E-3</v>
      </c>
      <c r="I17" s="34">
        <f t="shared" si="7"/>
        <v>-1.9767007627653037E-3</v>
      </c>
      <c r="J17" s="34">
        <f t="shared" si="7"/>
        <v>-1.7074116383674794E-2</v>
      </c>
      <c r="K17" s="34">
        <f t="shared" si="7"/>
        <v>-2.0847733731478489E-2</v>
      </c>
      <c r="L17" s="34">
        <f t="shared" si="7"/>
        <v>-7.1134771962292703E-2</v>
      </c>
      <c r="M17" s="34">
        <f t="shared" si="7"/>
        <v>-3.8296388254774549E-2</v>
      </c>
      <c r="N17" s="34">
        <f t="shared" si="7"/>
        <v>-1.9256946796093841E-2</v>
      </c>
      <c r="O17" s="34">
        <f t="shared" ref="O17:Q17" si="8">O16-O15</f>
        <v>6.3718115474527617E-4</v>
      </c>
      <c r="P17" s="34">
        <f t="shared" si="8"/>
        <v>6.2085360279761758E-3</v>
      </c>
      <c r="Q17" s="74">
        <f t="shared" si="8"/>
        <v>2.7645818506065352E-3</v>
      </c>
    </row>
    <row r="18" spans="1:18" s="42" customFormat="1" x14ac:dyDescent="0.25">
      <c r="A18" s="41"/>
      <c r="B18" s="39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74"/>
    </row>
    <row r="19" spans="1:18" s="42" customFormat="1" x14ac:dyDescent="0.25">
      <c r="A19" s="41" t="s">
        <v>36</v>
      </c>
      <c r="B19" s="97">
        <v>0</v>
      </c>
      <c r="C19" s="19">
        <f t="shared" ref="C19:N19" si="9">C17*C14</f>
        <v>-14730.277159400006</v>
      </c>
      <c r="D19" s="90">
        <f t="shared" si="9"/>
        <v>7209.3511757000015</v>
      </c>
      <c r="E19" s="90">
        <f>E17*E14</f>
        <v>28292.067555599981</v>
      </c>
      <c r="F19" s="90">
        <f t="shared" si="9"/>
        <v>16391.719297700016</v>
      </c>
      <c r="G19" s="90">
        <f t="shared" si="9"/>
        <v>10164.592503100015</v>
      </c>
      <c r="H19" s="90">
        <f t="shared" si="9"/>
        <v>11863.189210299992</v>
      </c>
      <c r="I19" s="90">
        <f t="shared" si="9"/>
        <v>-4767.750647900004</v>
      </c>
      <c r="J19" s="90">
        <f t="shared" si="9"/>
        <v>-22693.539323400011</v>
      </c>
      <c r="K19" s="90">
        <f t="shared" si="9"/>
        <v>-24982.327167399988</v>
      </c>
      <c r="L19" s="90">
        <f t="shared" si="9"/>
        <v>-36265.310569299996</v>
      </c>
      <c r="M19" s="90">
        <f t="shared" si="9"/>
        <v>-31213.712514299998</v>
      </c>
      <c r="N19" s="90">
        <f t="shared" si="9"/>
        <v>-24050.160686300005</v>
      </c>
      <c r="O19" s="90">
        <f t="shared" ref="O19:Q19" si="10">O17*O14</f>
        <v>1739.2426710000036</v>
      </c>
      <c r="P19" s="90">
        <f t="shared" si="10"/>
        <v>31211.148765000013</v>
      </c>
      <c r="Q19" s="71">
        <f t="shared" si="10"/>
        <v>10280.993335999998</v>
      </c>
    </row>
    <row r="20" spans="1:18" s="42" customFormat="1" x14ac:dyDescent="0.25">
      <c r="A20" s="100" t="s">
        <v>32</v>
      </c>
      <c r="B20" s="45">
        <v>0</v>
      </c>
      <c r="C20" s="43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75">
        <f>-B21</f>
        <v>-399098</v>
      </c>
    </row>
    <row r="21" spans="1:18" x14ac:dyDescent="0.25">
      <c r="A21" s="3" t="s">
        <v>0</v>
      </c>
      <c r="B21" s="39">
        <v>399098</v>
      </c>
      <c r="C21" s="19">
        <f>B21+C19+C20</f>
        <v>384367.72284060001</v>
      </c>
      <c r="D21" s="19">
        <f t="shared" ref="D21:Q21" si="11">C21+D19+D20</f>
        <v>391577.07401630003</v>
      </c>
      <c r="E21" s="19">
        <f>D21+E19+E20</f>
        <v>419869.14157189999</v>
      </c>
      <c r="F21" s="19">
        <f t="shared" si="11"/>
        <v>436260.86086960003</v>
      </c>
      <c r="G21" s="19">
        <f t="shared" si="11"/>
        <v>446425.45337270002</v>
      </c>
      <c r="H21" s="19">
        <f t="shared" si="11"/>
        <v>458288.64258300001</v>
      </c>
      <c r="I21" s="19">
        <f t="shared" si="11"/>
        <v>453520.89193510002</v>
      </c>
      <c r="J21" s="19">
        <f t="shared" si="11"/>
        <v>430827.35261170001</v>
      </c>
      <c r="K21" s="19">
        <f t="shared" si="11"/>
        <v>405845.02544430003</v>
      </c>
      <c r="L21" s="19">
        <f t="shared" si="11"/>
        <v>369579.71487500006</v>
      </c>
      <c r="M21" s="19">
        <f t="shared" si="11"/>
        <v>338366.00236070005</v>
      </c>
      <c r="N21" s="19">
        <f t="shared" si="11"/>
        <v>314315.84167440003</v>
      </c>
      <c r="O21" s="19">
        <f t="shared" si="11"/>
        <v>316055.08434540004</v>
      </c>
      <c r="P21" s="19">
        <f t="shared" si="11"/>
        <v>347266.23311040003</v>
      </c>
      <c r="Q21" s="98">
        <f t="shared" si="11"/>
        <v>-41550.773553599953</v>
      </c>
    </row>
    <row r="22" spans="1:18" x14ac:dyDescent="0.25">
      <c r="A22" s="46" t="s">
        <v>39</v>
      </c>
      <c r="B22" s="39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90"/>
      <c r="O22" s="20"/>
      <c r="P22" s="20"/>
      <c r="Q22" s="71"/>
    </row>
    <row r="23" spans="1:18" s="49" customFormat="1" ht="12.75" x14ac:dyDescent="0.2">
      <c r="A23" s="47" t="s">
        <v>24</v>
      </c>
      <c r="B23" s="85"/>
      <c r="C23" s="85">
        <v>1.4999999999999999E-2</v>
      </c>
      <c r="D23" s="48">
        <v>1.4999999999999999E-2</v>
      </c>
      <c r="E23" s="48">
        <v>1.4999999999999999E-2</v>
      </c>
      <c r="F23" s="48">
        <v>1.4999999999999999E-2</v>
      </c>
      <c r="G23" s="48">
        <v>1.4999999999999999E-2</v>
      </c>
      <c r="H23" s="48">
        <v>1.4999999999999999E-2</v>
      </c>
      <c r="I23" s="48">
        <v>1.89E-2</v>
      </c>
      <c r="J23" s="48">
        <v>1.89E-2</v>
      </c>
      <c r="K23" s="48">
        <v>1.89E-2</v>
      </c>
      <c r="L23" s="48">
        <v>1.89E-2</v>
      </c>
      <c r="M23" s="48">
        <v>1.89E-2</v>
      </c>
      <c r="N23" s="48">
        <v>1.89E-2</v>
      </c>
      <c r="O23" s="48">
        <v>2.1700000000000001E-2</v>
      </c>
      <c r="P23" s="48">
        <v>2.1700000000000001E-2</v>
      </c>
      <c r="Q23" s="76">
        <v>2.1700000000000001E-2</v>
      </c>
    </row>
    <row r="24" spans="1:18" x14ac:dyDescent="0.25">
      <c r="A24" s="50" t="s">
        <v>1</v>
      </c>
      <c r="B24" s="97">
        <v>0</v>
      </c>
      <c r="C24" s="19">
        <f t="shared" ref="C24:O24" si="12">ROUND(B21*C23/12,2)</f>
        <v>498.87</v>
      </c>
      <c r="D24" s="90">
        <f t="shared" si="12"/>
        <v>480.46</v>
      </c>
      <c r="E24" s="90">
        <f t="shared" si="12"/>
        <v>489.47</v>
      </c>
      <c r="F24" s="90">
        <f t="shared" si="12"/>
        <v>524.84</v>
      </c>
      <c r="G24" s="90">
        <f t="shared" si="12"/>
        <v>545.33000000000004</v>
      </c>
      <c r="H24" s="90">
        <f t="shared" si="12"/>
        <v>558.03</v>
      </c>
      <c r="I24" s="90">
        <f t="shared" si="12"/>
        <v>721.8</v>
      </c>
      <c r="J24" s="90">
        <f t="shared" si="12"/>
        <v>714.3</v>
      </c>
      <c r="K24" s="90">
        <f t="shared" si="12"/>
        <v>678.55</v>
      </c>
      <c r="L24" s="90">
        <f t="shared" si="12"/>
        <v>639.21</v>
      </c>
      <c r="M24" s="90">
        <f t="shared" si="12"/>
        <v>582.09</v>
      </c>
      <c r="N24" s="90">
        <f t="shared" si="12"/>
        <v>532.92999999999995</v>
      </c>
      <c r="O24" s="90">
        <f t="shared" si="12"/>
        <v>568.39</v>
      </c>
      <c r="P24" s="90">
        <f>ROUND(O21*P23/12,2)</f>
        <v>571.53</v>
      </c>
      <c r="Q24" s="71">
        <f>ROUND(P21*Q23/12,2)</f>
        <v>627.97</v>
      </c>
      <c r="R24" s="101">
        <f>ROUND(Q21*Q23,2)</f>
        <v>-901.65</v>
      </c>
    </row>
    <row r="25" spans="1:18" x14ac:dyDescent="0.25">
      <c r="A25" s="100" t="s">
        <v>32</v>
      </c>
      <c r="B25" s="97">
        <v>0</v>
      </c>
      <c r="C25" s="19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71">
        <f>-B27</f>
        <v>-29822</v>
      </c>
    </row>
    <row r="26" spans="1:18" x14ac:dyDescent="0.25">
      <c r="A26" s="100" t="s">
        <v>33</v>
      </c>
      <c r="B26" s="45">
        <v>0</v>
      </c>
      <c r="C26" s="19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71">
        <f>-(ROUND($B$21*C23/12,2)+ROUND($B$21*D23/12,2)+ROUND($B$21*E23/12,2)+ROUND($B$21*F23/12,2)+ROUND($B$21*G23/12,2)+ROUND($B$21*H23/12,2)+ROUND($B$21*I23/12,2)+ROUND($B$21*J23/12,2)+ROUND($B$21*K23/12,2)+ROUND($B$21*L23/12,2)+ROUND($B$21*M23/12,2)+ROUND($B$21*N23/12,2)+ROUND($B$21*O23/12,2)+ROUND($B$21*P23/12,2)+ROUND($B$21*Q23/12,2))</f>
        <v>-8929.8000000000011</v>
      </c>
    </row>
    <row r="27" spans="1:18" x14ac:dyDescent="0.25">
      <c r="A27" s="3" t="s">
        <v>0</v>
      </c>
      <c r="B27" s="39">
        <v>29822</v>
      </c>
      <c r="C27" s="99">
        <f>B27+C24+C25+C26</f>
        <v>30320.87</v>
      </c>
      <c r="D27" s="99">
        <f t="shared" ref="D27:Q27" si="13">C27+D24+D25+D26</f>
        <v>30801.329999999998</v>
      </c>
      <c r="E27" s="99">
        <f t="shared" si="13"/>
        <v>31290.799999999999</v>
      </c>
      <c r="F27" s="99">
        <f t="shared" si="13"/>
        <v>31815.64</v>
      </c>
      <c r="G27" s="99">
        <f t="shared" si="13"/>
        <v>32360.97</v>
      </c>
      <c r="H27" s="99">
        <f t="shared" si="13"/>
        <v>32919</v>
      </c>
      <c r="I27" s="99">
        <f t="shared" si="13"/>
        <v>33640.800000000003</v>
      </c>
      <c r="J27" s="99">
        <f t="shared" si="13"/>
        <v>34355.100000000006</v>
      </c>
      <c r="K27" s="99">
        <f t="shared" si="13"/>
        <v>35033.650000000009</v>
      </c>
      <c r="L27" s="99">
        <f t="shared" si="13"/>
        <v>35672.860000000008</v>
      </c>
      <c r="M27" s="99">
        <f t="shared" si="13"/>
        <v>36254.950000000004</v>
      </c>
      <c r="N27" s="99">
        <f t="shared" si="13"/>
        <v>36787.880000000005</v>
      </c>
      <c r="O27" s="99">
        <f t="shared" si="13"/>
        <v>37356.270000000004</v>
      </c>
      <c r="P27" s="99">
        <f t="shared" si="13"/>
        <v>37927.800000000003</v>
      </c>
      <c r="Q27" s="98">
        <f t="shared" si="13"/>
        <v>-196.02999999999702</v>
      </c>
    </row>
    <row r="28" spans="1:18" s="54" customFormat="1" x14ac:dyDescent="0.25">
      <c r="A28" s="51"/>
      <c r="B28" s="53"/>
      <c r="C28" s="86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92"/>
      <c r="O28" s="52"/>
      <c r="P28" s="52"/>
      <c r="Q28" s="77"/>
    </row>
    <row r="29" spans="1:18" ht="15.75" thickBot="1" x14ac:dyDescent="0.3">
      <c r="A29" s="55" t="s">
        <v>37</v>
      </c>
      <c r="B29" s="57">
        <f t="shared" ref="B29:Q29" si="14">B21+B27</f>
        <v>428920</v>
      </c>
      <c r="C29" s="87">
        <f t="shared" si="14"/>
        <v>414688.5928406</v>
      </c>
      <c r="D29" s="56">
        <f t="shared" si="14"/>
        <v>422378.40401630005</v>
      </c>
      <c r="E29" s="56">
        <f t="shared" si="14"/>
        <v>451159.94157189998</v>
      </c>
      <c r="F29" s="56">
        <f t="shared" si="14"/>
        <v>468076.50086960004</v>
      </c>
      <c r="G29" s="56">
        <f t="shared" si="14"/>
        <v>478786.4233727</v>
      </c>
      <c r="H29" s="56">
        <f t="shared" si="14"/>
        <v>491207.64258300001</v>
      </c>
      <c r="I29" s="56">
        <f t="shared" si="14"/>
        <v>487161.69193510001</v>
      </c>
      <c r="J29" s="56">
        <f t="shared" si="14"/>
        <v>465182.45261170005</v>
      </c>
      <c r="K29" s="56">
        <f t="shared" si="14"/>
        <v>440878.67544430005</v>
      </c>
      <c r="L29" s="56">
        <f t="shared" si="14"/>
        <v>405252.57487500005</v>
      </c>
      <c r="M29" s="56">
        <f t="shared" si="14"/>
        <v>374620.95236070006</v>
      </c>
      <c r="N29" s="56">
        <f t="shared" si="14"/>
        <v>351103.72167440003</v>
      </c>
      <c r="O29" s="56">
        <f t="shared" si="14"/>
        <v>353411.35434540006</v>
      </c>
      <c r="P29" s="56">
        <f t="shared" si="14"/>
        <v>385194.03311040002</v>
      </c>
      <c r="Q29" s="78">
        <f t="shared" si="14"/>
        <v>-41746.803553599952</v>
      </c>
    </row>
    <row r="30" spans="1:18" x14ac:dyDescent="0.25">
      <c r="A30" s="46"/>
      <c r="B30" s="3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90"/>
      <c r="O30" s="20"/>
      <c r="P30" s="20"/>
      <c r="Q30" s="71"/>
    </row>
    <row r="31" spans="1:18" x14ac:dyDescent="0.25">
      <c r="A31" s="8" t="s">
        <v>38</v>
      </c>
      <c r="B31" s="58"/>
      <c r="C31" s="8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93"/>
      <c r="O31" s="59"/>
      <c r="P31" s="59"/>
      <c r="Q31" s="79"/>
    </row>
    <row r="32" spans="1:18" x14ac:dyDescent="0.25">
      <c r="A32" s="17" t="s">
        <v>15</v>
      </c>
      <c r="B32" s="58"/>
      <c r="C32" s="88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93"/>
      <c r="O32" s="59"/>
      <c r="P32" s="59"/>
      <c r="Q32" s="79"/>
    </row>
    <row r="33" spans="1:18" x14ac:dyDescent="0.25">
      <c r="A33" s="3" t="s">
        <v>25</v>
      </c>
      <c r="B33" s="21">
        <v>0</v>
      </c>
      <c r="C33" s="19">
        <v>85344.1</v>
      </c>
      <c r="D33" s="20">
        <v>106825.83</v>
      </c>
      <c r="E33" s="20">
        <v>99780.62</v>
      </c>
      <c r="F33" s="20">
        <v>109565.67</v>
      </c>
      <c r="G33" s="20">
        <v>93381.74</v>
      </c>
      <c r="H33" s="20">
        <v>103063.38</v>
      </c>
      <c r="I33" s="20">
        <v>72553.86</v>
      </c>
      <c r="J33" s="20">
        <v>103359.03999999999</v>
      </c>
      <c r="K33" s="20">
        <v>97001.18</v>
      </c>
      <c r="L33" s="20">
        <v>98147.85</v>
      </c>
      <c r="M33" s="20">
        <v>100201.78</v>
      </c>
      <c r="N33" s="90">
        <v>74373.75</v>
      </c>
      <c r="O33" s="20">
        <v>0</v>
      </c>
      <c r="P33" s="20">
        <v>0</v>
      </c>
      <c r="Q33" s="71">
        <v>0</v>
      </c>
    </row>
    <row r="34" spans="1:18" x14ac:dyDescent="0.25">
      <c r="A34" s="3" t="s">
        <v>26</v>
      </c>
      <c r="B34" s="21">
        <v>0</v>
      </c>
      <c r="C34" s="19">
        <f>9246.49-9.7-79531.62</f>
        <v>-70294.83</v>
      </c>
      <c r="D34" s="20">
        <v>-99550.3</v>
      </c>
      <c r="E34" s="20">
        <v>-92984.91</v>
      </c>
      <c r="F34" s="20">
        <v>-103445.78</v>
      </c>
      <c r="G34" s="20">
        <v>-88165.82</v>
      </c>
      <c r="H34" s="20">
        <v>-97306.68</v>
      </c>
      <c r="I34" s="20">
        <v>-68851.990000000005</v>
      </c>
      <c r="J34" s="20">
        <v>-98085.41</v>
      </c>
      <c r="K34" s="20">
        <v>-92051.94</v>
      </c>
      <c r="L34" s="20">
        <v>-93140.1</v>
      </c>
      <c r="M34" s="20">
        <v>-95089.24</v>
      </c>
      <c r="N34" s="90">
        <v>-70579.02</v>
      </c>
      <c r="O34" s="20">
        <v>0</v>
      </c>
      <c r="P34" s="20">
        <v>0</v>
      </c>
      <c r="Q34" s="71">
        <v>0</v>
      </c>
    </row>
    <row r="35" spans="1:18" x14ac:dyDescent="0.25">
      <c r="A35" s="3" t="s">
        <v>27</v>
      </c>
      <c r="B35" s="21">
        <v>0</v>
      </c>
      <c r="C35" s="19">
        <v>29868.05</v>
      </c>
      <c r="D35" s="20">
        <v>29868.05</v>
      </c>
      <c r="E35" s="20">
        <v>29868.05</v>
      </c>
      <c r="F35" s="20">
        <v>31510.86</v>
      </c>
      <c r="G35" s="20">
        <v>31510.86</v>
      </c>
      <c r="H35" s="20">
        <v>31510.86</v>
      </c>
      <c r="I35" s="20">
        <v>31510.86</v>
      </c>
      <c r="J35" s="20">
        <v>31510.86</v>
      </c>
      <c r="K35" s="20">
        <v>31510.86</v>
      </c>
      <c r="L35" s="20">
        <v>49157.37</v>
      </c>
      <c r="M35" s="20">
        <v>49157.37</v>
      </c>
      <c r="N35" s="90">
        <v>49157.37</v>
      </c>
      <c r="O35" s="20">
        <v>0</v>
      </c>
      <c r="P35" s="20">
        <v>0</v>
      </c>
      <c r="Q35" s="71">
        <v>0</v>
      </c>
    </row>
    <row r="36" spans="1:18" s="26" customFormat="1" x14ac:dyDescent="0.25">
      <c r="A36" s="23" t="s">
        <v>19</v>
      </c>
      <c r="B36" s="83">
        <f t="shared" ref="B36:N36" si="15">SUM(B33:B35)</f>
        <v>0</v>
      </c>
      <c r="C36" s="83">
        <f t="shared" si="15"/>
        <v>44917.320000000007</v>
      </c>
      <c r="D36" s="24">
        <f t="shared" si="15"/>
        <v>37143.58</v>
      </c>
      <c r="E36" s="24">
        <f t="shared" si="15"/>
        <v>36663.759999999995</v>
      </c>
      <c r="F36" s="24">
        <f t="shared" si="15"/>
        <v>37630.75</v>
      </c>
      <c r="G36" s="24">
        <f t="shared" si="15"/>
        <v>36726.78</v>
      </c>
      <c r="H36" s="24">
        <f t="shared" ref="H36" si="16">SUM(H33:H35)</f>
        <v>37267.560000000012</v>
      </c>
      <c r="I36" s="24">
        <f t="shared" si="15"/>
        <v>35212.729999999996</v>
      </c>
      <c r="J36" s="24">
        <f t="shared" si="15"/>
        <v>36784.489999999991</v>
      </c>
      <c r="K36" s="24">
        <f t="shared" si="15"/>
        <v>36460.099999999991</v>
      </c>
      <c r="L36" s="24">
        <f t="shared" si="15"/>
        <v>54165.120000000003</v>
      </c>
      <c r="M36" s="24">
        <f t="shared" si="15"/>
        <v>54269.909999999996</v>
      </c>
      <c r="N36" s="24">
        <f t="shared" si="15"/>
        <v>52952.1</v>
      </c>
      <c r="O36" s="24">
        <f t="shared" ref="O36:Q36" si="17">SUM(O33:O35)</f>
        <v>0</v>
      </c>
      <c r="P36" s="24">
        <f t="shared" si="17"/>
        <v>0</v>
      </c>
      <c r="Q36" s="72">
        <f t="shared" si="17"/>
        <v>0</v>
      </c>
    </row>
    <row r="37" spans="1:18" s="31" customFormat="1" x14ac:dyDescent="0.25">
      <c r="A37" s="27" t="s">
        <v>28</v>
      </c>
      <c r="B37" s="30"/>
      <c r="C37" s="84">
        <v>2396902.2999999998</v>
      </c>
      <c r="D37" s="28">
        <v>3000220</v>
      </c>
      <c r="E37" s="29">
        <v>2802354.1</v>
      </c>
      <c r="F37" s="29">
        <v>3117620.9</v>
      </c>
      <c r="G37" s="29">
        <v>2657117.6</v>
      </c>
      <c r="H37" s="29">
        <v>2932602.5</v>
      </c>
      <c r="I37" s="29">
        <v>2075042.6</v>
      </c>
      <c r="J37" s="29">
        <v>2956071.6</v>
      </c>
      <c r="K37" s="29">
        <v>2774236.5</v>
      </c>
      <c r="L37" s="29">
        <v>2807031.2</v>
      </c>
      <c r="M37" s="29">
        <v>2865773.9</v>
      </c>
      <c r="N37" s="29">
        <v>2127091.5</v>
      </c>
      <c r="O37" s="29"/>
      <c r="P37" s="29"/>
      <c r="Q37" s="73"/>
    </row>
    <row r="38" spans="1:18" x14ac:dyDescent="0.25">
      <c r="A38" s="46" t="s">
        <v>29</v>
      </c>
      <c r="B38" s="35"/>
      <c r="C38" s="33">
        <f t="shared" ref="C38:N38" si="18">ROUND(+(C35+C33+C34)/C37,6)</f>
        <v>1.874E-2</v>
      </c>
      <c r="D38" s="34">
        <f t="shared" si="18"/>
        <v>1.238E-2</v>
      </c>
      <c r="E38" s="34">
        <f t="shared" si="18"/>
        <v>1.3082999999999999E-2</v>
      </c>
      <c r="F38" s="34">
        <f t="shared" si="18"/>
        <v>1.2070000000000001E-2</v>
      </c>
      <c r="G38" s="34">
        <f t="shared" si="18"/>
        <v>1.3821999999999999E-2</v>
      </c>
      <c r="H38" s="34">
        <f t="shared" si="18"/>
        <v>1.2708000000000001E-2</v>
      </c>
      <c r="I38" s="34">
        <f t="shared" si="18"/>
        <v>1.6969999999999999E-2</v>
      </c>
      <c r="J38" s="34">
        <f t="shared" si="18"/>
        <v>1.2444E-2</v>
      </c>
      <c r="K38" s="34">
        <f t="shared" si="18"/>
        <v>1.3141999999999999E-2</v>
      </c>
      <c r="L38" s="34">
        <f t="shared" si="18"/>
        <v>1.9296000000000001E-2</v>
      </c>
      <c r="M38" s="34">
        <f t="shared" si="18"/>
        <v>1.8936999999999999E-2</v>
      </c>
      <c r="N38" s="34">
        <f t="shared" si="18"/>
        <v>2.4893999999999999E-2</v>
      </c>
      <c r="O38" s="34">
        <f>IF(O37=0,0,ROUND(+(O35+O33+O34)/O37,6))</f>
        <v>0</v>
      </c>
      <c r="P38" s="34">
        <f t="shared" ref="P38:Q38" si="19">IF(P37=0,0,ROUND(+(P35+P33+P34)/P37,6))</f>
        <v>0</v>
      </c>
      <c r="Q38" s="74">
        <f t="shared" si="19"/>
        <v>0</v>
      </c>
    </row>
    <row r="39" spans="1:18" s="40" customFormat="1" ht="12.75" x14ac:dyDescent="0.2">
      <c r="A39" s="60" t="s">
        <v>22</v>
      </c>
      <c r="B39" s="39"/>
      <c r="C39" s="37">
        <v>9.8849999999999997E-3</v>
      </c>
      <c r="D39" s="38">
        <f>C39</f>
        <v>9.8849999999999997E-3</v>
      </c>
      <c r="E39" s="38">
        <f t="shared" ref="E39:Q39" si="20">D39</f>
        <v>9.8849999999999997E-3</v>
      </c>
      <c r="F39" s="38">
        <f t="shared" si="20"/>
        <v>9.8849999999999997E-3</v>
      </c>
      <c r="G39" s="38">
        <f t="shared" si="20"/>
        <v>9.8849999999999997E-3</v>
      </c>
      <c r="H39" s="38">
        <f t="shared" si="20"/>
        <v>9.8849999999999997E-3</v>
      </c>
      <c r="I39" s="38">
        <f t="shared" si="20"/>
        <v>9.8849999999999997E-3</v>
      </c>
      <c r="J39" s="38">
        <f t="shared" si="20"/>
        <v>9.8849999999999997E-3</v>
      </c>
      <c r="K39" s="38">
        <f t="shared" si="20"/>
        <v>9.8849999999999997E-3</v>
      </c>
      <c r="L39" s="38">
        <f t="shared" si="20"/>
        <v>9.8849999999999997E-3</v>
      </c>
      <c r="M39" s="38">
        <f t="shared" si="20"/>
        <v>9.8849999999999997E-3</v>
      </c>
      <c r="N39" s="91">
        <f t="shared" si="20"/>
        <v>9.8849999999999997E-3</v>
      </c>
      <c r="O39" s="38">
        <f t="shared" si="20"/>
        <v>9.8849999999999997E-3</v>
      </c>
      <c r="P39" s="38">
        <f t="shared" si="20"/>
        <v>9.8849999999999997E-3</v>
      </c>
      <c r="Q39" s="94">
        <f t="shared" si="20"/>
        <v>9.8849999999999997E-3</v>
      </c>
    </row>
    <row r="40" spans="1:18" x14ac:dyDescent="0.25">
      <c r="A40" s="46" t="s">
        <v>23</v>
      </c>
      <c r="B40" s="39"/>
      <c r="C40" s="33">
        <f t="shared" ref="C40:N40" si="21">C39-C38</f>
        <v>-8.855E-3</v>
      </c>
      <c r="D40" s="34">
        <f t="shared" si="21"/>
        <v>-2.4950000000000007E-3</v>
      </c>
      <c r="E40" s="34">
        <f t="shared" si="21"/>
        <v>-3.1979999999999995E-3</v>
      </c>
      <c r="F40" s="34">
        <f t="shared" si="21"/>
        <v>-2.1850000000000012E-3</v>
      </c>
      <c r="G40" s="34">
        <f t="shared" si="21"/>
        <v>-3.9369999999999995E-3</v>
      </c>
      <c r="H40" s="34">
        <f t="shared" si="21"/>
        <v>-2.8230000000000009E-3</v>
      </c>
      <c r="I40" s="34">
        <f t="shared" si="21"/>
        <v>-7.0849999999999993E-3</v>
      </c>
      <c r="J40" s="34">
        <f t="shared" si="21"/>
        <v>-2.5590000000000005E-3</v>
      </c>
      <c r="K40" s="34">
        <f t="shared" si="21"/>
        <v>-3.2569999999999995E-3</v>
      </c>
      <c r="L40" s="34">
        <f t="shared" si="21"/>
        <v>-9.411000000000001E-3</v>
      </c>
      <c r="M40" s="34">
        <f t="shared" si="21"/>
        <v>-9.0519999999999993E-3</v>
      </c>
      <c r="N40" s="34">
        <f t="shared" si="21"/>
        <v>-1.5009E-2</v>
      </c>
      <c r="O40" s="34">
        <f t="shared" ref="O40:Q40" si="22">O39-O38</f>
        <v>9.8849999999999997E-3</v>
      </c>
      <c r="P40" s="34">
        <f t="shared" si="22"/>
        <v>9.8849999999999997E-3</v>
      </c>
      <c r="Q40" s="74">
        <f t="shared" si="22"/>
        <v>9.8849999999999997E-3</v>
      </c>
    </row>
    <row r="41" spans="1:18" x14ac:dyDescent="0.25">
      <c r="A41" s="1"/>
      <c r="B41" s="39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74"/>
    </row>
    <row r="42" spans="1:18" x14ac:dyDescent="0.25">
      <c r="A42" s="46" t="s">
        <v>38</v>
      </c>
      <c r="B42" s="97">
        <v>0</v>
      </c>
      <c r="C42" s="19">
        <f t="shared" ref="C42:N42" si="23">+C40*C37</f>
        <v>-21224.569866499998</v>
      </c>
      <c r="D42" s="90">
        <f t="shared" si="23"/>
        <v>-7485.5489000000025</v>
      </c>
      <c r="E42" s="90">
        <f t="shared" si="23"/>
        <v>-8961.9284117999996</v>
      </c>
      <c r="F42" s="152">
        <f>+F40*F37</f>
        <v>-6812.0016665000039</v>
      </c>
      <c r="G42" s="90">
        <f t="shared" si="23"/>
        <v>-10461.071991199999</v>
      </c>
      <c r="H42" s="90">
        <f t="shared" si="23"/>
        <v>-8278.7368575000019</v>
      </c>
      <c r="I42" s="90">
        <f t="shared" si="23"/>
        <v>-14701.676820999999</v>
      </c>
      <c r="J42" s="90">
        <f t="shared" si="23"/>
        <v>-7564.587224400002</v>
      </c>
      <c r="K42" s="90">
        <f t="shared" si="23"/>
        <v>-9035.6882804999987</v>
      </c>
      <c r="L42" s="90">
        <f t="shared" si="23"/>
        <v>-26416.970623200006</v>
      </c>
      <c r="M42" s="90">
        <f t="shared" si="23"/>
        <v>-25940.985342799999</v>
      </c>
      <c r="N42" s="90">
        <f t="shared" si="23"/>
        <v>-31925.5163235</v>
      </c>
      <c r="O42" s="90">
        <f t="shared" ref="O42:Q42" si="24">+O40*O37</f>
        <v>0</v>
      </c>
      <c r="P42" s="90">
        <f t="shared" si="24"/>
        <v>0</v>
      </c>
      <c r="Q42" s="71">
        <f t="shared" si="24"/>
        <v>0</v>
      </c>
    </row>
    <row r="43" spans="1:18" x14ac:dyDescent="0.25">
      <c r="A43" s="100" t="s">
        <v>32</v>
      </c>
      <c r="B43" s="45">
        <v>0</v>
      </c>
      <c r="C43" s="43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75">
        <f>-B44</f>
        <v>-500577</v>
      </c>
    </row>
    <row r="44" spans="1:18" x14ac:dyDescent="0.25">
      <c r="A44" s="3" t="s">
        <v>0</v>
      </c>
      <c r="B44" s="39">
        <v>500577</v>
      </c>
      <c r="C44" s="19">
        <f>B44+C42+C43</f>
        <v>479352.43013350002</v>
      </c>
      <c r="D44" s="19">
        <f t="shared" ref="D44:Q44" si="25">C44+D42+D43</f>
        <v>471866.88123350003</v>
      </c>
      <c r="E44" s="19">
        <f t="shared" si="25"/>
        <v>462904.95282170002</v>
      </c>
      <c r="F44" s="19">
        <f t="shared" si="25"/>
        <v>456092.95115520002</v>
      </c>
      <c r="G44" s="19">
        <f t="shared" si="25"/>
        <v>445631.87916400004</v>
      </c>
      <c r="H44" s="19">
        <f t="shared" si="25"/>
        <v>437353.14230650006</v>
      </c>
      <c r="I44" s="19">
        <f t="shared" si="25"/>
        <v>422651.46548550006</v>
      </c>
      <c r="J44" s="19">
        <f t="shared" si="25"/>
        <v>415086.87826110004</v>
      </c>
      <c r="K44" s="19">
        <f t="shared" si="25"/>
        <v>406051.18998060003</v>
      </c>
      <c r="L44" s="19">
        <f t="shared" si="25"/>
        <v>379634.21935740003</v>
      </c>
      <c r="M44" s="19">
        <f t="shared" si="25"/>
        <v>353693.23401460005</v>
      </c>
      <c r="N44" s="19">
        <f t="shared" si="25"/>
        <v>321767.71769110003</v>
      </c>
      <c r="O44" s="19">
        <f t="shared" si="25"/>
        <v>321767.71769110003</v>
      </c>
      <c r="P44" s="19">
        <f t="shared" si="25"/>
        <v>321767.71769110003</v>
      </c>
      <c r="Q44" s="97">
        <f t="shared" si="25"/>
        <v>-178809.28230889997</v>
      </c>
    </row>
    <row r="45" spans="1:18" x14ac:dyDescent="0.25">
      <c r="A45" s="46" t="s">
        <v>40</v>
      </c>
      <c r="B45" s="39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90"/>
      <c r="O45" s="20"/>
      <c r="P45" s="20"/>
      <c r="Q45" s="71"/>
    </row>
    <row r="46" spans="1:18" x14ac:dyDescent="0.25">
      <c r="A46" s="50" t="s">
        <v>1</v>
      </c>
      <c r="B46" s="97">
        <v>0</v>
      </c>
      <c r="C46" s="19">
        <f t="shared" ref="C46:Q46" si="26">ROUND(B44*C23/12,2)</f>
        <v>625.72</v>
      </c>
      <c r="D46" s="90">
        <f t="shared" si="26"/>
        <v>599.19000000000005</v>
      </c>
      <c r="E46" s="90">
        <f t="shared" si="26"/>
        <v>589.83000000000004</v>
      </c>
      <c r="F46" s="90">
        <f t="shared" si="26"/>
        <v>578.63</v>
      </c>
      <c r="G46" s="90">
        <f t="shared" si="26"/>
        <v>570.12</v>
      </c>
      <c r="H46" s="90">
        <f t="shared" si="26"/>
        <v>557.04</v>
      </c>
      <c r="I46" s="90">
        <f t="shared" si="26"/>
        <v>688.83</v>
      </c>
      <c r="J46" s="90">
        <f t="shared" si="26"/>
        <v>665.68</v>
      </c>
      <c r="K46" s="90">
        <f t="shared" si="26"/>
        <v>653.76</v>
      </c>
      <c r="L46" s="90">
        <f t="shared" si="26"/>
        <v>639.53</v>
      </c>
      <c r="M46" s="90">
        <f t="shared" si="26"/>
        <v>597.91999999999996</v>
      </c>
      <c r="N46" s="90">
        <f t="shared" si="26"/>
        <v>557.07000000000005</v>
      </c>
      <c r="O46" s="90">
        <f t="shared" si="26"/>
        <v>581.86</v>
      </c>
      <c r="P46" s="90">
        <f t="shared" si="26"/>
        <v>581.86</v>
      </c>
      <c r="Q46" s="71">
        <f t="shared" si="26"/>
        <v>581.86</v>
      </c>
      <c r="R46" s="101">
        <f>ROUND(Q44*Q23,2)</f>
        <v>-3880.16</v>
      </c>
    </row>
    <row r="47" spans="1:18" x14ac:dyDescent="0.25">
      <c r="A47" s="100" t="s">
        <v>32</v>
      </c>
      <c r="B47" s="97">
        <v>0</v>
      </c>
      <c r="C47" s="19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71">
        <f>-B49</f>
        <v>-43735</v>
      </c>
    </row>
    <row r="48" spans="1:18" x14ac:dyDescent="0.25">
      <c r="A48" s="100" t="s">
        <v>33</v>
      </c>
      <c r="B48" s="45">
        <v>0</v>
      </c>
      <c r="C48" s="43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71">
        <f>-(ROUND($B$44*C23/12,2)+ROUND($B$44*D23/12,2)+ROUND($B$44*E23/12,2)+ROUND($B$44*F23/12,2)+ROUND($B$44*G23/12,2)+ROUND($B$44*H23/12,2)+ROUND($B$44*I23/12,2)+ROUND($B$44*J23/12,2)+ROUND($B$44*K23/12,2)+ROUND($B$44*L23/12,2)+ROUND($B$44*M23/12,2)+ROUND($B$44*N23/12,2)+ROUND($B$44*O23/12,2)+ROUND($B$44*P23/12,2)+ROUND($B$44*Q23/12,2))</f>
        <v>-11200.41</v>
      </c>
    </row>
    <row r="49" spans="1:17" x14ac:dyDescent="0.25">
      <c r="A49" s="3" t="s">
        <v>0</v>
      </c>
      <c r="B49" s="39">
        <v>43735</v>
      </c>
      <c r="C49" s="19">
        <f>B49+C46+C47+C48</f>
        <v>44360.72</v>
      </c>
      <c r="D49" s="19">
        <f t="shared" ref="D49:Q49" si="27">C49+D46+D47+D48</f>
        <v>44959.91</v>
      </c>
      <c r="E49" s="19">
        <f t="shared" si="27"/>
        <v>45549.740000000005</v>
      </c>
      <c r="F49" s="19">
        <f t="shared" si="27"/>
        <v>46128.37</v>
      </c>
      <c r="G49" s="19">
        <f t="shared" si="27"/>
        <v>46698.490000000005</v>
      </c>
      <c r="H49" s="19">
        <f t="shared" si="27"/>
        <v>47255.530000000006</v>
      </c>
      <c r="I49" s="19">
        <f t="shared" si="27"/>
        <v>47944.360000000008</v>
      </c>
      <c r="J49" s="19">
        <f t="shared" si="27"/>
        <v>48610.040000000008</v>
      </c>
      <c r="K49" s="19">
        <f t="shared" si="27"/>
        <v>49263.80000000001</v>
      </c>
      <c r="L49" s="19">
        <f t="shared" si="27"/>
        <v>49903.330000000009</v>
      </c>
      <c r="M49" s="19">
        <f t="shared" si="27"/>
        <v>50501.250000000007</v>
      </c>
      <c r="N49" s="19">
        <f t="shared" si="27"/>
        <v>51058.320000000007</v>
      </c>
      <c r="O49" s="19">
        <f t="shared" si="27"/>
        <v>51640.180000000008</v>
      </c>
      <c r="P49" s="19">
        <f t="shared" si="27"/>
        <v>52222.040000000008</v>
      </c>
      <c r="Q49" s="98">
        <f t="shared" si="27"/>
        <v>-2131.5099999999911</v>
      </c>
    </row>
    <row r="50" spans="1:17" x14ac:dyDescent="0.25">
      <c r="B50" s="53"/>
      <c r="C50" s="86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92"/>
      <c r="O50" s="52"/>
      <c r="P50" s="52"/>
      <c r="Q50" s="77"/>
    </row>
    <row r="51" spans="1:17" ht="15.75" thickBot="1" x14ac:dyDescent="0.3">
      <c r="A51" s="61" t="s">
        <v>41</v>
      </c>
      <c r="B51" s="57">
        <f t="shared" ref="B51:Q51" si="28">B44+B49</f>
        <v>544312</v>
      </c>
      <c r="C51" s="57">
        <f t="shared" si="28"/>
        <v>523713.15013349999</v>
      </c>
      <c r="D51" s="57">
        <f t="shared" si="28"/>
        <v>516826.7912335</v>
      </c>
      <c r="E51" s="57">
        <f t="shared" si="28"/>
        <v>508454.69282170001</v>
      </c>
      <c r="F51" s="57">
        <f t="shared" si="28"/>
        <v>502221.32115520001</v>
      </c>
      <c r="G51" s="57">
        <f t="shared" si="28"/>
        <v>492330.36916400003</v>
      </c>
      <c r="H51" s="57">
        <f t="shared" si="28"/>
        <v>484608.67230650008</v>
      </c>
      <c r="I51" s="57">
        <f t="shared" si="28"/>
        <v>470595.82548550004</v>
      </c>
      <c r="J51" s="57">
        <f t="shared" si="28"/>
        <v>463696.91826110007</v>
      </c>
      <c r="K51" s="57">
        <f t="shared" si="28"/>
        <v>455314.98998060002</v>
      </c>
      <c r="L51" s="57">
        <f t="shared" si="28"/>
        <v>429537.54935740004</v>
      </c>
      <c r="M51" s="57">
        <f t="shared" si="28"/>
        <v>404194.48401460005</v>
      </c>
      <c r="N51" s="87">
        <f t="shared" si="28"/>
        <v>372826.03769110003</v>
      </c>
      <c r="O51" s="78">
        <f t="shared" si="28"/>
        <v>373407.89769110002</v>
      </c>
      <c r="P51" s="57">
        <f t="shared" si="28"/>
        <v>373989.75769110001</v>
      </c>
      <c r="Q51" s="57">
        <f t="shared" si="28"/>
        <v>-180940.79230889995</v>
      </c>
    </row>
    <row r="52" spans="1:17" x14ac:dyDescent="0.25">
      <c r="A52" s="46"/>
      <c r="B52" s="6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25">
      <c r="A53" s="46"/>
      <c r="B53" s="6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46"/>
      <c r="B54" s="6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7" x14ac:dyDescent="0.25">
      <c r="A55" s="64"/>
      <c r="B55" s="6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7" x14ac:dyDescent="0.25">
      <c r="A56" s="65"/>
      <c r="B56" s="4"/>
    </row>
    <row r="57" spans="1:17" x14ac:dyDescent="0.25">
      <c r="A57" s="66"/>
      <c r="B57" s="4"/>
    </row>
    <row r="58" spans="1:17" x14ac:dyDescent="0.25">
      <c r="A58" s="67"/>
      <c r="B58" s="4"/>
    </row>
    <row r="59" spans="1:17" x14ac:dyDescent="0.25">
      <c r="A59" s="67"/>
      <c r="B59" s="4"/>
    </row>
    <row r="60" spans="1:17" x14ac:dyDescent="0.25">
      <c r="A60" s="46"/>
      <c r="B60" s="4"/>
    </row>
    <row r="61" spans="1:17" x14ac:dyDescent="0.25">
      <c r="A61" s="46"/>
      <c r="B61" s="4"/>
    </row>
    <row r="62" spans="1:17" x14ac:dyDescent="0.25">
      <c r="A62" s="64"/>
      <c r="B62" s="4"/>
    </row>
    <row r="63" spans="1:17" x14ac:dyDescent="0.25">
      <c r="A63" s="65"/>
      <c r="B63" s="4"/>
    </row>
    <row r="64" spans="1:17" x14ac:dyDescent="0.25">
      <c r="A64" s="66"/>
      <c r="B64" s="4"/>
    </row>
    <row r="65" spans="1:14" x14ac:dyDescent="0.25">
      <c r="A65" s="67"/>
      <c r="B65" s="4"/>
    </row>
    <row r="66" spans="1:14" x14ac:dyDescent="0.25">
      <c r="A66" s="67"/>
      <c r="B66" s="4"/>
    </row>
    <row r="67" spans="1:14" x14ac:dyDescent="0.25">
      <c r="A67" s="46"/>
      <c r="B67" s="4"/>
    </row>
    <row r="68" spans="1:14" x14ac:dyDescent="0.25">
      <c r="A68" s="46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46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46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46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46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1">
    <mergeCell ref="B4:B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&amp;R&amp;"Times New Roman,Regular"&amp;10Filed: 2019-01-31
EB-2018-0336
Exhibit 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Status xmlns="0365ef57-68bf-4299-bfce-c7e49bc24f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05B4BE0E41847B89D569DA4220E9D" ma:contentTypeVersion="2" ma:contentTypeDescription="Create a new document." ma:contentTypeScope="" ma:versionID="847539c6a81548dd600735ba7c112ee2">
  <xsd:schema xmlns:xsd="http://www.w3.org/2001/XMLSchema" xmlns:xs="http://www.w3.org/2001/XMLSchema" xmlns:p="http://schemas.microsoft.com/office/2006/metadata/properties" xmlns:ns2="http://schemas.microsoft.com/sharepoint/v3/fields" xmlns:ns3="0365ef57-68bf-4299-bfce-c7e49bc24fbe" targetNamespace="http://schemas.microsoft.com/office/2006/metadata/properties" ma:root="true" ma:fieldsID="9773e45ac9bd2cbaaa49bee9fb2aa790" ns2:_="" ns3:_="">
    <xsd:import namespace="http://schemas.microsoft.com/sharepoint/v3/fields"/>
    <xsd:import namespace="0365ef57-68bf-4299-bfce-c7e49bc24fbe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Tracker 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5ef57-68bf-4299-bfce-c7e49bc24fbe" elementFormDefault="qualified">
    <xsd:import namespace="http://schemas.microsoft.com/office/2006/documentManagement/types"/>
    <xsd:import namespace="http://schemas.microsoft.com/office/infopath/2007/PartnerControls"/>
    <xsd:element name="Status" ma:index="9" nillable="true" ma:displayName="Status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Tracker 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D51A8-EA96-4914-9F8B-D43DD84875C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sharepoint/v3/field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365ef57-68bf-4299-bfce-c7e49bc24fbe"/>
  </ds:schemaRefs>
</ds:datastoreItem>
</file>

<file path=customXml/itemProps2.xml><?xml version="1.0" encoding="utf-8"?>
<ds:datastoreItem xmlns:ds="http://schemas.openxmlformats.org/officeDocument/2006/customXml" ds:itemID="{C05DE33C-7ED1-4C34-821D-537BC0EF3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2AE9-4E9C-4E32-A4B8-F25E43E1F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365ef57-68bf-4299-bfce-c7e49bc24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A1.1 Summary</vt:lpstr>
      <vt:lpstr>A1.2 REDA</vt:lpstr>
      <vt:lpstr>A1.3 PGTVA</vt:lpstr>
      <vt:lpstr>'A1.2 REDA'!_MailEndCompose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Lamers, Nakita</dc:creator>
  <cp:lastModifiedBy>Sicotte, Shawna</cp:lastModifiedBy>
  <cp:lastPrinted>2019-01-29T22:05:22Z</cp:lastPrinted>
  <dcterms:created xsi:type="dcterms:W3CDTF">2019-01-29T22:03:55Z</dcterms:created>
  <dcterms:modified xsi:type="dcterms:W3CDTF">2019-01-31T14:43:57Z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0x010100FF005B4BE0E41847B89D569DA4220E9D</vt:lpwstr>
  </property>
</Properties>
</file>