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externalLink+xml" PartName="/xl/externalLinks/externalLink10.xml"/>
  <Override ContentType="application/vnd.openxmlformats-officedocument.spreadsheetml.externalLink+xml" PartName="/xl/externalLinks/externalLink1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externalLink+xml" PartName="/xl/externalLinks/externalLink7.xml"/>
  <Override ContentType="application/vnd.openxmlformats-officedocument.spreadsheetml.externalLink+xml" PartName="/xl/externalLinks/externalLink8.xml"/>
  <Override ContentType="application/vnd.openxmlformats-officedocument.spreadsheetml.externalLink+xml" PartName="/xl/externalLinks/externalLink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NRPortbl\CM\DSTEVENS\"/>
    </mc:Choice>
  </mc:AlternateContent>
  <bookViews>
    <workbookView xWindow="0" yWindow="0" windowWidth="28800" windowHeight="11370"/>
  </bookViews>
  <sheets>
    <sheet name="App.2-JA_OM&amp;A_Summary_Analys" sheetId="1" r:id="rId1"/>
    <sheet name="App.2-JB_OM&amp;A_Cost _Drivers" sheetId="2" r:id="rId2"/>
    <sheet name="App.2-JC_OMA Programs" sheetId="3" r:id="rId3"/>
    <sheet name="App.2-K_Employee Costs"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Parse_Out" hidden="1">#REF!</definedName>
    <definedName name="ApprovedYr">[1]Z1.ModelVariables!$C$12</definedName>
    <definedName name="AS2DocOpenMode" hidden="1">"AS2DocumentEdit"</definedName>
    <definedName name="BI_LDCLIST">'[2]3. Rate Class Selection'!$B$19:$B$21</definedName>
    <definedName name="Bridge_Year">'[3]0.1 LDC Info'!$E$23</definedName>
    <definedName name="BridgeYear">'[4]LDC Info'!$E$26</definedName>
    <definedName name="contactf">#REF!</definedName>
    <definedName name="CRLF">[1]Z1.ModelVariables!$C$10</definedName>
    <definedName name="CustomerAdministration">[5]lists!$Z$1:$Z$36</definedName>
    <definedName name="EBNUMBER">'[4]LDC Info'!$E$16</definedName>
    <definedName name="Fixed_Charges">[5]lists!$I$1:$I$212</definedName>
    <definedName name="histdate">[6]Financials!$E$76</definedName>
    <definedName name="Incr2000">#REF!</definedName>
    <definedName name="Last_Rebasing_Year">'[3]0.1 LDC Info'!$E$27</definedName>
    <definedName name="LDC_LIST">[7]lists!$AM$1:$AM$80</definedName>
    <definedName name="LDCNAMES">[5]lists!$AL$1:$AL$78</definedName>
    <definedName name="LIMIT">#REF!</definedName>
    <definedName name="LossFactors">[5]lists!$L$2:$L$15</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NonPayment">[5]lists!$AA$1:$AA$71</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'App.2-JA_OM&amp;A_Summary_Analys'!$A$1:$AX$41</definedName>
    <definedName name="_xlnm.Print_Area" localSheetId="1">'App.2-JB_OM&amp;A_Cost _Drivers'!$A$1:$G$49</definedName>
    <definedName name="_xlnm.Print_Area" localSheetId="2">'App.2-JC_OMA Programs'!$A$1:$I$61</definedName>
    <definedName name="_xlnm.Print_Area" localSheetId="3">'App.2-K_Employee Costs'!$A$1:$Z$31</definedName>
    <definedName name="print_end">#REF!</definedName>
    <definedName name="Rate_Class">[5]lists!$A$2:$A$105</definedName>
    <definedName name="RATE_CLASSES">[5]lists!$A$1:$A$104</definedName>
    <definedName name="ratedescription">[8]hidden1!$D$1:$D$122</definedName>
    <definedName name="RebaseYear">'[4]LDC Info'!$E$28</definedName>
    <definedName name="RebaseYear_1">'[9]LDC Info'!$E$24</definedName>
    <definedName name="RMpilsVer">[1]Z1.ModelVariables!$C$13</definedName>
    <definedName name="RMversion">[10]Z1.ModelVariables!$C$13</definedName>
    <definedName name="SALBENF">#REF!</definedName>
    <definedName name="salreg">#REF!</definedName>
    <definedName name="SALREGF">#REF!</definedName>
    <definedName name="TEMPA">#REF!</definedName>
    <definedName name="Test_Year">'[3]0.1 LDC Info'!$E$25</definedName>
    <definedName name="TestYear">'[4]LDC Info'!$E$24</definedName>
    <definedName name="TestYr">[1]P0.Admin!$C$13</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[5]lists!$N$2:$N$5</definedName>
    <definedName name="Units1">[5]lists!$O$2:$O$4</definedName>
    <definedName name="Units2">[5]lists!$P$2:$P$3</definedName>
    <definedName name="Utility">[6]Financials!$A$1</definedName>
    <definedName name="utitliy1">[11]Financials!$A$1</definedName>
    <definedName name="valuevx">42.314159</definedName>
    <definedName name="WAGBENF">#REF!</definedName>
    <definedName name="wagdob">#REF!</definedName>
    <definedName name="wagdobf">#REF!</definedName>
    <definedName name="wagreg">#REF!</definedName>
    <definedName name="wagregf">#REF!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8" i="4" l="1"/>
  <c r="Y27" i="4"/>
  <c r="Q27" i="4"/>
  <c r="L27" i="4"/>
  <c r="K27" i="4"/>
  <c r="J27" i="4"/>
  <c r="I27" i="4"/>
  <c r="H27" i="4"/>
  <c r="G27" i="4"/>
  <c r="F27" i="4"/>
  <c r="E27" i="4"/>
  <c r="D27" i="4"/>
  <c r="C27" i="4"/>
  <c r="B27" i="4"/>
  <c r="W26" i="4"/>
  <c r="S26" i="4"/>
  <c r="O26" i="4"/>
  <c r="N26" i="4"/>
  <c r="L26" i="4"/>
  <c r="K26" i="4"/>
  <c r="J26" i="4"/>
  <c r="I26" i="4"/>
  <c r="H26" i="4"/>
  <c r="G26" i="4"/>
  <c r="F26" i="4"/>
  <c r="E26" i="4"/>
  <c r="D26" i="4"/>
  <c r="C26" i="4"/>
  <c r="B26" i="4"/>
  <c r="X24" i="4"/>
  <c r="W24" i="4"/>
  <c r="S24" i="4"/>
  <c r="P24" i="4"/>
  <c r="O24" i="4"/>
  <c r="L24" i="4"/>
  <c r="K24" i="4"/>
  <c r="J24" i="4"/>
  <c r="I24" i="4"/>
  <c r="H24" i="4"/>
  <c r="G24" i="4"/>
  <c r="F24" i="4"/>
  <c r="E24" i="4"/>
  <c r="D24" i="4"/>
  <c r="C24" i="4"/>
  <c r="B24" i="4"/>
  <c r="T24" i="4"/>
  <c r="Y24" i="4"/>
  <c r="V24" i="4"/>
  <c r="U24" i="4"/>
  <c r="Q24" i="4"/>
  <c r="N24" i="4"/>
  <c r="M24" i="4"/>
  <c r="Y20" i="4"/>
  <c r="Y28" i="4" s="1"/>
  <c r="Q20" i="4"/>
  <c r="M20" i="4"/>
  <c r="L20" i="4"/>
  <c r="L28" i="4" s="1"/>
  <c r="K20" i="4"/>
  <c r="K28" i="4" s="1"/>
  <c r="J20" i="4"/>
  <c r="J28" i="4" s="1"/>
  <c r="I20" i="4"/>
  <c r="I28" i="4" s="1"/>
  <c r="H20" i="4"/>
  <c r="H28" i="4" s="1"/>
  <c r="G20" i="4"/>
  <c r="G28" i="4" s="1"/>
  <c r="F20" i="4"/>
  <c r="F28" i="4" s="1"/>
  <c r="E20" i="4"/>
  <c r="E28" i="4" s="1"/>
  <c r="D20" i="4"/>
  <c r="D28" i="4" s="1"/>
  <c r="C20" i="4"/>
  <c r="C28" i="4" s="1"/>
  <c r="B20" i="4"/>
  <c r="B28" i="4" s="1"/>
  <c r="Z27" i="4"/>
  <c r="X27" i="4"/>
  <c r="W27" i="4"/>
  <c r="V27" i="4"/>
  <c r="U27" i="4"/>
  <c r="T27" i="4"/>
  <c r="S27" i="4"/>
  <c r="R27" i="4"/>
  <c r="P27" i="4"/>
  <c r="O27" i="4"/>
  <c r="N27" i="4"/>
  <c r="M27" i="4"/>
  <c r="Y26" i="4"/>
  <c r="W20" i="4"/>
  <c r="W28" i="4" s="1"/>
  <c r="U26" i="4"/>
  <c r="S20" i="4"/>
  <c r="Q26" i="4"/>
  <c r="O20" i="4"/>
  <c r="M26" i="4"/>
  <c r="Z16" i="4"/>
  <c r="V16" i="4"/>
  <c r="R16" i="4"/>
  <c r="N16" i="4"/>
  <c r="L16" i="4"/>
  <c r="K16" i="4"/>
  <c r="J16" i="4"/>
  <c r="I16" i="4"/>
  <c r="H16" i="4"/>
  <c r="G16" i="4"/>
  <c r="F16" i="4"/>
  <c r="E16" i="4"/>
  <c r="D16" i="4"/>
  <c r="C16" i="4"/>
  <c r="B16" i="4"/>
  <c r="Y16" i="4"/>
  <c r="X16" i="4"/>
  <c r="U16" i="4"/>
  <c r="T16" i="4"/>
  <c r="Q16" i="4"/>
  <c r="P16" i="4"/>
  <c r="M16" i="4"/>
  <c r="J54" i="3"/>
  <c r="I53" i="3"/>
  <c r="J53" i="3"/>
  <c r="J52" i="3"/>
  <c r="I51" i="3"/>
  <c r="J51" i="3"/>
  <c r="J50" i="3"/>
  <c r="I50" i="3"/>
  <c r="I49" i="3"/>
  <c r="J49" i="3"/>
  <c r="J46" i="3"/>
  <c r="I45" i="3"/>
  <c r="J45" i="3"/>
  <c r="J44" i="3"/>
  <c r="I43" i="3"/>
  <c r="J43" i="3"/>
  <c r="J42" i="3"/>
  <c r="I42" i="3"/>
  <c r="I41" i="3"/>
  <c r="J41" i="3"/>
  <c r="J38" i="3"/>
  <c r="D55" i="3"/>
  <c r="I37" i="3"/>
  <c r="E55" i="3"/>
  <c r="J34" i="3"/>
  <c r="I32" i="3"/>
  <c r="J32" i="3"/>
  <c r="J31" i="3"/>
  <c r="I30" i="3"/>
  <c r="J30" i="3"/>
  <c r="I29" i="3"/>
  <c r="I28" i="3"/>
  <c r="J28" i="3"/>
  <c r="I27" i="3"/>
  <c r="J26" i="3"/>
  <c r="D35" i="3"/>
  <c r="D56" i="3" s="1"/>
  <c r="I25" i="3"/>
  <c r="J25" i="3"/>
  <c r="J24" i="3"/>
  <c r="I24" i="3"/>
  <c r="J23" i="3"/>
  <c r="I22" i="3"/>
  <c r="J22" i="3"/>
  <c r="C35" i="3"/>
  <c r="F19" i="3"/>
  <c r="J18" i="3"/>
  <c r="I17" i="3"/>
  <c r="J17" i="3"/>
  <c r="G19" i="3"/>
  <c r="D19" i="3"/>
  <c r="I13" i="3"/>
  <c r="J13" i="3"/>
  <c r="A40" i="2"/>
  <c r="B40" i="2"/>
  <c r="C15" i="2" s="1"/>
  <c r="C40" i="2" s="1"/>
  <c r="D15" i="2" s="1"/>
  <c r="D40" i="2" s="1"/>
  <c r="E15" i="2" s="1"/>
  <c r="E40" i="2" s="1"/>
  <c r="F15" i="2" s="1"/>
  <c r="F40" i="2" s="1"/>
  <c r="G15" i="2" s="1"/>
  <c r="G40" i="2" s="1"/>
  <c r="A15" i="2"/>
  <c r="A11" i="2"/>
  <c r="AK35" i="1"/>
  <c r="AC35" i="1"/>
  <c r="X35" i="1"/>
  <c r="X36" i="1" s="1"/>
  <c r="AT34" i="1"/>
  <c r="AQ34" i="1"/>
  <c r="AO34" i="1"/>
  <c r="AN34" i="1"/>
  <c r="AK34" i="1"/>
  <c r="AI34" i="1"/>
  <c r="AH34" i="1"/>
  <c r="AG34" i="1"/>
  <c r="AF34" i="1"/>
  <c r="AE34" i="1"/>
  <c r="AD34" i="1"/>
  <c r="AC34" i="1"/>
  <c r="AB34" i="1"/>
  <c r="AA34" i="1"/>
  <c r="Z34" i="1"/>
  <c r="Y34" i="1"/>
  <c r="X34" i="1"/>
  <c r="W34" i="1"/>
  <c r="AU33" i="1"/>
  <c r="AR33" i="1"/>
  <c r="AQ33" i="1"/>
  <c r="AP33" i="1"/>
  <c r="AN33" i="1"/>
  <c r="AK33" i="1"/>
  <c r="AH33" i="1"/>
  <c r="AG33" i="1"/>
  <c r="AF33" i="1"/>
  <c r="AE33" i="1"/>
  <c r="AD33" i="1"/>
  <c r="AC33" i="1"/>
  <c r="AB33" i="1"/>
  <c r="AA33" i="1"/>
  <c r="Z33" i="1"/>
  <c r="Y33" i="1"/>
  <c r="X33" i="1"/>
  <c r="W33" i="1"/>
  <c r="AQ32" i="1"/>
  <c r="AO32" i="1"/>
  <c r="AN32" i="1"/>
  <c r="AK32" i="1"/>
  <c r="AJ32" i="1"/>
  <c r="AI32" i="1"/>
  <c r="AG32" i="1"/>
  <c r="AF32" i="1"/>
  <c r="AF35" i="1" s="1"/>
  <c r="AE32" i="1"/>
  <c r="AD32" i="1"/>
  <c r="AC32" i="1"/>
  <c r="AB32" i="1"/>
  <c r="AA32" i="1"/>
  <c r="Z32" i="1"/>
  <c r="Y32" i="1"/>
  <c r="X32" i="1"/>
  <c r="W32" i="1"/>
  <c r="AQ31" i="1"/>
  <c r="AP31" i="1"/>
  <c r="AN31" i="1"/>
  <c r="AN35" i="1" s="1"/>
  <c r="AK31" i="1"/>
  <c r="AH31" i="1"/>
  <c r="AG31" i="1"/>
  <c r="AF31" i="1"/>
  <c r="AE31" i="1"/>
  <c r="AD31" i="1"/>
  <c r="AD35" i="1" s="1"/>
  <c r="AD36" i="1" s="1"/>
  <c r="AC31" i="1"/>
  <c r="AB31" i="1"/>
  <c r="AA31" i="1"/>
  <c r="Z31" i="1"/>
  <c r="Z35" i="1" s="1"/>
  <c r="Z36" i="1" s="1"/>
  <c r="Y31" i="1"/>
  <c r="Y35" i="1" s="1"/>
  <c r="X31" i="1"/>
  <c r="W31" i="1"/>
  <c r="AU30" i="1"/>
  <c r="AQ30" i="1"/>
  <c r="AP30" i="1"/>
  <c r="AP35" i="1" s="1"/>
  <c r="AO30" i="1"/>
  <c r="AO35" i="1" s="1"/>
  <c r="AO36" i="1" s="1"/>
  <c r="AN30" i="1"/>
  <c r="AK30" i="1"/>
  <c r="AG30" i="1"/>
  <c r="AF30" i="1"/>
  <c r="AE30" i="1"/>
  <c r="AE35" i="1" s="1"/>
  <c r="AD30" i="1"/>
  <c r="AC30" i="1"/>
  <c r="AB30" i="1"/>
  <c r="AA30" i="1"/>
  <c r="AA35" i="1" s="1"/>
  <c r="AA36" i="1" s="1"/>
  <c r="Z30" i="1"/>
  <c r="Y30" i="1"/>
  <c r="X30" i="1"/>
  <c r="W30" i="1"/>
  <c r="W35" i="1" s="1"/>
  <c r="AU29" i="1"/>
  <c r="AT29" i="1"/>
  <c r="AS29" i="1"/>
  <c r="AP29" i="1"/>
  <c r="V26" i="1"/>
  <c r="F25" i="1"/>
  <c r="E25" i="1"/>
  <c r="M23" i="1"/>
  <c r="C23" i="1"/>
  <c r="R22" i="1"/>
  <c r="P22" i="1"/>
  <c r="N22" i="1"/>
  <c r="N25" i="1" s="1"/>
  <c r="M22" i="1"/>
  <c r="L22" i="1"/>
  <c r="I22" i="1"/>
  <c r="H22" i="1"/>
  <c r="H25" i="1" s="1"/>
  <c r="G22" i="1"/>
  <c r="F22" i="1"/>
  <c r="E22" i="1"/>
  <c r="AA18" i="1" s="1"/>
  <c r="AA20" i="1" s="1"/>
  <c r="D22" i="1"/>
  <c r="C22" i="1"/>
  <c r="B22" i="1"/>
  <c r="W18" i="1" s="1"/>
  <c r="W20" i="1" s="1"/>
  <c r="AU34" i="1"/>
  <c r="AP34" i="1"/>
  <c r="AL34" i="1"/>
  <c r="AJ34" i="1"/>
  <c r="AI17" i="1"/>
  <c r="AD20" i="1"/>
  <c r="AT33" i="1"/>
  <c r="AS33" i="1"/>
  <c r="AO33" i="1"/>
  <c r="AL33" i="1"/>
  <c r="AI33" i="1"/>
  <c r="AT32" i="1"/>
  <c r="AP32" i="1"/>
  <c r="AR18" i="1"/>
  <c r="AL18" i="1"/>
  <c r="AL20" i="1" s="1"/>
  <c r="AD18" i="1"/>
  <c r="AC18" i="1"/>
  <c r="X18" i="1"/>
  <c r="X20" i="1" s="1"/>
  <c r="AW17" i="1"/>
  <c r="AU17" i="1"/>
  <c r="AV17" i="1" s="1"/>
  <c r="AX17" i="1" s="1"/>
  <c r="AT17" i="1"/>
  <c r="AS17" i="1"/>
  <c r="AR17" i="1"/>
  <c r="AP17" i="1"/>
  <c r="AO17" i="1"/>
  <c r="AQ17" i="1" s="1"/>
  <c r="AM17" i="1"/>
  <c r="AL17" i="1"/>
  <c r="AN17" i="1" s="1"/>
  <c r="AK17" i="1"/>
  <c r="AJ17" i="1"/>
  <c r="AG17" i="1"/>
  <c r="AH17" i="1" s="1"/>
  <c r="AF17" i="1"/>
  <c r="AD17" i="1"/>
  <c r="AC17" i="1"/>
  <c r="AA17" i="1"/>
  <c r="Z17" i="1"/>
  <c r="AB17" i="1" s="1"/>
  <c r="Y17" i="1"/>
  <c r="X17" i="1"/>
  <c r="W17" i="1"/>
  <c r="R17" i="1"/>
  <c r="E17" i="1"/>
  <c r="C17" i="1"/>
  <c r="AW16" i="1"/>
  <c r="AU16" i="1"/>
  <c r="AV16" i="1" s="1"/>
  <c r="AX16" i="1" s="1"/>
  <c r="AS16" i="1"/>
  <c r="AR16" i="1"/>
  <c r="AT16" i="1" s="1"/>
  <c r="AQ16" i="1"/>
  <c r="AP16" i="1"/>
  <c r="AO16" i="1"/>
  <c r="AM16" i="1"/>
  <c r="AN16" i="1" s="1"/>
  <c r="AL16" i="1"/>
  <c r="AJ16" i="1"/>
  <c r="AI16" i="1"/>
  <c r="AG16" i="1"/>
  <c r="AF16" i="1"/>
  <c r="AH16" i="1" s="1"/>
  <c r="AE16" i="1"/>
  <c r="AD16" i="1"/>
  <c r="AC16" i="1"/>
  <c r="AA16" i="1"/>
  <c r="AB16" i="1" s="1"/>
  <c r="Z16" i="1"/>
  <c r="X16" i="1"/>
  <c r="W16" i="1"/>
  <c r="Y16" i="1" s="1"/>
  <c r="P16" i="1"/>
  <c r="N16" i="1"/>
  <c r="M16" i="1"/>
  <c r="M17" i="1" s="1"/>
  <c r="L16" i="1"/>
  <c r="I16" i="1"/>
  <c r="H16" i="1"/>
  <c r="G16" i="1"/>
  <c r="F16" i="1"/>
  <c r="G17" i="1" s="1"/>
  <c r="E16" i="1"/>
  <c r="D16" i="1"/>
  <c r="C16" i="1"/>
  <c r="B16" i="1"/>
  <c r="AW15" i="1"/>
  <c r="AU15" i="1"/>
  <c r="AV15" i="1" s="1"/>
  <c r="AX15" i="1" s="1"/>
  <c r="AT15" i="1"/>
  <c r="AS15" i="1"/>
  <c r="AR15" i="1"/>
  <c r="AP15" i="1"/>
  <c r="AO15" i="1"/>
  <c r="AQ15" i="1" s="1"/>
  <c r="AM15" i="1"/>
  <c r="AL15" i="1"/>
  <c r="AN15" i="1" s="1"/>
  <c r="AH15" i="1"/>
  <c r="AG15" i="1"/>
  <c r="AF15" i="1"/>
  <c r="AD15" i="1"/>
  <c r="AC15" i="1"/>
  <c r="AE15" i="1" s="1"/>
  <c r="AA15" i="1"/>
  <c r="Z15" i="1"/>
  <c r="AB15" i="1" s="1"/>
  <c r="Y15" i="1"/>
  <c r="X15" i="1"/>
  <c r="W15" i="1"/>
  <c r="AU31" i="1"/>
  <c r="AU14" i="1"/>
  <c r="AV14" i="1" s="1"/>
  <c r="AS31" i="1"/>
  <c r="AO31" i="1"/>
  <c r="AS14" i="1"/>
  <c r="AR14" i="1"/>
  <c r="AT14" i="1" s="1"/>
  <c r="AP14" i="1"/>
  <c r="AO14" i="1"/>
  <c r="AQ14" i="1" s="1"/>
  <c r="AL14" i="1"/>
  <c r="AI14" i="1"/>
  <c r="AG14" i="1"/>
  <c r="AF14" i="1"/>
  <c r="AD14" i="1"/>
  <c r="AC14" i="1"/>
  <c r="AE14" i="1" s="1"/>
  <c r="AB14" i="1"/>
  <c r="AA14" i="1"/>
  <c r="Z14" i="1"/>
  <c r="X14" i="1"/>
  <c r="Y14" i="1" s="1"/>
  <c r="W14" i="1"/>
  <c r="S16" i="1"/>
  <c r="S18" i="1" s="1"/>
  <c r="R16" i="1"/>
  <c r="S17" i="1" s="1"/>
  <c r="O16" i="1"/>
  <c r="O17" i="1" s="1"/>
  <c r="AU13" i="1"/>
  <c r="AV13" i="1" s="1"/>
  <c r="AS13" i="1"/>
  <c r="AR13" i="1"/>
  <c r="AP13" i="1"/>
  <c r="AO13" i="1"/>
  <c r="AQ13" i="1" s="1"/>
  <c r="AM13" i="1"/>
  <c r="AN13" i="1" s="1"/>
  <c r="AL13" i="1"/>
  <c r="AG13" i="1"/>
  <c r="AF13" i="1"/>
  <c r="AH13" i="1" s="1"/>
  <c r="AD13" i="1"/>
  <c r="AC13" i="1"/>
  <c r="AE13" i="1" s="1"/>
  <c r="AB13" i="1"/>
  <c r="AA13" i="1"/>
  <c r="Z13" i="1"/>
  <c r="X13" i="1"/>
  <c r="Y13" i="1" s="1"/>
  <c r="W13" i="1"/>
  <c r="AX12" i="1"/>
  <c r="AW12" i="1"/>
  <c r="AV12" i="1"/>
  <c r="AU12" i="1"/>
  <c r="AT12" i="1"/>
  <c r="AS12" i="1"/>
  <c r="AR12" i="1"/>
  <c r="AQ12" i="1"/>
  <c r="AO12" i="1"/>
  <c r="AN12" i="1"/>
  <c r="AM12" i="1"/>
  <c r="AK12" i="1"/>
  <c r="AJ12" i="1"/>
  <c r="AI12" i="1"/>
  <c r="AH12" i="1"/>
  <c r="AG12" i="1"/>
  <c r="AF12" i="1"/>
  <c r="AE12" i="1"/>
  <c r="AC12" i="1"/>
  <c r="AB12" i="1"/>
  <c r="AA12" i="1"/>
  <c r="Y12" i="1"/>
  <c r="X12" i="1"/>
  <c r="W12" i="1"/>
  <c r="S12" i="1"/>
  <c r="R12" i="1"/>
  <c r="Q12" i="1"/>
  <c r="P12" i="1"/>
  <c r="N12" i="1"/>
  <c r="M12" i="1"/>
  <c r="L12" i="1"/>
  <c r="J12" i="1"/>
  <c r="I12" i="1"/>
  <c r="H12" i="1"/>
  <c r="F12" i="1"/>
  <c r="E12" i="1"/>
  <c r="D12" i="1"/>
  <c r="B12" i="1"/>
  <c r="W29" i="1" s="1"/>
  <c r="T3" i="1"/>
  <c r="T2" i="1"/>
  <c r="T1" i="1"/>
  <c r="AP12" i="1" s="1"/>
  <c r="S1" i="1"/>
  <c r="AX14" i="1" l="1"/>
  <c r="AH30" i="1"/>
  <c r="J16" i="1"/>
  <c r="AR30" i="1"/>
  <c r="AS30" i="1"/>
  <c r="AS35" i="1" s="1"/>
  <c r="AS36" i="1" s="1"/>
  <c r="Q16" i="1"/>
  <c r="Q17" i="1" s="1"/>
  <c r="AR20" i="1"/>
  <c r="D25" i="1"/>
  <c r="E26" i="1" s="1"/>
  <c r="Z18" i="1"/>
  <c r="AU35" i="1"/>
  <c r="J39" i="3"/>
  <c r="I39" i="3"/>
  <c r="AJ30" i="1"/>
  <c r="K16" i="1"/>
  <c r="K17" i="1" s="1"/>
  <c r="AI31" i="1"/>
  <c r="AJ31" i="1"/>
  <c r="Y18" i="1"/>
  <c r="Y20" i="1" s="1"/>
  <c r="AF18" i="1"/>
  <c r="AA21" i="1"/>
  <c r="AA22" i="1" s="1"/>
  <c r="I25" i="1"/>
  <c r="I26" i="1" s="1"/>
  <c r="I23" i="1"/>
  <c r="AI30" i="1"/>
  <c r="AT31" i="1"/>
  <c r="B35" i="3"/>
  <c r="F35" i="3"/>
  <c r="F56" i="3" s="1"/>
  <c r="G35" i="3"/>
  <c r="G56" i="3" s="1"/>
  <c r="B55" i="3"/>
  <c r="B56" i="3" s="1"/>
  <c r="F55" i="3"/>
  <c r="J37" i="3"/>
  <c r="I38" i="3"/>
  <c r="I55" i="3" s="1"/>
  <c r="I54" i="3"/>
  <c r="AI13" i="1"/>
  <c r="AK13" i="1" s="1"/>
  <c r="AM30" i="1"/>
  <c r="AL30" i="1"/>
  <c r="AL35" i="1" s="1"/>
  <c r="AL36" i="1" s="1"/>
  <c r="AJ14" i="1"/>
  <c r="AK14" i="1" s="1"/>
  <c r="AM31" i="1"/>
  <c r="AL31" i="1"/>
  <c r="AM14" i="1"/>
  <c r="AN14" i="1" s="1"/>
  <c r="AG18" i="1"/>
  <c r="AG20" i="1" s="1"/>
  <c r="AG21" i="1" s="1"/>
  <c r="AG22" i="1" s="1"/>
  <c r="AD21" i="1"/>
  <c r="AD22" i="1" s="1"/>
  <c r="R25" i="1"/>
  <c r="R26" i="1" s="1"/>
  <c r="R23" i="1"/>
  <c r="AU18" i="1"/>
  <c r="H19" i="3"/>
  <c r="I16" i="3"/>
  <c r="H56" i="3"/>
  <c r="J16" i="3"/>
  <c r="J19" i="3" s="1"/>
  <c r="J33" i="3"/>
  <c r="I33" i="3"/>
  <c r="C55" i="3"/>
  <c r="J47" i="3"/>
  <c r="I47" i="3"/>
  <c r="P26" i="4"/>
  <c r="P20" i="4"/>
  <c r="P28" i="4" s="1"/>
  <c r="T26" i="4"/>
  <c r="T20" i="4"/>
  <c r="T28" i="4" s="1"/>
  <c r="X26" i="4"/>
  <c r="X20" i="4"/>
  <c r="X28" i="4" s="1"/>
  <c r="AJ13" i="1"/>
  <c r="AT13" i="1"/>
  <c r="AW13" i="1"/>
  <c r="AX13" i="1" s="1"/>
  <c r="AH14" i="1"/>
  <c r="AW14" i="1"/>
  <c r="I17" i="1"/>
  <c r="AK16" i="1"/>
  <c r="AE17" i="1"/>
  <c r="AC20" i="1"/>
  <c r="AE18" i="1"/>
  <c r="AE20" i="1" s="1"/>
  <c r="AO18" i="1"/>
  <c r="AH32" i="1"/>
  <c r="J22" i="1"/>
  <c r="AI15" i="1"/>
  <c r="AR32" i="1"/>
  <c r="Q22" i="1"/>
  <c r="AS32" i="1"/>
  <c r="AR34" i="1"/>
  <c r="AS34" i="1"/>
  <c r="M25" i="1"/>
  <c r="M26" i="1" s="1"/>
  <c r="AM18" i="1"/>
  <c r="E23" i="1"/>
  <c r="AT30" i="1"/>
  <c r="AT35" i="1" s="1"/>
  <c r="AF36" i="1"/>
  <c r="C19" i="3"/>
  <c r="C56" i="3" s="1"/>
  <c r="I26" i="3"/>
  <c r="J27" i="3"/>
  <c r="J29" i="3"/>
  <c r="I46" i="3"/>
  <c r="H55" i="3"/>
  <c r="Q28" i="4"/>
  <c r="AJ33" i="1"/>
  <c r="K22" i="1"/>
  <c r="P25" i="1"/>
  <c r="B25" i="1"/>
  <c r="I21" i="3"/>
  <c r="G55" i="3"/>
  <c r="O16" i="4"/>
  <c r="S16" i="4"/>
  <c r="W16" i="4"/>
  <c r="N20" i="4"/>
  <c r="N28" i="4" s="1"/>
  <c r="R20" i="4"/>
  <c r="R28" i="4" s="1"/>
  <c r="V20" i="4"/>
  <c r="V28" i="4" s="1"/>
  <c r="Z20" i="4"/>
  <c r="Z28" i="4" s="1"/>
  <c r="R24" i="4"/>
  <c r="R26" i="4"/>
  <c r="Z24" i="4"/>
  <c r="Z26" i="4"/>
  <c r="C12" i="1"/>
  <c r="X29" i="1" s="1"/>
  <c r="G12" i="1"/>
  <c r="K12" i="1"/>
  <c r="O12" i="1"/>
  <c r="Z12" i="1"/>
  <c r="AD12" i="1"/>
  <c r="AL12" i="1"/>
  <c r="AJ15" i="1"/>
  <c r="AL32" i="1"/>
  <c r="AM32" i="1"/>
  <c r="S22" i="1"/>
  <c r="C25" i="1"/>
  <c r="C26" i="1" s="1"/>
  <c r="G25" i="1"/>
  <c r="G26" i="1" s="1"/>
  <c r="L25" i="1"/>
  <c r="AG35" i="1"/>
  <c r="AG36" i="1" s="1"/>
  <c r="AB35" i="1"/>
  <c r="AC36" i="1" s="1"/>
  <c r="AR31" i="1"/>
  <c r="AU32" i="1"/>
  <c r="AM33" i="1"/>
  <c r="AM34" i="1"/>
  <c r="B19" i="3"/>
  <c r="J21" i="3"/>
  <c r="I34" i="3"/>
  <c r="H35" i="3"/>
  <c r="I40" i="3"/>
  <c r="J40" i="3"/>
  <c r="I44" i="3"/>
  <c r="I48" i="3"/>
  <c r="J48" i="3"/>
  <c r="I52" i="3"/>
  <c r="O28" i="4"/>
  <c r="S28" i="4"/>
  <c r="U20" i="4"/>
  <c r="U28" i="4" s="1"/>
  <c r="V26" i="4"/>
  <c r="O22" i="1"/>
  <c r="G23" i="1"/>
  <c r="AQ35" i="1"/>
  <c r="E56" i="3"/>
  <c r="I18" i="3"/>
  <c r="E19" i="3"/>
  <c r="E35" i="3"/>
  <c r="I23" i="3"/>
  <c r="I31" i="3"/>
  <c r="O23" i="1" l="1"/>
  <c r="O25" i="1"/>
  <c r="O26" i="1" s="1"/>
  <c r="AP18" i="1"/>
  <c r="AP20" i="1" s="1"/>
  <c r="I35" i="3"/>
  <c r="Q25" i="1"/>
  <c r="Q26" i="1" s="1"/>
  <c r="Q23" i="1"/>
  <c r="AS18" i="1"/>
  <c r="AV18" i="1" s="1"/>
  <c r="I56" i="3"/>
  <c r="J56" i="3"/>
  <c r="J35" i="3"/>
  <c r="S23" i="1"/>
  <c r="S24" i="1"/>
  <c r="AW18" i="1"/>
  <c r="AW20" i="1" s="1"/>
  <c r="S25" i="1"/>
  <c r="S26" i="1" s="1"/>
  <c r="AT36" i="1"/>
  <c r="AO20" i="1"/>
  <c r="I19" i="3"/>
  <c r="AM35" i="1"/>
  <c r="AU36" i="1"/>
  <c r="AR35" i="1"/>
  <c r="AR36" i="1" s="1"/>
  <c r="AK15" i="1"/>
  <c r="J55" i="3"/>
  <c r="AI35" i="1"/>
  <c r="AI36" i="1" s="1"/>
  <c r="AF20" i="1"/>
  <c r="AH18" i="1"/>
  <c r="AH20" i="1" s="1"/>
  <c r="K23" i="1"/>
  <c r="AJ18" i="1"/>
  <c r="AJ20" i="1" s="1"/>
  <c r="AJ21" i="1" s="1"/>
  <c r="AJ22" i="1" s="1"/>
  <c r="K25" i="1"/>
  <c r="K26" i="1" s="1"/>
  <c r="AM20" i="1"/>
  <c r="AM21" i="1" s="1"/>
  <c r="AM22" i="1" s="1"/>
  <c r="AN18" i="1"/>
  <c r="AN20" i="1" s="1"/>
  <c r="J25" i="1"/>
  <c r="AI18" i="1"/>
  <c r="AU20" i="1"/>
  <c r="AJ35" i="1"/>
  <c r="AJ36" i="1" s="1"/>
  <c r="Z20" i="1"/>
  <c r="AB18" i="1"/>
  <c r="AB20" i="1" s="1"/>
  <c r="AH35" i="1"/>
  <c r="AV20" i="1" l="1"/>
  <c r="AX18" i="1"/>
  <c r="AX20" i="1" s="1"/>
  <c r="AM36" i="1"/>
  <c r="AP36" i="1"/>
  <c r="AP21" i="1"/>
  <c r="AP22" i="1" s="1"/>
  <c r="AI20" i="1"/>
  <c r="AK18" i="1"/>
  <c r="AK20" i="1" s="1"/>
  <c r="AQ18" i="1"/>
  <c r="AQ20" i="1" s="1"/>
  <c r="AS20" i="1"/>
  <c r="AT18" i="1"/>
  <c r="AT20" i="1" s="1"/>
  <c r="AX25" i="1"/>
  <c r="AW21" i="1"/>
  <c r="AW22" i="1" s="1"/>
  <c r="AS26" i="1" l="1"/>
  <c r="AS21" i="1"/>
  <c r="AS22" i="1" s="1"/>
  <c r="AS24" i="1" s="1"/>
  <c r="AS23" i="1"/>
  <c r="AU21" i="1"/>
  <c r="AU22" i="1" s="1"/>
</calcChain>
</file>

<file path=xl/sharedStrings.xml><?xml version="1.0" encoding="utf-8"?>
<sst xmlns="http://schemas.openxmlformats.org/spreadsheetml/2006/main" count="240" uniqueCount="155">
  <si>
    <t>File Number:</t>
  </si>
  <si>
    <t>Last Rebasing Year</t>
  </si>
  <si>
    <t>Column</t>
  </si>
  <si>
    <t>Exhibit:</t>
  </si>
  <si>
    <t>B</t>
  </si>
  <si>
    <t>ae</t>
  </si>
  <si>
    <t>Tab:</t>
  </si>
  <si>
    <t>D</t>
  </si>
  <si>
    <t>ah</t>
  </si>
  <si>
    <t>TO BE UPDATED AT THE DRAFT RATE ORDER STAGE</t>
  </si>
  <si>
    <t>Schedule:</t>
  </si>
  <si>
    <t>G</t>
  </si>
  <si>
    <t>ak</t>
  </si>
  <si>
    <t>Page:</t>
  </si>
  <si>
    <t>J</t>
  </si>
  <si>
    <t>an</t>
  </si>
  <si>
    <t>M</t>
  </si>
  <si>
    <t>aq</t>
  </si>
  <si>
    <t>Date:</t>
  </si>
  <si>
    <t>P</t>
  </si>
  <si>
    <t>at</t>
  </si>
  <si>
    <t>S</t>
  </si>
  <si>
    <t>aw</t>
  </si>
  <si>
    <t>Appendix 2-JA</t>
  </si>
  <si>
    <t>V</t>
  </si>
  <si>
    <t>az</t>
  </si>
  <si>
    <r>
      <t xml:space="preserve">Summary of </t>
    </r>
    <r>
      <rPr>
        <b/>
        <u/>
        <sz val="14"/>
        <color indexed="10"/>
        <rFont val="Arial"/>
        <family val="2"/>
      </rPr>
      <t>Recoverable</t>
    </r>
    <r>
      <rPr>
        <b/>
        <sz val="14"/>
        <rFont val="Arial"/>
        <family val="2"/>
      </rPr>
      <t xml:space="preserve"> OM&amp;A Expenses</t>
    </r>
  </si>
  <si>
    <t>Reporting Basis</t>
  </si>
  <si>
    <t>Operations</t>
  </si>
  <si>
    <t xml:space="preserve">Maintenance </t>
  </si>
  <si>
    <t>Maintenance</t>
  </si>
  <si>
    <t xml:space="preserve">Billing and Collecting </t>
  </si>
  <si>
    <t>SubTotal</t>
  </si>
  <si>
    <t xml:space="preserve">Community Relations </t>
  </si>
  <si>
    <t>%Change (year over year)</t>
  </si>
  <si>
    <t xml:space="preserve">Administrative and General </t>
  </si>
  <si>
    <t>%Change (Test Year vs 
Last Rebasing Year - Actual)</t>
  </si>
  <si>
    <t xml:space="preserve">Total OM&amp;A Expenses </t>
  </si>
  <si>
    <t>Billing and Collecting</t>
  </si>
  <si>
    <t>Adjustments for Total non-recoverable items (from Appendices 2-JA and 2-JB)</t>
  </si>
  <si>
    <t>Community Relations</t>
  </si>
  <si>
    <t xml:space="preserve">Total Recoverable OM&amp;A Expenses </t>
  </si>
  <si>
    <t>Administrative and General</t>
  </si>
  <si>
    <t xml:space="preserve">Variance from previous year </t>
  </si>
  <si>
    <t xml:space="preserve">Percent change (year over year) </t>
  </si>
  <si>
    <t xml:space="preserve">Percent Change:                                                    Test year vs. Most Current Actual </t>
  </si>
  <si>
    <t>Simple average of % variance for all years</t>
  </si>
  <si>
    <t>Total</t>
  </si>
  <si>
    <t>Compound Annual Growth Rate for all years</t>
  </si>
  <si>
    <t>Last Rebasing Year (2011 Board Approved)</t>
  </si>
  <si>
    <t>Last Rebasing Year (2011 Actuals)</t>
  </si>
  <si>
    <t>2011 Actuals</t>
  </si>
  <si>
    <t>Last Rebasing Year (2012 Board Approved)</t>
  </si>
  <si>
    <t>Last Rebasing Year (2012 Actuals)</t>
  </si>
  <si>
    <t>2012 Actuals</t>
  </si>
  <si>
    <t>Last Rebasing Year (2013 Board Approved)</t>
  </si>
  <si>
    <t>Last Rebasing Year (2013 Actuals)</t>
  </si>
  <si>
    <t>2013 Actuals</t>
  </si>
  <si>
    <t>Last Rebasing Year (2014 Board Approved)</t>
  </si>
  <si>
    <t>Last Rebasing Year (2014 Actuals)</t>
  </si>
  <si>
    <t>2014 Actuals</t>
  </si>
  <si>
    <t>Last Rebasing Year (2015 Board Approved)</t>
  </si>
  <si>
    <t>Last Rebasing Year (2015 Actuals)</t>
  </si>
  <si>
    <t>2015 Actuals</t>
  </si>
  <si>
    <t>Last Rebasing Year (2016 Board Approved)</t>
  </si>
  <si>
    <t>Last Rebasing Year (2016 Actuals)</t>
  </si>
  <si>
    <t>Last Rebasing Year (2017 Board Approved)</t>
  </si>
  <si>
    <t>Last Rebasing Year (2017 Actuals)</t>
  </si>
  <si>
    <t>Note:</t>
  </si>
  <si>
    <t>1     Historical actuals going back to the last cost of service application are required to be entered by the applicant.</t>
  </si>
  <si>
    <t>2     Recoverable OM&amp;A that is included on these tables should be identical to the recoverable OM&amp;A that is shown for the corresponding periods on Appendix 2-JB.</t>
  </si>
  <si>
    <t>Appendix 2-JB</t>
  </si>
  <si>
    <t>OM&amp;A</t>
  </si>
  <si>
    <t>Wage increase</t>
  </si>
  <si>
    <t>Inflation</t>
  </si>
  <si>
    <t>New staff</t>
  </si>
  <si>
    <t>Locate costs</t>
  </si>
  <si>
    <t>Cyber security</t>
  </si>
  <si>
    <t>Utilismart contract</t>
  </si>
  <si>
    <t>CHEC</t>
  </si>
  <si>
    <t>2014 Cost of Service Settlement Agreement</t>
  </si>
  <si>
    <t>Capitalized labour</t>
  </si>
  <si>
    <t>Transformer St. Mtce</t>
  </si>
  <si>
    <t>Tree trimming</t>
  </si>
  <si>
    <t>Underground services</t>
  </si>
  <si>
    <t>Regulatory costs</t>
  </si>
  <si>
    <t>Severance</t>
  </si>
  <si>
    <t>Micro-grid study</t>
  </si>
  <si>
    <t>Temporary staff</t>
  </si>
  <si>
    <r>
      <t xml:space="preserve">etc. </t>
    </r>
    <r>
      <rPr>
        <sz val="10"/>
        <color rgb="FFFF0000"/>
        <rFont val="Arial"/>
        <family val="2"/>
      </rPr>
      <t>(Insert additional rows as needed)</t>
    </r>
  </si>
  <si>
    <t>Notes:</t>
  </si>
  <si>
    <t>For each year, a detailed explanation for each cost driver and associated amount is requied in Exhibit 4.</t>
  </si>
  <si>
    <t>Opening Balance for "Last Rebasing Year" (cell B15) should be equal to the Board-Approved amount. For purposes of assessing incremental cost drivers, the closing balance for each year becomes the opening balance for the next year.</t>
  </si>
  <si>
    <t>If it has been more than four years since the applicant last filed a cost of service application, additional years of historical actuals should be incorporated into the table, as necessary, to go back to the last cost of service application.  If the applicant last filed a cost of service application less than four years ago, a minimum of three years of actual information is required.</t>
  </si>
  <si>
    <t>Appendix 2-JC</t>
  </si>
  <si>
    <t>OM&amp;A Programs Table</t>
  </si>
  <si>
    <t>Programs</t>
  </si>
  <si>
    <t>Customer Service</t>
  </si>
  <si>
    <t>Customer Service, Mailing Costs, Billing  and  Collections</t>
  </si>
  <si>
    <t>Bad Debts</t>
  </si>
  <si>
    <t>Monthly Billing ( net of savings)</t>
  </si>
  <si>
    <t>Sub-Total</t>
  </si>
  <si>
    <t>Service Locates</t>
  </si>
  <si>
    <t>Municipal Transformer Station -operating and maintenance costs</t>
  </si>
  <si>
    <t xml:space="preserve">Meters maintenance </t>
  </si>
  <si>
    <t>Distribution sub-stations and protection and control</t>
  </si>
  <si>
    <t>Asset management &amp; maintenance department</t>
  </si>
  <si>
    <t>Overhead lines</t>
  </si>
  <si>
    <t>Underground Lines</t>
  </si>
  <si>
    <t xml:space="preserve"> 24/7 Control room operations and load dispatch activities</t>
  </si>
  <si>
    <t>Operations &amp; engineering ,Inspection drafting &amp; design construction services</t>
  </si>
  <si>
    <t>Distribution Transformers</t>
  </si>
  <si>
    <t>Underground conduit</t>
  </si>
  <si>
    <t>Poles Towers &amp; Fixtures</t>
  </si>
  <si>
    <t xml:space="preserve">Fleet costs </t>
  </si>
  <si>
    <t>Operational Effectiveness &amp; Communication</t>
  </si>
  <si>
    <t>Health &amp; Safety Costs</t>
  </si>
  <si>
    <t>Executive, Financial , Legal, Professional and Insurance Services</t>
  </si>
  <si>
    <t>Post employment costs</t>
  </si>
  <si>
    <t>Procurement and Materials Management</t>
  </si>
  <si>
    <t>Office building  &amp; security costs</t>
  </si>
  <si>
    <t xml:space="preserve">IT, software, telecommunications </t>
  </si>
  <si>
    <t>Internal Labour &amp; Benefit Costs - attributed to capital work</t>
  </si>
  <si>
    <t>Administrative services recovered from affiliates</t>
  </si>
  <si>
    <t>Collection charges recovered from customers</t>
  </si>
  <si>
    <t xml:space="preserve">Regulatory &amp; Compliance </t>
  </si>
  <si>
    <t xml:space="preserve">Metering Compliance </t>
  </si>
  <si>
    <t>Smart Meter data management program</t>
  </si>
  <si>
    <t>Capitalization Policy Change ( Effective Jan  1 , 2013)</t>
  </si>
  <si>
    <t>ESA Fees</t>
  </si>
  <si>
    <t>LEAP</t>
  </si>
  <si>
    <t>Donations</t>
  </si>
  <si>
    <t>Other</t>
  </si>
  <si>
    <t>1   Please provide a breakdown of the major components of each OM&amp;A Program undertaken in each year.  Please ensure that all Programs below the materiality threshold are included in the miscellaneous line.  Add more Programs as required.</t>
  </si>
  <si>
    <t>2   The applicant should group projects appropriately and avoid presentations that result in classification of significant components of the OM&amp;A budget in the miscellaneous category</t>
  </si>
  <si>
    <t>Appendix 2-K</t>
  </si>
  <si>
    <t>Employee Costs</t>
  </si>
  <si>
    <t>Last Rebasing Year (2010 Board Approved)</t>
  </si>
  <si>
    <t>Last Rebasing Year (2010 Actuals)</t>
  </si>
  <si>
    <r>
      <t>Number of Employees (FTEs including Part-Time)</t>
    </r>
    <r>
      <rPr>
        <b/>
        <vertAlign val="superscript"/>
        <sz val="10"/>
        <rFont val="Arial"/>
        <family val="2"/>
      </rPr>
      <t>1</t>
    </r>
  </si>
  <si>
    <t>Management (including executive)</t>
  </si>
  <si>
    <t>Non-Management (union and non-union)</t>
  </si>
  <si>
    <t>Total Salary and Wages including ovetime and incentive pay</t>
  </si>
  <si>
    <t>Total Benefits (Current + Accrued)</t>
  </si>
  <si>
    <t>Total Compensation (Salary, Wages, &amp; Benefits)</t>
  </si>
  <si>
    <r>
      <t>1</t>
    </r>
    <r>
      <rPr>
        <b/>
        <sz val="10"/>
        <rFont val="Arial"/>
        <family val="2"/>
      </rPr>
      <t xml:space="preserve"> </t>
    </r>
    <r>
      <rPr>
        <sz val="10"/>
        <rFont val="Arial"/>
        <family val="2"/>
      </rPr>
      <t>If an applicant wishes to use headcount, it must also file the same schedule on an FTE basis.</t>
    </r>
  </si>
  <si>
    <t>2016 Actuals</t>
  </si>
  <si>
    <t>2017 Actuals</t>
  </si>
  <si>
    <t>2018 Bridge Year</t>
  </si>
  <si>
    <t>2019 Test Year</t>
  </si>
  <si>
    <t>EB-2018-0056</t>
  </si>
  <si>
    <t>Last Rebasing Year (2014 Board-Approved)</t>
  </si>
  <si>
    <t>Continuous Cost Increases</t>
  </si>
  <si>
    <t>Variable Costs</t>
  </si>
  <si>
    <t>One-time Costs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</si>
</sst>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_-&quot;$&quot;* #,##0_-;\-&quot;$&quot;* #,##0_-;_-&quot;$&quot;* &quot;-&quot;??_-;_-@_-"/>
    <numFmt numFmtId="165" formatCode="0.0%"/>
    <numFmt numFmtId="166" formatCode="_-* #,##0_-;\-* #,##0_-;_-* &quot;-&quot;??_-;_-@_-"/>
  </numFmts>
  <fonts count="18" x14ac:knownFonts="1">
    <font>
      <sz val="10"/>
      <name val="Arial"/>
    </font>
    <font>
      <sz val="11"/>
      <color theme="1"/>
      <name val="Calibri"/>
      <family val="2"/>
      <scheme val="minor"/>
    </font>
    <font>
      <b/>
      <sz val="10"/>
      <name val="Arial"/>
      <family val="2"/>
    </font>
    <font>
      <sz val="8"/>
      <name val="Arial"/>
      <family val="2"/>
    </font>
    <font>
      <sz val="10"/>
      <color theme="0"/>
      <name val="Arial"/>
      <family val="2"/>
    </font>
    <font>
      <sz val="10"/>
      <name val="Arial"/>
      <family val="2"/>
    </font>
    <font>
      <b/>
      <sz val="11"/>
      <color rgb="FFFF0000"/>
      <name val="Arial"/>
      <family val="2"/>
    </font>
    <font>
      <b/>
      <sz val="14"/>
      <name val="Arial"/>
      <family val="2"/>
    </font>
    <font>
      <b/>
      <u/>
      <sz val="14"/>
      <color indexed="10"/>
      <name val="Arial"/>
      <family val="2"/>
    </font>
    <font>
      <sz val="9"/>
      <name val="Arial"/>
      <family val="2"/>
    </font>
    <font>
      <b/>
      <sz val="9"/>
      <name val="Arial"/>
      <family val="2"/>
    </font>
    <font>
      <sz val="9"/>
      <color theme="1"/>
      <name val="Arial"/>
      <family val="2"/>
    </font>
    <font>
      <b/>
      <i/>
      <sz val="9"/>
      <color rgb="FFFF0000"/>
      <name val="Arial"/>
      <family val="2"/>
    </font>
    <font>
      <b/>
      <sz val="9"/>
      <color theme="1"/>
      <name val="Arial"/>
      <family val="2"/>
    </font>
    <font>
      <sz val="10"/>
      <color rgb="FFFF0000"/>
      <name val="Arial"/>
      <family val="2"/>
    </font>
    <font>
      <b/>
      <u/>
      <sz val="10"/>
      <name val="Arial"/>
      <family val="2"/>
    </font>
    <font>
      <b/>
      <i/>
      <sz val="10"/>
      <name val="Arial"/>
      <family val="2"/>
    </font>
    <font>
      <b/>
      <vertAlign val="superscript"/>
      <sz val="10"/>
      <name val="Arial"/>
      <family val="2"/>
    </font>
  </fonts>
  <fills count="9">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lightDown">
        <bgColor theme="0" tint="-0.249977111117893"/>
      </patternFill>
    </fill>
    <fill>
      <patternFill patternType="solid">
        <fgColor theme="0" tint="-0.34998626667073579"/>
        <bgColor indexed="64"/>
      </patternFill>
    </fill>
    <fill>
      <patternFill patternType="solid">
        <fgColor theme="0"/>
        <bgColor theme="0"/>
      </patternFill>
    </fill>
    <fill>
      <patternFill patternType="solid">
        <fgColor theme="0"/>
        <bgColor indexed="64"/>
      </patternFill>
    </fill>
    <fill>
      <patternFill patternType="solid">
        <fgColor indexed="22"/>
        <bgColor indexed="64"/>
      </patternFill>
    </fill>
  </fills>
  <borders count="39">
    <border>
      <left/>
      <right/>
      <top/>
      <bottom/>
      <diagonal/>
    </border>
    <border>
      <left/>
      <right/>
      <top/>
      <bottom style="thin">
        <color theme="0"/>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s>
  <cellStyleXfs count="6">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5" fillId="0" borderId="0"/>
    <xf numFmtId="0" fontId="1" fillId="0" borderId="0"/>
  </cellStyleXfs>
  <cellXfs count="157">
    <xf numFmtId="0" fontId="0" fillId="0" borderId="0" xfId="0"/>
    <xf numFmtId="0" fontId="0" fillId="0" borderId="0" xfId="0" applyProtection="1"/>
    <xf numFmtId="0" fontId="2" fillId="0" borderId="0" xfId="0" applyFont="1" applyAlignment="1" applyProtection="1">
      <alignment horizontal="left"/>
    </xf>
    <xf numFmtId="0" fontId="3" fillId="0" borderId="0" xfId="0" applyFont="1" applyAlignment="1" applyProtection="1">
      <alignment horizontal="right" vertical="top"/>
    </xf>
    <xf numFmtId="0" fontId="4" fillId="0" borderId="0" xfId="0" applyFont="1" applyProtection="1"/>
    <xf numFmtId="0" fontId="3" fillId="2" borderId="1" xfId="0" applyFont="1" applyFill="1" applyBorder="1" applyAlignment="1" applyProtection="1">
      <alignment horizontal="right" vertical="top"/>
    </xf>
    <xf numFmtId="0" fontId="6" fillId="0" borderId="0" xfId="4" applyFont="1" applyProtection="1"/>
    <xf numFmtId="0" fontId="3" fillId="2" borderId="0" xfId="0" applyFont="1" applyFill="1" applyAlignment="1" applyProtection="1">
      <alignment horizontal="right" vertical="top"/>
    </xf>
    <xf numFmtId="0" fontId="2" fillId="0" borderId="0" xfId="0" applyFont="1" applyAlignment="1" applyProtection="1">
      <alignment horizontal="center"/>
    </xf>
    <xf numFmtId="0" fontId="0" fillId="0" borderId="0" xfId="0" applyFill="1" applyBorder="1" applyProtection="1"/>
    <xf numFmtId="0" fontId="9" fillId="0" borderId="3" xfId="4" applyFont="1" applyFill="1" applyBorder="1" applyAlignment="1" applyProtection="1">
      <alignment vertical="center" wrapText="1"/>
    </xf>
    <xf numFmtId="0" fontId="2" fillId="0" borderId="4"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11" fillId="0" borderId="6" xfId="5" applyFont="1" applyBorder="1" applyAlignment="1" applyProtection="1">
      <alignment horizontal="center" vertical="center" wrapText="1"/>
    </xf>
    <xf numFmtId="0" fontId="11" fillId="0" borderId="7" xfId="5" applyFont="1" applyBorder="1" applyAlignment="1" applyProtection="1">
      <alignment horizontal="center" vertical="center" wrapText="1"/>
    </xf>
    <xf numFmtId="0" fontId="12" fillId="0" borderId="6" xfId="4" applyFont="1" applyFill="1" applyBorder="1" applyAlignment="1" applyProtection="1">
      <alignment vertical="center" wrapText="1"/>
    </xf>
    <xf numFmtId="0" fontId="2" fillId="3" borderId="4" xfId="0" applyFont="1" applyFill="1" applyBorder="1" applyAlignment="1" applyProtection="1">
      <alignment horizontal="center" vertical="top" wrapText="1"/>
      <protection locked="0"/>
    </xf>
    <xf numFmtId="0" fontId="2" fillId="3" borderId="5" xfId="0" applyFont="1" applyFill="1" applyBorder="1" applyAlignment="1" applyProtection="1">
      <alignment horizontal="center" vertical="top" wrapText="1"/>
      <protection locked="0"/>
    </xf>
    <xf numFmtId="0" fontId="10" fillId="0" borderId="0" xfId="4" applyFont="1" applyFill="1" applyBorder="1" applyAlignment="1" applyProtection="1">
      <alignment horizontal="center" vertical="center" wrapText="1"/>
    </xf>
    <xf numFmtId="0" fontId="13" fillId="0" borderId="8" xfId="5" applyFont="1" applyBorder="1" applyAlignment="1" applyProtection="1">
      <alignment vertical="center" wrapText="1"/>
    </xf>
    <xf numFmtId="164" fontId="13" fillId="0" borderId="9" xfId="5" applyNumberFormat="1" applyFont="1" applyBorder="1" applyAlignment="1" applyProtection="1">
      <alignment vertical="center" wrapText="1"/>
    </xf>
    <xf numFmtId="0" fontId="9" fillId="0" borderId="10" xfId="4" applyFont="1" applyBorder="1" applyAlignment="1" applyProtection="1">
      <alignment vertical="center" wrapText="1"/>
    </xf>
    <xf numFmtId="164" fontId="9" fillId="4" borderId="11" xfId="2" applyNumberFormat="1" applyFont="1" applyFill="1" applyBorder="1" applyAlignment="1" applyProtection="1">
      <alignment vertical="center" wrapText="1"/>
      <protection locked="0"/>
    </xf>
    <xf numFmtId="164" fontId="9" fillId="4" borderId="11" xfId="2" applyNumberFormat="1" applyFont="1" applyFill="1" applyBorder="1" applyAlignment="1" applyProtection="1">
      <alignment vertical="center" wrapText="1"/>
    </xf>
    <xf numFmtId="3" fontId="9" fillId="0" borderId="0" xfId="4" applyNumberFormat="1" applyFont="1" applyFill="1" applyBorder="1" applyAlignment="1" applyProtection="1">
      <alignment vertical="center" wrapText="1"/>
    </xf>
    <xf numFmtId="0" fontId="13" fillId="0" borderId="12" xfId="5" applyFont="1" applyBorder="1" applyAlignment="1" applyProtection="1">
      <alignment vertical="center" wrapText="1"/>
    </xf>
    <xf numFmtId="164" fontId="13" fillId="0" borderId="13" xfId="5" applyNumberFormat="1" applyFont="1" applyBorder="1" applyAlignment="1" applyProtection="1">
      <alignment vertical="center" wrapText="1"/>
    </xf>
    <xf numFmtId="0" fontId="9" fillId="0" borderId="12" xfId="4" applyFont="1" applyBorder="1" applyAlignment="1" applyProtection="1">
      <alignment vertical="center" wrapText="1"/>
    </xf>
    <xf numFmtId="164" fontId="9" fillId="4" borderId="14" xfId="2" applyNumberFormat="1" applyFont="1" applyFill="1" applyBorder="1" applyAlignment="1" applyProtection="1">
      <alignment vertical="center" wrapText="1"/>
      <protection locked="0"/>
    </xf>
    <xf numFmtId="164" fontId="9" fillId="4" borderId="14" xfId="2" applyNumberFormat="1" applyFont="1" applyFill="1" applyBorder="1" applyAlignment="1" applyProtection="1">
      <alignment vertical="center" wrapText="1"/>
    </xf>
    <xf numFmtId="0" fontId="10" fillId="0" borderId="12" xfId="4" applyFont="1" applyBorder="1" applyAlignment="1" applyProtection="1">
      <alignment vertical="center" wrapText="1"/>
    </xf>
    <xf numFmtId="164" fontId="10" fillId="0" borderId="14" xfId="2" applyNumberFormat="1" applyFont="1" applyBorder="1" applyAlignment="1" applyProtection="1">
      <alignment vertical="center" wrapText="1"/>
    </xf>
    <xf numFmtId="164" fontId="10" fillId="0" borderId="15" xfId="2" applyNumberFormat="1" applyFont="1" applyBorder="1" applyAlignment="1" applyProtection="1">
      <alignment vertical="center" wrapText="1"/>
    </xf>
    <xf numFmtId="3" fontId="10" fillId="0" borderId="0" xfId="1" applyNumberFormat="1" applyFont="1" applyFill="1" applyBorder="1" applyAlignment="1" applyProtection="1">
      <alignment vertical="center" wrapText="1"/>
    </xf>
    <xf numFmtId="165" fontId="9" fillId="4" borderId="14" xfId="3" applyNumberFormat="1" applyFont="1" applyFill="1" applyBorder="1" applyAlignment="1" applyProtection="1">
      <alignment vertical="center" wrapText="1"/>
    </xf>
    <xf numFmtId="165" fontId="9" fillId="0" borderId="14" xfId="3" applyNumberFormat="1" applyFont="1" applyBorder="1" applyAlignment="1" applyProtection="1">
      <alignment vertical="center" wrapText="1"/>
    </xf>
    <xf numFmtId="165" fontId="9" fillId="0" borderId="15" xfId="3" applyNumberFormat="1" applyFont="1" applyBorder="1" applyAlignment="1" applyProtection="1">
      <alignment vertical="center" wrapText="1"/>
    </xf>
    <xf numFmtId="3" fontId="9" fillId="0" borderId="0" xfId="3" applyNumberFormat="1" applyFont="1" applyFill="1" applyBorder="1" applyAlignment="1" applyProtection="1">
      <alignment vertical="center" wrapText="1"/>
    </xf>
    <xf numFmtId="165" fontId="9" fillId="0" borderId="16" xfId="3" applyNumberFormat="1" applyFont="1" applyBorder="1" applyAlignment="1" applyProtection="1">
      <alignment vertical="center" wrapText="1"/>
    </xf>
    <xf numFmtId="165" fontId="9" fillId="0" borderId="17" xfId="3" applyNumberFormat="1" applyFont="1" applyBorder="1" applyAlignment="1" applyProtection="1">
      <alignment vertical="center" wrapText="1"/>
    </xf>
    <xf numFmtId="165" fontId="9" fillId="0" borderId="13" xfId="3" applyNumberFormat="1" applyFont="1" applyBorder="1" applyAlignment="1" applyProtection="1">
      <alignment vertical="center" wrapText="1"/>
    </xf>
    <xf numFmtId="0" fontId="13" fillId="0" borderId="13" xfId="5" applyFont="1" applyBorder="1" applyAlignment="1" applyProtection="1">
      <alignment vertical="center" wrapText="1"/>
    </xf>
    <xf numFmtId="0" fontId="13" fillId="5" borderId="18" xfId="5" applyFont="1" applyFill="1" applyBorder="1" applyAlignment="1" applyProtection="1">
      <alignment vertical="center" wrapText="1"/>
    </xf>
    <xf numFmtId="0" fontId="13" fillId="0" borderId="18" xfId="5" applyFont="1" applyBorder="1" applyAlignment="1" applyProtection="1">
      <alignment vertical="center" wrapText="1"/>
    </xf>
    <xf numFmtId="0" fontId="13" fillId="0" borderId="18" xfId="5" applyFont="1" applyFill="1" applyBorder="1" applyAlignment="1" applyProtection="1">
      <alignment vertical="center" wrapText="1"/>
    </xf>
    <xf numFmtId="164" fontId="11" fillId="0" borderId="14" xfId="2" applyNumberFormat="1" applyFont="1" applyFill="1" applyBorder="1" applyAlignment="1" applyProtection="1">
      <alignment vertical="center" wrapText="1"/>
    </xf>
    <xf numFmtId="0" fontId="13" fillId="0" borderId="19" xfId="5" applyFont="1" applyFill="1" applyBorder="1" applyAlignment="1" applyProtection="1">
      <alignment vertical="center" wrapText="1"/>
    </xf>
    <xf numFmtId="0" fontId="13" fillId="5" borderId="0" xfId="5" applyFont="1" applyFill="1" applyBorder="1" applyAlignment="1" applyProtection="1">
      <alignment vertical="center" wrapText="1"/>
    </xf>
    <xf numFmtId="0" fontId="13" fillId="0" borderId="0" xfId="5" applyFont="1" applyBorder="1" applyAlignment="1" applyProtection="1">
      <alignment vertical="center" wrapText="1"/>
    </xf>
    <xf numFmtId="0" fontId="13" fillId="0" borderId="0" xfId="5" applyFont="1" applyFill="1" applyBorder="1" applyAlignment="1" applyProtection="1">
      <alignment vertical="center" wrapText="1"/>
    </xf>
    <xf numFmtId="9" fontId="11" fillId="0" borderId="14" xfId="3" applyFont="1" applyFill="1" applyBorder="1" applyAlignment="1" applyProtection="1">
      <alignment vertical="center" wrapText="1"/>
    </xf>
    <xf numFmtId="0" fontId="13" fillId="0" borderId="20" xfId="5" applyFont="1" applyFill="1" applyBorder="1" applyAlignment="1" applyProtection="1">
      <alignment vertical="center" wrapText="1"/>
    </xf>
    <xf numFmtId="165" fontId="9" fillId="6" borderId="14" xfId="3" applyNumberFormat="1" applyFont="1" applyFill="1" applyBorder="1" applyAlignment="1" applyProtection="1">
      <alignment vertical="center" wrapText="1"/>
    </xf>
    <xf numFmtId="0" fontId="13" fillId="5" borderId="21" xfId="5" applyFont="1" applyFill="1" applyBorder="1" applyAlignment="1" applyProtection="1">
      <alignment vertical="center" wrapText="1"/>
    </xf>
    <xf numFmtId="0" fontId="13" fillId="0" borderId="21" xfId="5" applyFont="1" applyBorder="1" applyAlignment="1" applyProtection="1">
      <alignment vertical="center" wrapText="1"/>
    </xf>
    <xf numFmtId="0" fontId="13" fillId="0" borderId="21" xfId="5" applyFont="1" applyFill="1" applyBorder="1" applyAlignment="1" applyProtection="1">
      <alignment vertical="center" wrapText="1"/>
    </xf>
    <xf numFmtId="10" fontId="11" fillId="0" borderId="14" xfId="5" applyNumberFormat="1" applyFont="1" applyFill="1" applyBorder="1" applyAlignment="1" applyProtection="1">
      <alignment vertical="center" wrapText="1"/>
    </xf>
    <xf numFmtId="0" fontId="13" fillId="0" borderId="9" xfId="5" applyFont="1" applyFill="1" applyBorder="1" applyAlignment="1" applyProtection="1">
      <alignment vertical="center" wrapText="1"/>
    </xf>
    <xf numFmtId="165" fontId="11" fillId="0" borderId="14" xfId="3" applyNumberFormat="1" applyFont="1" applyFill="1" applyBorder="1" applyAlignment="1" applyProtection="1">
      <alignment vertical="center" wrapText="1"/>
    </xf>
    <xf numFmtId="0" fontId="9" fillId="0" borderId="22" xfId="4" applyFont="1" applyBorder="1" applyAlignment="1" applyProtection="1">
      <alignment vertical="center" wrapText="1"/>
    </xf>
    <xf numFmtId="165" fontId="9" fillId="0" borderId="23" xfId="3" applyNumberFormat="1" applyFont="1" applyBorder="1" applyAlignment="1" applyProtection="1">
      <alignment vertical="center" wrapText="1"/>
    </xf>
    <xf numFmtId="0" fontId="13" fillId="0" borderId="22" xfId="5" applyFont="1" applyBorder="1" applyAlignment="1" applyProtection="1">
      <alignment vertical="center" wrapText="1"/>
    </xf>
    <xf numFmtId="0" fontId="13" fillId="0" borderId="2" xfId="5" applyFont="1" applyBorder="1" applyAlignment="1" applyProtection="1">
      <alignment vertical="center" wrapText="1"/>
    </xf>
    <xf numFmtId="0" fontId="13" fillId="0" borderId="2" xfId="5" applyFont="1" applyFill="1" applyBorder="1" applyAlignment="1" applyProtection="1">
      <alignment vertical="center" wrapText="1"/>
    </xf>
    <xf numFmtId="10" fontId="11" fillId="0" borderId="24" xfId="5" applyNumberFormat="1" applyFont="1" applyFill="1" applyBorder="1" applyAlignment="1" applyProtection="1">
      <alignment vertical="center" wrapText="1"/>
    </xf>
    <xf numFmtId="0" fontId="13" fillId="0" borderId="25" xfId="5" applyFont="1" applyFill="1" applyBorder="1" applyAlignment="1" applyProtection="1">
      <alignment vertical="center" wrapText="1"/>
    </xf>
    <xf numFmtId="0" fontId="5" fillId="0" borderId="0" xfId="4" applyAlignment="1" applyProtection="1">
      <alignment vertical="center" wrapText="1"/>
    </xf>
    <xf numFmtId="166" fontId="5" fillId="0" borderId="0" xfId="1" applyNumberFormat="1" applyFont="1" applyAlignment="1" applyProtection="1">
      <alignment vertical="center" wrapText="1"/>
    </xf>
    <xf numFmtId="166" fontId="3" fillId="0" borderId="0" xfId="1" applyNumberFormat="1" applyFont="1" applyAlignment="1" applyProtection="1">
      <alignment vertical="center" wrapText="1"/>
    </xf>
    <xf numFmtId="0" fontId="0" fillId="0" borderId="0" xfId="0" applyFill="1" applyBorder="1" applyAlignment="1" applyProtection="1">
      <alignment vertical="center" wrapText="1"/>
    </xf>
    <xf numFmtId="0" fontId="0" fillId="0" borderId="0" xfId="0" applyAlignment="1" applyProtection="1">
      <alignment vertical="center" wrapText="1"/>
    </xf>
    <xf numFmtId="0" fontId="9" fillId="0" borderId="10" xfId="4" applyFont="1" applyFill="1" applyBorder="1" applyAlignment="1" applyProtection="1">
      <alignment vertical="center" wrapText="1"/>
    </xf>
    <xf numFmtId="0" fontId="10" fillId="0" borderId="11" xfId="4" applyFont="1" applyFill="1" applyBorder="1" applyAlignment="1" applyProtection="1">
      <alignment horizontal="center" vertical="center" wrapText="1"/>
    </xf>
    <xf numFmtId="164" fontId="9" fillId="0" borderId="14" xfId="2" applyNumberFormat="1" applyFont="1" applyBorder="1" applyAlignment="1" applyProtection="1">
      <alignment vertical="center" wrapText="1"/>
    </xf>
    <xf numFmtId="0" fontId="2" fillId="0" borderId="0" xfId="0" applyFont="1" applyAlignment="1" applyProtection="1">
      <alignment vertical="center" wrapText="1"/>
    </xf>
    <xf numFmtId="0" fontId="0" fillId="0" borderId="0" xfId="0" applyFill="1" applyProtection="1"/>
    <xf numFmtId="0" fontId="5" fillId="0" borderId="0" xfId="0" applyFont="1" applyAlignment="1" applyProtection="1">
      <alignment vertical="top" wrapText="1"/>
    </xf>
    <xf numFmtId="0" fontId="5" fillId="0" borderId="0" xfId="0" applyFont="1" applyAlignment="1" applyProtection="1">
      <alignment horizontal="left" vertical="top"/>
    </xf>
    <xf numFmtId="0" fontId="5" fillId="0" borderId="0" xfId="0" applyFont="1" applyProtection="1"/>
    <xf numFmtId="0" fontId="0" fillId="0" borderId="0" xfId="0" applyProtection="1">
      <protection locked="0"/>
    </xf>
    <xf numFmtId="0" fontId="2" fillId="0" borderId="0" xfId="0" applyFont="1" applyAlignment="1" applyProtection="1">
      <alignment horizontal="left"/>
      <protection locked="0"/>
    </xf>
    <xf numFmtId="0" fontId="3" fillId="0" borderId="0" xfId="0" applyFont="1" applyAlignment="1" applyProtection="1">
      <alignment horizontal="right" vertical="top"/>
      <protection locked="0"/>
    </xf>
    <xf numFmtId="0" fontId="3" fillId="2" borderId="1" xfId="0" applyFont="1" applyFill="1" applyBorder="1" applyAlignment="1" applyProtection="1">
      <alignment horizontal="right" vertical="top"/>
      <protection locked="0"/>
    </xf>
    <xf numFmtId="0" fontId="3" fillId="2" borderId="0" xfId="0" applyFont="1" applyFill="1" applyAlignment="1" applyProtection="1">
      <alignment horizontal="right" vertical="top"/>
      <protection locked="0"/>
    </xf>
    <xf numFmtId="0" fontId="0" fillId="0" borderId="0" xfId="0" applyFill="1" applyProtection="1">
      <protection locked="0"/>
    </xf>
    <xf numFmtId="0" fontId="2" fillId="0" borderId="10" xfId="0" applyFont="1" applyBorder="1" applyAlignment="1" applyProtection="1">
      <alignment vertical="center"/>
      <protection locked="0"/>
    </xf>
    <xf numFmtId="0" fontId="2" fillId="0" borderId="4"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0" fontId="12" fillId="0" borderId="6" xfId="4" applyFont="1" applyFill="1" applyBorder="1" applyAlignment="1" applyProtection="1">
      <alignment vertical="center" wrapText="1"/>
      <protection locked="0"/>
    </xf>
    <xf numFmtId="0" fontId="12" fillId="0" borderId="0" xfId="4" applyFont="1" applyFill="1" applyBorder="1" applyAlignment="1" applyProtection="1">
      <alignment vertical="center" wrapText="1"/>
      <protection locked="0"/>
    </xf>
    <xf numFmtId="0" fontId="2" fillId="0" borderId="26" xfId="0" applyFont="1" applyBorder="1" applyProtection="1">
      <protection locked="0"/>
    </xf>
    <xf numFmtId="164" fontId="0" fillId="2" borderId="27" xfId="2" applyNumberFormat="1" applyFont="1" applyFill="1" applyBorder="1" applyProtection="1">
      <protection locked="0"/>
    </xf>
    <xf numFmtId="164" fontId="0" fillId="0" borderId="13" xfId="2" applyNumberFormat="1" applyFont="1" applyBorder="1" applyProtection="1">
      <protection locked="0"/>
    </xf>
    <xf numFmtId="0" fontId="0" fillId="2" borderId="12" xfId="0" applyFill="1" applyBorder="1" applyProtection="1">
      <protection locked="0"/>
    </xf>
    <xf numFmtId="164" fontId="0" fillId="2" borderId="28" xfId="2" applyNumberFormat="1" applyFont="1" applyFill="1" applyBorder="1" applyProtection="1">
      <protection locked="0"/>
    </xf>
    <xf numFmtId="164" fontId="0" fillId="2" borderId="14" xfId="2" applyNumberFormat="1" applyFont="1" applyFill="1" applyBorder="1" applyProtection="1">
      <protection locked="0"/>
    </xf>
    <xf numFmtId="164" fontId="5" fillId="2" borderId="14" xfId="2" applyNumberFormat="1" applyFont="1" applyFill="1" applyBorder="1" applyProtection="1">
      <protection locked="0"/>
    </xf>
    <xf numFmtId="0" fontId="5" fillId="2" borderId="12" xfId="0" applyFont="1" applyFill="1" applyBorder="1" applyProtection="1">
      <protection locked="0"/>
    </xf>
    <xf numFmtId="164" fontId="0" fillId="2" borderId="15" xfId="2" applyNumberFormat="1" applyFont="1" applyFill="1" applyBorder="1" applyProtection="1">
      <protection locked="0"/>
    </xf>
    <xf numFmtId="0" fontId="0" fillId="2" borderId="29" xfId="0" applyFill="1" applyBorder="1" applyProtection="1">
      <protection locked="0"/>
    </xf>
    <xf numFmtId="164" fontId="0" fillId="2" borderId="30" xfId="2" applyNumberFormat="1" applyFont="1" applyFill="1" applyBorder="1" applyProtection="1">
      <protection locked="0"/>
    </xf>
    <xf numFmtId="164" fontId="0" fillId="2" borderId="31" xfId="2" applyNumberFormat="1" applyFont="1" applyFill="1" applyBorder="1" applyProtection="1">
      <protection locked="0"/>
    </xf>
    <xf numFmtId="164" fontId="0" fillId="2" borderId="32" xfId="2" applyNumberFormat="1" applyFont="1" applyFill="1" applyBorder="1" applyProtection="1">
      <protection locked="0"/>
    </xf>
    <xf numFmtId="0" fontId="2" fillId="0" borderId="33" xfId="0" applyFont="1" applyBorder="1" applyProtection="1">
      <protection locked="0"/>
    </xf>
    <xf numFmtId="164" fontId="0" fillId="0" borderId="34" xfId="2" applyNumberFormat="1" applyFont="1" applyBorder="1" applyProtection="1">
      <protection locked="0"/>
    </xf>
    <xf numFmtId="164" fontId="0" fillId="0" borderId="35" xfId="2" applyNumberFormat="1" applyFont="1" applyBorder="1" applyProtection="1">
      <protection locked="0"/>
    </xf>
    <xf numFmtId="164" fontId="0" fillId="0" borderId="36" xfId="2" applyNumberFormat="1" applyFont="1" applyBorder="1" applyProtection="1">
      <protection locked="0"/>
    </xf>
    <xf numFmtId="0" fontId="15" fillId="0" borderId="0" xfId="0" applyFont="1" applyAlignment="1" applyProtection="1">
      <alignment horizontal="right"/>
      <protection locked="0"/>
    </xf>
    <xf numFmtId="0" fontId="0" fillId="0" borderId="0" xfId="0" applyAlignment="1" applyProtection="1">
      <alignment horizontal="right"/>
      <protection locked="0"/>
    </xf>
    <xf numFmtId="0" fontId="2" fillId="0" borderId="0" xfId="0" applyFont="1" applyAlignment="1" applyProtection="1">
      <alignment horizontal="right"/>
      <protection locked="0"/>
    </xf>
    <xf numFmtId="0" fontId="2" fillId="0" borderId="0" xfId="0" applyFont="1" applyAlignment="1" applyProtection="1">
      <alignment horizontal="right" vertical="top"/>
      <protection locked="0"/>
    </xf>
    <xf numFmtId="0" fontId="2" fillId="0" borderId="0" xfId="0" applyFont="1" applyProtection="1">
      <protection locked="0"/>
    </xf>
    <xf numFmtId="0" fontId="7" fillId="0" borderId="0" xfId="0" applyFont="1" applyAlignment="1" applyProtection="1">
      <protection locked="0"/>
    </xf>
    <xf numFmtId="0" fontId="2" fillId="0" borderId="37" xfId="0" applyFont="1" applyFill="1" applyBorder="1" applyProtection="1">
      <protection locked="0"/>
    </xf>
    <xf numFmtId="0" fontId="2" fillId="2" borderId="13" xfId="0" applyFont="1" applyFill="1" applyBorder="1" applyProtection="1">
      <protection locked="0"/>
    </xf>
    <xf numFmtId="3" fontId="0" fillId="0" borderId="14" xfId="0" applyNumberFormat="1" applyFill="1" applyBorder="1" applyProtection="1">
      <protection locked="0"/>
    </xf>
    <xf numFmtId="3" fontId="0" fillId="0" borderId="14" xfId="2" applyNumberFormat="1" applyFont="1" applyFill="1" applyBorder="1" applyProtection="1">
      <protection locked="0"/>
    </xf>
    <xf numFmtId="0" fontId="5" fillId="2" borderId="13" xfId="0" applyFont="1" applyFill="1" applyBorder="1" applyProtection="1">
      <protection locked="0"/>
    </xf>
    <xf numFmtId="3" fontId="0" fillId="2" borderId="30" xfId="2" applyNumberFormat="1" applyFont="1" applyFill="1" applyBorder="1" applyProtection="1">
      <protection locked="0"/>
    </xf>
    <xf numFmtId="3" fontId="0" fillId="7" borderId="14" xfId="2" applyNumberFormat="1" applyFont="1" applyFill="1" applyBorder="1" applyProtection="1">
      <protection locked="0"/>
    </xf>
    <xf numFmtId="0" fontId="2" fillId="0" borderId="13" xfId="0" applyFont="1" applyFill="1" applyBorder="1" applyProtection="1">
      <protection locked="0"/>
    </xf>
    <xf numFmtId="0" fontId="2" fillId="2" borderId="13" xfId="0" applyFont="1" applyFill="1" applyBorder="1" applyAlignment="1" applyProtection="1">
      <alignment wrapText="1"/>
      <protection locked="0"/>
    </xf>
    <xf numFmtId="3" fontId="2" fillId="0" borderId="34" xfId="0" applyNumberFormat="1" applyFont="1" applyFill="1" applyBorder="1" applyProtection="1">
      <protection locked="0"/>
    </xf>
    <xf numFmtId="0" fontId="16" fillId="0" borderId="0" xfId="0" applyFont="1" applyAlignment="1" applyProtection="1">
      <alignment horizontal="left" vertical="top"/>
      <protection locked="0"/>
    </xf>
    <xf numFmtId="0" fontId="5" fillId="0" borderId="0" xfId="0" applyFont="1" applyProtection="1">
      <protection locked="0"/>
    </xf>
    <xf numFmtId="0" fontId="3" fillId="0" borderId="0" xfId="4" applyFont="1" applyAlignment="1" applyProtection="1">
      <alignment horizontal="right" vertical="top"/>
    </xf>
    <xf numFmtId="0" fontId="0" fillId="0" borderId="6" xfId="0" applyBorder="1" applyProtection="1"/>
    <xf numFmtId="0" fontId="0" fillId="0" borderId="0" xfId="0" applyAlignment="1" applyProtection="1">
      <alignment horizontal="center" vertical="center" wrapText="1"/>
    </xf>
    <xf numFmtId="0" fontId="0" fillId="0" borderId="14" xfId="0" applyBorder="1" applyProtection="1"/>
    <xf numFmtId="166" fontId="5" fillId="2" borderId="14" xfId="1" applyNumberFormat="1" applyFill="1" applyBorder="1" applyProtection="1">
      <protection locked="0"/>
    </xf>
    <xf numFmtId="166" fontId="5" fillId="0" borderId="14" xfId="1" applyNumberFormat="1" applyBorder="1" applyProtection="1"/>
    <xf numFmtId="164" fontId="5" fillId="2" borderId="14" xfId="2" applyNumberFormat="1" applyFill="1" applyBorder="1" applyProtection="1">
      <protection locked="0"/>
    </xf>
    <xf numFmtId="164" fontId="5" fillId="0" borderId="14" xfId="2" applyNumberFormat="1" applyBorder="1" applyProtection="1"/>
    <xf numFmtId="0" fontId="5" fillId="0" borderId="0" xfId="0" applyFont="1" applyAlignment="1" applyProtection="1">
      <alignment horizontal="left" vertical="top"/>
    </xf>
    <xf numFmtId="0" fontId="5" fillId="0" borderId="0" xfId="0" applyFont="1" applyAlignment="1" applyProtection="1">
      <alignment horizontal="left" vertical="top" wrapText="1"/>
    </xf>
    <xf numFmtId="0" fontId="0" fillId="0" borderId="2" xfId="0" applyBorder="1" applyAlignment="1" applyProtection="1">
      <alignment horizontal="center"/>
    </xf>
    <xf numFmtId="0" fontId="10" fillId="0" borderId="0" xfId="4" applyFont="1" applyFill="1" applyBorder="1" applyAlignment="1" applyProtection="1">
      <alignment horizontal="center" vertical="center" wrapText="1"/>
    </xf>
    <xf numFmtId="0" fontId="5" fillId="0" borderId="0" xfId="0" applyFont="1" applyFill="1" applyAlignment="1" applyProtection="1">
      <alignment horizontal="left" vertical="top" wrapText="1"/>
    </xf>
    <xf numFmtId="0" fontId="7" fillId="0" borderId="0" xfId="0" applyFont="1" applyAlignment="1" applyProtection="1">
      <alignment horizontal="center" vertical="center"/>
    </xf>
    <xf numFmtId="0" fontId="2" fillId="0" borderId="2" xfId="0" applyFont="1" applyBorder="1" applyAlignment="1" applyProtection="1">
      <alignment horizontal="center"/>
    </xf>
    <xf numFmtId="0" fontId="7" fillId="0" borderId="0" xfId="0" applyFont="1" applyAlignment="1" applyProtection="1">
      <alignment horizontal="center"/>
      <protection locked="0"/>
    </xf>
    <xf numFmtId="0" fontId="5"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2" fillId="0" borderId="0" xfId="0" applyFont="1" applyAlignment="1" applyProtection="1">
      <alignment horizontal="left" wrapText="1"/>
      <protection locked="0"/>
    </xf>
    <xf numFmtId="0" fontId="7" fillId="0" borderId="0" xfId="0" applyFont="1" applyAlignment="1" applyProtection="1">
      <alignment horizontal="center" vertical="top"/>
      <protection locked="0"/>
    </xf>
    <xf numFmtId="0" fontId="0" fillId="0" borderId="0" xfId="0" applyAlignment="1" applyProtection="1">
      <alignment horizontal="left" wrapText="1"/>
      <protection locked="0"/>
    </xf>
    <xf numFmtId="0" fontId="2" fillId="8" borderId="16" xfId="0" applyFont="1" applyFill="1" applyBorder="1" applyAlignment="1" applyProtection="1">
      <alignment horizontal="left"/>
    </xf>
    <xf numFmtId="0" fontId="2" fillId="8" borderId="17" xfId="0" applyFont="1" applyFill="1" applyBorder="1" applyAlignment="1" applyProtection="1">
      <alignment horizontal="left"/>
    </xf>
    <xf numFmtId="0" fontId="2" fillId="8" borderId="13" xfId="0" applyFont="1" applyFill="1" applyBorder="1" applyAlignment="1" applyProtection="1">
      <alignment horizontal="left"/>
    </xf>
    <xf numFmtId="0" fontId="2" fillId="0" borderId="0" xfId="0" applyFont="1" applyFill="1" applyBorder="1" applyAlignment="1" applyProtection="1">
      <alignment horizontal="left" vertical="top"/>
    </xf>
    <xf numFmtId="0" fontId="17" fillId="0" borderId="0" xfId="0" applyFont="1" applyFill="1" applyBorder="1" applyAlignment="1" applyProtection="1">
      <alignment horizontal="left"/>
    </xf>
    <xf numFmtId="0" fontId="5" fillId="0" borderId="0" xfId="0" quotePrefix="1" applyFont="1" applyAlignment="1" applyProtection="1">
      <alignment horizontal="left" vertical="top" wrapText="1"/>
    </xf>
    <xf numFmtId="0" fontId="6" fillId="0" borderId="0" xfId="4" applyFont="1" applyAlignment="1" applyProtection="1">
      <alignment horizontal="left"/>
    </xf>
    <xf numFmtId="0" fontId="7" fillId="0" borderId="0" xfId="0" applyFont="1" applyAlignment="1" applyProtection="1">
      <alignment horizontal="center"/>
    </xf>
    <xf numFmtId="0" fontId="2" fillId="8" borderId="38" xfId="0" applyFont="1" applyFill="1" applyBorder="1" applyAlignment="1" applyProtection="1">
      <alignment horizontal="left"/>
    </xf>
    <xf numFmtId="0" fontId="2" fillId="8" borderId="21" xfId="0" applyFont="1" applyFill="1" applyBorder="1" applyAlignment="1" applyProtection="1">
      <alignment horizontal="left"/>
    </xf>
    <xf numFmtId="0" fontId="2" fillId="8" borderId="9" xfId="0" applyFont="1" applyFill="1" applyBorder="1" applyAlignment="1" applyProtection="1">
      <alignment horizontal="left"/>
    </xf>
  </cellXfs>
  <cellStyles count="6">
    <cellStyle name="Comma" xfId="1" builtinId="3"/>
    <cellStyle name="Currency" xfId="2" builtinId="4"/>
    <cellStyle name="Normal" xfId="0" builtinId="0"/>
    <cellStyle name="Normal 2" xfId="4"/>
    <cellStyle name="Normal 3" xfId="5"/>
    <cellStyle name="Percent" xfId="3" builtinId="5"/>
  </cellStyles>
  <dxfs count="20">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fgColor rgb="FFCCFFCC"/>
          <bgColor theme="6" tint="0.79998168889431442"/>
        </patternFill>
      </fill>
    </dxf>
    <dxf>
      <fill>
        <patternFill patternType="solid">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externalLinks/externalLink4.xml" Type="http://schemas.openxmlformats.org/officeDocument/2006/relationships/externalLink" Id="rId8"></Relationship><Relationship Target="externalLinks/externalLink9.xml" Type="http://schemas.openxmlformats.org/officeDocument/2006/relationships/externalLink" Id="rId13"></Relationship><Relationship Target="sharedStrings.xml" Type="http://schemas.openxmlformats.org/officeDocument/2006/relationships/sharedStrings" Id="rId18"></Relationship><Relationship Target="worksheets/sheet3.xml" Type="http://schemas.openxmlformats.org/officeDocument/2006/relationships/worksheet" Id="rId3"></Relationship><Relationship Target="externalLinks/externalLink3.xml" Type="http://schemas.openxmlformats.org/officeDocument/2006/relationships/externalLink" Id="rId7"></Relationship><Relationship Target="externalLinks/externalLink8.xml" Type="http://schemas.openxmlformats.org/officeDocument/2006/relationships/externalLink" Id="rId12"></Relationship><Relationship Target="styles.xml" Type="http://schemas.openxmlformats.org/officeDocument/2006/relationships/styles" Id="rId17"></Relationship><Relationship Target="worksheets/sheet2.xml" Type="http://schemas.openxmlformats.org/officeDocument/2006/relationships/worksheet" Id="rId2"></Relationship><Relationship Target="theme/theme1.xml" Type="http://schemas.openxmlformats.org/officeDocument/2006/relationships/theme" Id="rId16"></Relationship><Relationship Target="worksheets/sheet1.xml" Type="http://schemas.openxmlformats.org/officeDocument/2006/relationships/worksheet" Id="rId1"></Relationship><Relationship Target="externalLinks/externalLink2.xml" Type="http://schemas.openxmlformats.org/officeDocument/2006/relationships/externalLink" Id="rId6"></Relationship><Relationship Target="externalLinks/externalLink7.xml" Type="http://schemas.openxmlformats.org/officeDocument/2006/relationships/externalLink" Id="rId11"></Relationship><Relationship Target="externalLinks/externalLink1.xml" Type="http://schemas.openxmlformats.org/officeDocument/2006/relationships/externalLink" Id="rId5"></Relationship><Relationship Target="externalLinks/externalLink11.xml" Type="http://schemas.openxmlformats.org/officeDocument/2006/relationships/externalLink" Id="rId15"></Relationship><Relationship Target="externalLinks/externalLink6.xml" Type="http://schemas.openxmlformats.org/officeDocument/2006/relationships/externalLink" Id="rId10"></Relationship><Relationship Target="calcChain.xml" Type="http://schemas.openxmlformats.org/officeDocument/2006/relationships/calcChain" Id="rId19"></Relationship><Relationship Target="worksheets/sheet4.xml" Type="http://schemas.openxmlformats.org/officeDocument/2006/relationships/worksheet" Id="rId4"></Relationship><Relationship Target="externalLinks/externalLink5.xml" Type="http://schemas.openxmlformats.org/officeDocument/2006/relationships/externalLink" Id="rId9"></Relationship><Relationship Target="externalLinks/externalLink10.xml" Type="http://schemas.openxmlformats.org/officeDocument/2006/relationships/externalLink" Id="rId14"></Relationship></Relationships>
</file>

<file path=xl/externalLinks/_rels/externalLink1.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2.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3.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4.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5.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6.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7.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8.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9.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10.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11.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P0.Admin"/>
      <sheetName val="P1.UCC"/>
      <sheetName val="P2.CEC"/>
      <sheetName val="P3.Interest"/>
      <sheetName val="P4.LCF"/>
      <sheetName val="P5.Reserves"/>
      <sheetName val="P6.TxblIncome"/>
      <sheetName val="P7.CapitalTax"/>
      <sheetName val="P8.TotalPILs"/>
      <sheetName val="Y1.TaxRates"/>
      <sheetName val="Y2.CCA"/>
      <sheetName val="Z1.ModelVariables"/>
      <sheetName val="Z0.Disclaimer"/>
    </sheetNames>
    <sheetDataSet>
      <sheetData sheetId="0"/>
      <sheetData sheetId="1">
        <row r="13">
          <cell r="C13">
            <v>2010</v>
          </cell>
        </row>
      </sheetData>
      <sheetData sheetId="2">
        <row r="35">
          <cell r="N35">
            <v>131419.23125993941</v>
          </cell>
        </row>
      </sheetData>
      <sheetData sheetId="3">
        <row r="22">
          <cell r="F22">
            <v>860.65000000000009</v>
          </cell>
        </row>
      </sheetData>
      <sheetData sheetId="4"/>
      <sheetData sheetId="5">
        <row r="12">
          <cell r="F12">
            <v>41525</v>
          </cell>
        </row>
      </sheetData>
      <sheetData sheetId="6">
        <row r="19">
          <cell r="E19">
            <v>0</v>
          </cell>
        </row>
      </sheetData>
      <sheetData sheetId="7">
        <row r="88">
          <cell r="G88">
            <v>58113.1187400606</v>
          </cell>
        </row>
      </sheetData>
      <sheetData sheetId="8">
        <row r="15">
          <cell r="C15">
            <v>0</v>
          </cell>
        </row>
      </sheetData>
      <sheetData sheetId="9"/>
      <sheetData sheetId="10">
        <row r="12">
          <cell r="B12">
            <v>1.0000000000000001E-5</v>
          </cell>
        </row>
      </sheetData>
      <sheetData sheetId="11">
        <row r="10">
          <cell r="B10">
            <v>1</v>
          </cell>
        </row>
      </sheetData>
      <sheetData sheetId="12">
        <row r="10">
          <cell r="C10" t="str">
            <v xml:space="preserve">_x000D_
</v>
          </cell>
        </row>
        <row r="12">
          <cell r="C12" t="str">
            <v>2006 EDR Approved</v>
          </cell>
        </row>
        <row r="13">
          <cell r="C13" t="str">
            <v>v1.02</v>
          </cell>
        </row>
      </sheetData>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 val="2016 List"/>
    </sheetNames>
    <sheetDataSet>
      <sheetData sheetId="0"/>
      <sheetData sheetId="1"/>
      <sheetData sheetId="2">
        <row r="19">
          <cell r="B19" t="str">
            <v>UNMETERED SCATTERED LOAD</v>
          </cell>
        </row>
        <row r="20">
          <cell r="B20" t="str">
            <v>RESIDENTIAL URBAN</v>
          </cell>
        </row>
        <row r="21">
          <cell r="B21" t="str">
            <v>microFIT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 Updates"/>
      <sheetName val="Table of Content"/>
      <sheetName val="0.1 LDC Info"/>
      <sheetName val="0.2 Customer Classes"/>
      <sheetName val="0.3 Templ Event Log"/>
      <sheetName val="Exhibit 1 -&gt;"/>
      <sheetName val="1.1 Trial Balance Summary"/>
      <sheetName val="1.2.TB Historical Balances"/>
      <sheetName val="1.3 TB Projected Balances"/>
      <sheetName val="1.4 TB Variance Analysis"/>
      <sheetName val="1.5 Organizational Structure"/>
      <sheetName val="1.6 Corporate Structure"/>
      <sheetName val="Exhibit 2 -&gt;"/>
      <sheetName val="2.1. Rate Base Trend "/>
      <sheetName val="Rate Base using Gross"/>
      <sheetName val="2.2 RateBase VarAnalysis"/>
      <sheetName val="2.3 Summary of Capital Projects"/>
      <sheetName val="2.4 Var Capital Expenditures"/>
      <sheetName val="Sheet1"/>
      <sheetName val="FIXED ASSET CONTINUITY STMT -&gt;"/>
      <sheetName val="2.5 Service Life Comp"/>
      <sheetName val="2.6 Fixed Asset Cont Stmt"/>
      <sheetName val="2.7 Overhead"/>
      <sheetName val="DEPRECIATION EXPENSES -&gt;"/>
      <sheetName val="2.9 Depreciation Expenses"/>
      <sheetName val="2.10 DeprExp Bridge NewGAAP"/>
      <sheetName val="2.11 DeprExp Test NewGAAP"/>
      <sheetName val="2.12 Proposed REG Invest."/>
      <sheetName val="HD Deprec"/>
      <sheetName val="2.13 SQI"/>
      <sheetName val="Exhibit 3 -&gt;"/>
      <sheetName val="OPERATING REVENUES -&gt;"/>
      <sheetName val="3.1 Other Oper Rev Detail"/>
      <sheetName val="3.2 Other_Oper_Rev Sum"/>
      <sheetName val="LOAD FORECAST -&gt;"/>
      <sheetName val="3.10a Load Forecast Inputs"/>
      <sheetName val="3.10c Load Forecast Analysis"/>
      <sheetName val="3.10b LoadForecast"/>
      <sheetName val="Exhibit 4 -&gt;"/>
      <sheetName val="OM&amp;A -&gt;"/>
      <sheetName val="4.1 OM&amp;A_Detailed_Analysis"/>
      <sheetName val="4.2 OM&amp;A_Summary_Analys"/>
      <sheetName val="Exh 4 Tables"/>
      <sheetName val="Trends Graph of OMA HD Added"/>
      <sheetName val="4.3 OMA Programs"/>
      <sheetName val="4.4 OM&amp;A_Cost _Drivers(bakup)"/>
      <sheetName val="4.3a OMA Programs Variances FT"/>
      <sheetName val="4.4 OM&amp;A_Cost _Drivers"/>
      <sheetName val="4.5 Monthly Staff Lvl"/>
      <sheetName val="4.6 Yearly Staff Turnover"/>
      <sheetName val="4.7 Employee Costs"/>
      <sheetName val="4.7a Employee Cost Variance-FT"/>
      <sheetName val="4.10 Regulatory_Costs"/>
      <sheetName val="4.8. Charitable Donations"/>
      <sheetName val="4.9 OM&amp;A_per_Cust_FTEE"/>
      <sheetName val="4.11 Supplier Purchases"/>
      <sheetName val="4.12 PowerSupplExp"/>
      <sheetName val="4.13 Corp_Cost_Allocation"/>
      <sheetName val="Exhibit 5 -&gt;"/>
      <sheetName val="5.1 Capital Structure"/>
      <sheetName val="5.2 Debt Instruments"/>
      <sheetName val="Exhibit 6 -&gt;"/>
      <sheetName val="6.1 Revenue Requirement"/>
      <sheetName val="6.2 Chg in RevReq"/>
      <sheetName val="6.3 Rev Deficiency Sufficiency"/>
      <sheetName val="6.4 Calc of ROE on Deemed Basis"/>
      <sheetName val="6.5 Scorecard"/>
      <sheetName val="Exhibit 8 -&gt;"/>
      <sheetName val="8.1 Loss Factors"/>
      <sheetName val="8.2 IFRS Transition Costs"/>
      <sheetName val="Rate Design-&gt;"/>
      <sheetName val="A. Cost Allocation &amp; RevAllocn"/>
      <sheetName val="B. RateDesign"/>
      <sheetName val="B.a RateDesign FV Split-FT"/>
      <sheetName val="C. Res Rate Design"/>
      <sheetName val="D. Rev_Reconciliation"/>
      <sheetName val="E. Revenues at Curr Rates"/>
      <sheetName val="F.Cost Allocation"/>
      <sheetName val="Integrity Check"/>
      <sheetName val="Bill Impacts"/>
      <sheetName val="Bill Impact Summary"/>
      <sheetName val="Bill Impact - Res 10 Pct"/>
      <sheetName val="Bill Impact-Res 10 Pct Retailer"/>
      <sheetName val="Bill Impact - Residential 750"/>
      <sheetName val="Bill Impact - Res Retailers"/>
      <sheetName val="Bill Impact - Residential 1800"/>
      <sheetName val="Bill Impact - Res Retailers1800"/>
      <sheetName val="Bill Impact - Residential 3000"/>
      <sheetName val="Bill Impact - Res Retailers3000"/>
      <sheetName val="Bill Impact - GS&lt;50"/>
      <sheetName val="Bill Impact - GS&lt;50 Retailer"/>
      <sheetName val="Bill Impact - GS&lt;50 (2)"/>
      <sheetName val="Bill Impact - GS&lt;50 Retaile (2"/>
      <sheetName val="Bill Impact - GS&lt;50 (3)"/>
      <sheetName val="Bill Impact - GS&lt;50 Retaile (3)"/>
      <sheetName val="Bill Impact - GS&gt;50"/>
      <sheetName val="Bill Impact - GS&gt;50 (2)"/>
      <sheetName val="Bill Impact - GS&gt;50 (3)"/>
      <sheetName val="Bill Impact - GS&gt;50 (4)"/>
      <sheetName val="Bill Impact - GS&gt;50 (5)"/>
      <sheetName val="Bill Impact - Intermediate"/>
      <sheetName val="Bill Impact - USL"/>
      <sheetName val="Bill Impact - USL Retailer"/>
      <sheetName val="Bill Impact - Sentinel"/>
      <sheetName val="Bill Impact - Sentinel Retailer"/>
      <sheetName val="Bill Impact - StreetLight"/>
      <sheetName val="Intervener Tool"/>
      <sheetName val="Settlement Conference Tables"/>
    </sheetNames>
    <sheetDataSet>
      <sheetData sheetId="0"/>
      <sheetData sheetId="1"/>
      <sheetData sheetId="2">
        <row r="23">
          <cell r="E23">
            <v>2017</v>
          </cell>
        </row>
        <row r="25">
          <cell r="E25">
            <v>2018</v>
          </cell>
        </row>
        <row r="27">
          <cell r="E27">
            <v>2013</v>
          </cell>
        </row>
      </sheetData>
      <sheetData sheetId="3">
        <row r="13">
          <cell r="A13" t="str">
            <v>Residential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28">
          <cell r="F28">
            <v>44896468</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_Requested_Approvals"/>
      <sheetName val="App.2-AA_Capital Projects"/>
      <sheetName val="App.2-AB_Capital Expenditures"/>
      <sheetName val="Hidden_CAPEX"/>
      <sheetName val="App.2-AC_Customer Engagement"/>
      <sheetName val="App.2-B_Acctg Instructions"/>
      <sheetName val="App.2-BA_Fixed Asset Cont"/>
      <sheetName val="Appendix 2-BB Service Life  "/>
      <sheetName val="App.2-C_DepExp"/>
      <sheetName val="App.2-D_Overhead"/>
      <sheetName val="App.2-EA_Account 1575 (2015)"/>
      <sheetName val="App.2-EB_Account 1576 (2012)"/>
      <sheetName val="App.2-EC_Account 1576 (2013)"/>
      <sheetName val="App.2-FA Proposed REG Invest."/>
      <sheetName val="Hidden_REG Invest."/>
      <sheetName val="App.2-FB Calc of REG Improvemnt"/>
      <sheetName val="Hidden_REG Improvement"/>
      <sheetName val="App.2-FC Calc of REG Expansion"/>
      <sheetName val="Hidden_REG Expansion"/>
      <sheetName val="App.2-G SQI"/>
      <sheetName val="App.2-H_Other_Oper_Rev"/>
      <sheetName val="Hidden_Other Revenue"/>
      <sheetName val="App_2-I LF_CDM"/>
      <sheetName val="App.2-IA_Load_Forecast_Instrct"/>
      <sheetName val="App.2-IB_Load_Forecast_Analysis"/>
      <sheetName val="App.2-JA_OM&amp;A_Summary_Analys"/>
      <sheetName val="Hidden_OM&amp;A Summary"/>
      <sheetName val="App.2-JB_OM&amp;A_Cost _Drivers"/>
      <sheetName val="App.2-JC_OMA Programs"/>
      <sheetName val="App.2-K_Employee Costs"/>
      <sheetName val="Hidden_Employee Costs"/>
      <sheetName val="App.2-L_OM&amp;A_per_Cust_FTE"/>
      <sheetName val="App.2-L_OM&amp;A_per_Cust_FTEE_exp"/>
      <sheetName val="App.2-M_Regulatory_Costs"/>
      <sheetName val="Hidden_RegulatoryCosts1"/>
      <sheetName val="Hidden_RegulatoryCosts2"/>
      <sheetName val="App.2-N_Corp_Cost_Allocation"/>
      <sheetName val="App.2-OA Capital Structure"/>
      <sheetName val="App.2-OB_Debt Instruments"/>
      <sheetName val="App.2-Q_Cost of Serv. Emb. Dx"/>
      <sheetName val="App.2-R_Loss Factors"/>
      <sheetName val="App.2-S_Stranded Meters"/>
      <sheetName val="App.2-Y_MIFRS Summary Impacts"/>
      <sheetName val="Sheet19"/>
      <sheetName val="App.2-YA_IFRS Transition Costs"/>
      <sheetName val="App.2-Z_Commodity Expense"/>
      <sheetName val="Sheet1"/>
    </sheetNames>
    <sheetDataSet>
      <sheetData sheetId="0">
        <row r="16">
          <cell r="E16" t="str">
            <v>EB-2018-0056</v>
          </cell>
        </row>
        <row r="24">
          <cell r="E24">
            <v>2019</v>
          </cell>
        </row>
        <row r="26">
          <cell r="E26">
            <v>2018</v>
          </cell>
        </row>
        <row r="28">
          <cell r="E28">
            <v>2014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App.2-IB_Load_Forecast"/>
      <sheetName val="App.2-P_Cost_Allocation"/>
      <sheetName val="App.2-PA_Res_Rate_Design"/>
      <sheetName val="App.2-V_Rev_Reconciliation"/>
      <sheetName val="App. 2-TS_Tariff"/>
      <sheetName val="App.2-W_Bill Impacts"/>
      <sheetName val="App.2-W_Bill Impacts_hidden"/>
      <sheetName val="lists"/>
      <sheetName val="lists2"/>
    </sheetNames>
    <sheetDataSet>
      <sheetData sheetId="0"/>
      <sheetData sheetId="1"/>
      <sheetData sheetId="2"/>
      <sheetData sheetId="3"/>
      <sheetData sheetId="4"/>
      <sheetData sheetId="5"/>
      <sheetData sheetId="6"/>
      <sheetData sheetId="7"/>
      <sheetData sheetId="8">
        <row r="1">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cell r="AL1" t="str">
            <v>Algoma Power Inc.</v>
          </cell>
        </row>
        <row r="2">
          <cell r="A2" t="str">
            <v>DISTRIBUTED GENERATION [DGEN]</v>
          </cell>
          <cell r="I2" t="str">
            <v>Distribution Volumetric Rate</v>
          </cell>
          <cell r="L2" t="str">
            <v>Total Loss Factor – Primary Metered Customer</v>
          </cell>
          <cell r="N2" t="str">
            <v>$</v>
          </cell>
          <cell r="O2" t="str">
            <v>$/kWh</v>
          </cell>
          <cell r="P2" t="str">
            <v>$</v>
          </cell>
          <cell r="Z2" t="str">
            <v>Account set up charge/change of occupancy charge</v>
          </cell>
          <cell r="AA2" t="str">
            <v>Administrative Billing Charge</v>
          </cell>
          <cell r="AL2" t="str">
            <v>Atikokan Hydro Inc.</v>
          </cell>
        </row>
        <row r="3">
          <cell r="A3" t="str">
            <v>EMBEDDED DISTRIBUTOR</v>
          </cell>
          <cell r="I3" t="str">
            <v>Distribution Volumetric Rate - $/kW of contracted amount</v>
          </cell>
          <cell r="L3" t="str">
            <v>Total Loss Factor – Primary Metered Customer &lt; 5,000 kW</v>
          </cell>
          <cell r="N3" t="str">
            <v>$/kWh</v>
          </cell>
          <cell r="O3" t="str">
            <v>$/kW</v>
          </cell>
          <cell r="P3" t="str">
            <v>%</v>
          </cell>
          <cell r="Z3" t="str">
            <v>Account set up charge/change of occupancy charge (plus credit agency costs if applicable – Residential)</v>
          </cell>
          <cell r="AA3" t="str">
            <v>Bell Canada Pole Rentals</v>
          </cell>
          <cell r="AL3" t="str">
            <v xml:space="preserve">Attawapiskat Power Corp. </v>
          </cell>
        </row>
        <row r="4">
          <cell r="A4" t="str">
            <v>EMBEDDED DISTRIBUTOR</v>
          </cell>
          <cell r="I4" t="str">
            <v>Distribution Wheeling Service Rate</v>
          </cell>
          <cell r="L4" t="str">
            <v>Total Loss Factor – Primary Metered Customer &gt; 5,000 kW</v>
          </cell>
          <cell r="N4" t="str">
            <v>$/kW</v>
          </cell>
          <cell r="O4" t="str">
            <v>$/kVA</v>
          </cell>
          <cell r="Z4" t="str">
            <v>Account set up charge/change of occupancy charge (plus credit agency costs if applicable)</v>
          </cell>
          <cell r="AA4" t="str">
            <v>Clearance Pole Attachment charge $/pole/year</v>
          </cell>
          <cell r="AL4" t="str">
            <v>Bluewater Power Distribution Corporation</v>
          </cell>
        </row>
        <row r="5">
          <cell r="A5" t="str">
            <v>FARMS - SINGLE PHASE ENERGY-BILLED [F1]</v>
          </cell>
          <cell r="I5" t="str">
            <v>Electricity Rate</v>
          </cell>
          <cell r="L5" t="str">
            <v>Total Loss Factor – Secondary Metered Customer</v>
          </cell>
          <cell r="N5" t="str">
            <v>$/kVA</v>
          </cell>
          <cell r="Z5" t="str">
            <v>Arrears certificate</v>
          </cell>
          <cell r="AA5" t="str">
            <v>Collection of account charge – no disconnection</v>
          </cell>
          <cell r="AL5" t="str">
            <v>Brant County Power Inc.</v>
          </cell>
        </row>
        <row r="6">
          <cell r="A6" t="str">
            <v>FARMS - THREE PHASE ENERGY-BILLED [F3]</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cell r="AL6" t="str">
            <v>Brantford Power Inc.</v>
          </cell>
        </row>
        <row r="7">
          <cell r="A7" t="str">
            <v>GENERAL SERVICE - COMMERCIAL</v>
          </cell>
          <cell r="I7" t="str">
            <v>Electricity Rate - First 250 kWh</v>
          </cell>
          <cell r="L7">
            <v>0</v>
          </cell>
          <cell r="Z7">
            <v>0</v>
          </cell>
          <cell r="AA7">
            <v>0</v>
          </cell>
          <cell r="AL7" t="str">
            <v>Burlington Hydro Inc.</v>
          </cell>
        </row>
        <row r="8">
          <cell r="A8" t="str">
            <v>GENERAL SERVICE - INSTITUTIONAL</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cell r="AL8" t="str">
            <v>Cambridge and North Dumfries Hydro Inc.</v>
          </cell>
        </row>
        <row r="9">
          <cell r="A9" t="str">
            <v>GENERAL SERVICE 1,000 TO 2,999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cell r="AL9" t="str">
            <v>Canadian Niagara Power Inc.</v>
          </cell>
        </row>
        <row r="10">
          <cell r="A10" t="str">
            <v>GENERAL SERVICE 1,000 TO 4,999 KW</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cell r="AL10" t="str">
            <v>Centre Wellington Hydro Ltd.</v>
          </cell>
        </row>
        <row r="11">
          <cell r="A11" t="str">
            <v>GENERAL SERVICE 1,000 TO 4,999 KW - INTERVAL METERS</v>
          </cell>
          <cell r="I11" t="str">
            <v>Electricity Rate First 6,000 kWh</v>
          </cell>
          <cell r="L11" t="str">
            <v>Distribution Loss Factor - Primary Metered Customer &lt; 5,000 kW</v>
          </cell>
          <cell r="Z11" t="str">
            <v>Credit check (plus credit agency costs)</v>
          </cell>
          <cell r="AA11" t="str">
            <v>Credit Card Convenience Charge</v>
          </cell>
          <cell r="AL11" t="str">
            <v>Chapleau Public Utilities Corporation</v>
          </cell>
        </row>
        <row r="12">
          <cell r="A12" t="str">
            <v>GENERAL SERVICE 1,000 TO 4,999 KW (CO-GENERATION)</v>
          </cell>
          <cell r="I12" t="str">
            <v>Electricity Rate Next 1,500 kWh</v>
          </cell>
          <cell r="L12" t="str">
            <v>Distribution Loss Factor - Primary Metered Customer &gt; 5,000 kW</v>
          </cell>
          <cell r="Z12" t="str">
            <v>Credit reference Letter</v>
          </cell>
          <cell r="AA12" t="str">
            <v>Disconnect/Reconnect at meter – after regular hours</v>
          </cell>
          <cell r="AL12" t="str">
            <v>Clinton Power Corporation</v>
          </cell>
        </row>
        <row r="13">
          <cell r="A13" t="str">
            <v>GENERAL SERVICE 1,500 TO 4,999 KW</v>
          </cell>
          <cell r="I13" t="str">
            <v>General Service 1,500 to 4,999 kW customer</v>
          </cell>
          <cell r="L13">
            <v>0</v>
          </cell>
          <cell r="Z13">
            <v>0</v>
          </cell>
          <cell r="AA13">
            <v>0</v>
          </cell>
          <cell r="AL13" t="str">
            <v>COLLUS Power Corporation</v>
          </cell>
        </row>
        <row r="14">
          <cell r="A14" t="str">
            <v>GENERAL SERVICE 2,500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cell r="AL14" t="str">
            <v>Cooperative Hydro Embrun Inc.</v>
          </cell>
        </row>
        <row r="15">
          <cell r="A15" t="str">
            <v>GENERAL SERVICE 3,000 TO 4,999 KW</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cell r="AL15" t="str">
            <v>E.L.K. Energy Inc.</v>
          </cell>
        </row>
        <row r="16">
          <cell r="A16" t="str">
            <v>GENERAL SERVICE 3,000 TO 4,999 KW - INTERMEDIATE USE</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cell r="AL16" t="str">
            <v>Enersource Hydro Mississauga Inc.</v>
          </cell>
        </row>
        <row r="17">
          <cell r="A17" t="str">
            <v>GENERAL SERVICE 3,000 TO 4,999 KW - INTERVAL METERED</v>
          </cell>
          <cell r="I17" t="str">
            <v>Green Energy Act Plan Funding Adder</v>
          </cell>
          <cell r="Z17" t="str">
            <v>Dispute Test – Commercial TT -- MC</v>
          </cell>
          <cell r="AA17" t="str">
            <v>Disconnect/Reconnect Charge – At Meter – After Hours</v>
          </cell>
          <cell r="AL17" t="str">
            <v>Entegrus Powerlines Inc.</v>
          </cell>
        </row>
        <row r="18">
          <cell r="A18" t="str">
            <v>GENERAL SERVICE 3,000 TO 4,999 KW - TIME OF USE</v>
          </cell>
          <cell r="I18" t="str">
            <v>Green Energy Act Plan Funding Adder - effective April 1, 2013 until March 31, 2014</v>
          </cell>
          <cell r="Z18" t="str">
            <v>Dispute Test – Residential</v>
          </cell>
          <cell r="AA18" t="str">
            <v>Disconnect/Reconnect Charge – At Meter – During Regular Hours</v>
          </cell>
          <cell r="AL18" t="str">
            <v>ENWIN Utilities Ltd.</v>
          </cell>
        </row>
        <row r="19">
          <cell r="A19" t="str">
            <v>GENERAL SERVICE 50 TO 1,000 KW</v>
          </cell>
          <cell r="I19" t="str">
            <v>Green Energy Act Plan Funding Adder - effective April 1, 2014 until March 31, 2015</v>
          </cell>
          <cell r="Z19" t="str">
            <v>Duplicate Invoices for previous billing</v>
          </cell>
          <cell r="AA19" t="str">
            <v>Disconnect/Reconnect Charge – At Pole – After Hours</v>
          </cell>
          <cell r="AL19" t="str">
            <v>Erie Thames Powerlines Corporation</v>
          </cell>
        </row>
        <row r="20">
          <cell r="A20" t="str">
            <v>GENERAL SERVICE 50 TO 1,000 KW - INTERVAL METERS</v>
          </cell>
          <cell r="I20" t="str">
            <v>ICM Rate Rider (2014) - in effect until the effective date of the next cost of service rates</v>
          </cell>
          <cell r="Z20" t="str">
            <v>Easement Letter</v>
          </cell>
          <cell r="AA20" t="str">
            <v>Disconnect/Reconnect Charge – At Pole – During Regular Hours</v>
          </cell>
          <cell r="AL20" t="str">
            <v>Espanola Regional Hydro Distribution Corporation</v>
          </cell>
        </row>
        <row r="21">
          <cell r="A21" t="str">
            <v>GENERAL SERVICE 50 TO 1,000 KW - NON INTERVAL METERS</v>
          </cell>
          <cell r="I21" t="str">
            <v>Low Voltage Service Charge</v>
          </cell>
          <cell r="Z21" t="str">
            <v>Income Tax Letter</v>
          </cell>
          <cell r="AA21" t="str">
            <v>Disconnect/Reconnect Charges for non payment of account - At Meter After Hours</v>
          </cell>
          <cell r="AL21" t="str">
            <v>Essex Powerlines Corporation</v>
          </cell>
        </row>
        <row r="22">
          <cell r="A22" t="str">
            <v>GENERAL SERVICE 50 TO 1,499 KW</v>
          </cell>
          <cell r="I22" t="str">
            <v>Low Voltage Service Rate</v>
          </cell>
          <cell r="Z22" t="str">
            <v>Interval Meter Interrogation</v>
          </cell>
          <cell r="AA22" t="str">
            <v>Disconnect/Reconnect charges for non payment of account – at meter after regular hours</v>
          </cell>
          <cell r="AL22" t="str">
            <v>Festival Hydro Inc.</v>
          </cell>
        </row>
        <row r="23">
          <cell r="A23" t="str">
            <v>GENERAL SERVICE 50 TO 1,499 KW - INTERVAL METERED</v>
          </cell>
          <cell r="I23" t="str">
            <v>Low Voltage Volumetric Rate</v>
          </cell>
          <cell r="Z23" t="str">
            <v>Interval meter request change</v>
          </cell>
          <cell r="AA23" t="str">
            <v>Disconnect/Reconnect Charges for non payment of account - At Meter During Regular Hours</v>
          </cell>
          <cell r="AL23" t="str">
            <v>Fort Albany Power Corporation</v>
          </cell>
        </row>
        <row r="24">
          <cell r="A24" t="str">
            <v>GENERAL SERVICE 50 TO 2,499 KW</v>
          </cell>
          <cell r="I24" t="str">
            <v>LRAM Rate Rider - Effective Until April 30, 2015</v>
          </cell>
          <cell r="Z24" t="str">
            <v>Legal letter</v>
          </cell>
          <cell r="AA24" t="str">
            <v>Disconnect/Reconnect charges for non payment of account – at meter during regular hours</v>
          </cell>
          <cell r="AL24" t="str">
            <v>Fort Frances Power Corporation</v>
          </cell>
        </row>
        <row r="25">
          <cell r="A25" t="str">
            <v>GENERAL SERVICE 50 TO 2,999 KW</v>
          </cell>
          <cell r="I25" t="str">
            <v>Minimum Distribution Charge - per KW of maximum billing demand in the previous 11 months</v>
          </cell>
          <cell r="Z25" t="str">
            <v>Legal letter charge</v>
          </cell>
          <cell r="AA25" t="str">
            <v>Disconnect/Reconnect charges for non payment of account – at pole after regular hours</v>
          </cell>
          <cell r="AL25" t="str">
            <v>Greater Sudbury Hydro Inc.</v>
          </cell>
        </row>
        <row r="26">
          <cell r="A26" t="str">
            <v>GENERAL SERVICE 50 TO 2,999 KW - INTERVAL METERED</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cell r="AL26" t="str">
            <v>Grimsby Power Inc.</v>
          </cell>
        </row>
        <row r="27">
          <cell r="A27" t="str">
            <v>GENERAL SERVICE 50 TO 2,999 KW - TIME OF USE</v>
          </cell>
          <cell r="I27" t="str">
            <v>Monthly Distribution Wheeling Service Rate - Hydro One Networks</v>
          </cell>
          <cell r="Z27" t="str">
            <v>Notification charge</v>
          </cell>
          <cell r="AA27" t="str">
            <v>Disconnect/Reconnection for &gt;300 volts - after regular hours</v>
          </cell>
          <cell r="AL27" t="str">
            <v>Guelph Hydro Electric Systems Inc.</v>
          </cell>
        </row>
        <row r="28">
          <cell r="A28" t="str">
            <v>GENERAL SERVICE 50 TO 4,999 KW</v>
          </cell>
          <cell r="I28" t="str">
            <v>Monthly Distribution Wheeling Service Rate - Shared LV Line</v>
          </cell>
          <cell r="Z28" t="str">
            <v>Pulling Post Dated Cheques</v>
          </cell>
          <cell r="AA28" t="str">
            <v>Disconnect/Reconnection for &gt;300 volts - during regular hours</v>
          </cell>
          <cell r="AL28" t="str">
            <v>Haldimand County Hydro Inc.</v>
          </cell>
        </row>
        <row r="29">
          <cell r="A29" t="str">
            <v>GENERAL SERVICE 50 TO 4,999 KW - INTERVAL METERED</v>
          </cell>
          <cell r="I29" t="str">
            <v>Monthly Distribution Wheeling Service Rate - Waterloo North Hydro</v>
          </cell>
          <cell r="Z29" t="str">
            <v>Request for other billing information</v>
          </cell>
          <cell r="AA29" t="str">
            <v>Disposal of Concrete Poles</v>
          </cell>
          <cell r="AL29" t="str">
            <v>Halton Hills Hydro Inc.</v>
          </cell>
        </row>
        <row r="30">
          <cell r="A30" t="str">
            <v>GENERAL SERVICE 50 TO 4,999 KW - TIME OF USE</v>
          </cell>
          <cell r="I30" t="str">
            <v>Rate Rider for Application of Tax Change - effective until April 30, 2015</v>
          </cell>
          <cell r="Z30" t="str">
            <v>Returned cheque (plus bank charges)</v>
          </cell>
          <cell r="AA30" t="str">
            <v>Dispute Test – Commercial TT -- MC</v>
          </cell>
          <cell r="AL30" t="str">
            <v>Hearst Power Distribution Company Limited</v>
          </cell>
        </row>
        <row r="31">
          <cell r="A31" t="str">
            <v>GENERAL SERVICE 50 TO 4,999 KW (COGENERATION)</v>
          </cell>
          <cell r="I31" t="str">
            <v>Rate Rider for Application of Tax Change - effective until December 31, 2014</v>
          </cell>
          <cell r="Z31" t="str">
            <v>Returned cheque charge (plus bank charges)</v>
          </cell>
          <cell r="AA31" t="str">
            <v>Install/Remove load control device – after regular hours</v>
          </cell>
          <cell r="AL31" t="str">
            <v>Horizon Utilities Corporation</v>
          </cell>
        </row>
        <row r="32">
          <cell r="A32" t="str">
            <v>GENERAL SERVICE 50 TO 4,999 KW (FORMERLY TIME OF USE)</v>
          </cell>
          <cell r="I32" t="str">
            <v>Rate Rider for Application of Tax Change (2014) - effective until April 30, 2015</v>
          </cell>
          <cell r="Z32" t="str">
            <v>Special Billing Service (aggregation)</v>
          </cell>
          <cell r="AA32" t="str">
            <v>Install/Remove load control device – during regular hours</v>
          </cell>
          <cell r="AL32" t="str">
            <v>Hydro 2000 Inc.</v>
          </cell>
        </row>
        <row r="33">
          <cell r="A33" t="str">
            <v>GENERAL SERVICE 50 TO 499 KW</v>
          </cell>
          <cell r="I33" t="str">
            <v>Rate Rider for Application of Tax Change (per connection) - effective until April 30, 2015</v>
          </cell>
          <cell r="Z33" t="str">
            <v>Special Billing Service (sub-metering charge per meter)</v>
          </cell>
          <cell r="AA33" t="str">
            <v>Interval Meter Interrogation</v>
          </cell>
          <cell r="AL33" t="str">
            <v>Hydro Hawkesbury Inc.</v>
          </cell>
        </row>
        <row r="34">
          <cell r="A34" t="str">
            <v>GENERAL SERVICE 50 TO 699 KW</v>
          </cell>
          <cell r="I34" t="str">
            <v>Rate Rider for CGAAP Accounting Changes (2013) - effective until April 30, 2017</v>
          </cell>
          <cell r="Z34" t="str">
            <v>Special meter reads</v>
          </cell>
          <cell r="AA34" t="str">
            <v>Interval Meter Load Management Tool Charge $/month</v>
          </cell>
          <cell r="AL34" t="str">
            <v>Hydro One Brampton Networks Inc.</v>
          </cell>
        </row>
        <row r="35">
          <cell r="A35" t="str">
            <v>GENERAL SERVICE 50 TO 999 KW</v>
          </cell>
          <cell r="I35" t="str">
            <v>Rate Rider for Deferral/Variance Account (2012) - effective unitl April 30, 2016</v>
          </cell>
          <cell r="Z35" t="str">
            <v>Statement of Account</v>
          </cell>
          <cell r="AA35" t="str">
            <v>Interval meter request change</v>
          </cell>
          <cell r="AL35" t="str">
            <v>Hydro One Networks Inc.</v>
          </cell>
        </row>
        <row r="36">
          <cell r="A36" t="str">
            <v>GENERAL SERVICE 50 TO 999 KW - INTERVAL METERED</v>
          </cell>
          <cell r="I36" t="str">
            <v>Rate Rider for Deferral/Variance Account Disposition – effective until April 30, 2015</v>
          </cell>
          <cell r="Z36" t="str">
            <v>Unprocessed Payment Charge (plus bank charges)</v>
          </cell>
          <cell r="AA36" t="str">
            <v>Late Payment – per annum</v>
          </cell>
          <cell r="AL36" t="str">
            <v>Hydro Ottawa Limited</v>
          </cell>
        </row>
        <row r="37">
          <cell r="A37" t="str">
            <v>GENERAL SERVICE 500 TO 4,999 KW</v>
          </cell>
          <cell r="I37" t="str">
            <v>Rate Rider for Deferral/Variance Account Disposition (2012) - effective until April 30, 2016</v>
          </cell>
          <cell r="AA37" t="str">
            <v>Late Payment – per month</v>
          </cell>
          <cell r="AL37" t="str">
            <v>Innisfil Hydro Distribution Systems Limited</v>
          </cell>
        </row>
        <row r="38">
          <cell r="A38" t="str">
            <v>GENERAL SERVICE 700 TO 4,999 KW</v>
          </cell>
          <cell r="I38" t="str">
            <v>Rate Rider for Deferral/Variance Account Disposition (2013) - effective until April 30, 2014</v>
          </cell>
          <cell r="AA38" t="str">
            <v>Layout fees</v>
          </cell>
          <cell r="AL38" t="str">
            <v>Kashechewan Power Corporation</v>
          </cell>
        </row>
        <row r="39">
          <cell r="A39" t="str">
            <v>GENERAL SERVICE DEMAND BILLED (50 KW AND ABOVE) [GSD]</v>
          </cell>
          <cell r="I39" t="str">
            <v>Rate Rider for Deferral/Variance Account Disposition (2014) - effective until April 28, 2016</v>
          </cell>
          <cell r="AA39" t="str">
            <v>Meter dispute charge plus Measurement Canada fees (if meter found correct)</v>
          </cell>
          <cell r="AL39" t="str">
            <v>Kenora Hydro Electric Corporation Ltd.</v>
          </cell>
        </row>
        <row r="40">
          <cell r="A40" t="str">
            <v>GENERAL SERVICE ENERGY BILLED (LESS THAN 50 KW) [GSE-METERED]</v>
          </cell>
          <cell r="I40" t="str">
            <v>Rate Rider for Deferral/Variance Account Disposition (2014) - effective until April 30, 2015</v>
          </cell>
          <cell r="AA40" t="str">
            <v>Meter Interrogation Charge</v>
          </cell>
          <cell r="AL40" t="str">
            <v>Kingston Hydro Corporation</v>
          </cell>
        </row>
        <row r="41">
          <cell r="A41" t="str">
            <v>GENERAL SERVICE ENERGY BILLED (LESS THAN TO 50 KW) [GSE-UNMETERED]</v>
          </cell>
          <cell r="I41" t="str">
            <v>Rate Rider for Deferral/Variance Account Disposition (2014) - effective until Decembeer 31, 2015</v>
          </cell>
          <cell r="AA41" t="str">
            <v>Missed Service Appointment</v>
          </cell>
          <cell r="AL41" t="str">
            <v>Kitchener-Wilmot Hydro Inc.</v>
          </cell>
        </row>
        <row r="42">
          <cell r="A42" t="str">
            <v>GENERAL SERVICE EQUAL TO OR GREATER THAN 1,500 KW</v>
          </cell>
          <cell r="I42" t="str">
            <v>Rate Rider for Deferral/Variance Account Disposition (2014) - effective until December 30, 2015</v>
          </cell>
          <cell r="AA42" t="str">
            <v>Norfolk Pole Rentals – Billed</v>
          </cell>
          <cell r="AL42" t="str">
            <v>Lakefront Utilities Inc.</v>
          </cell>
        </row>
        <row r="43">
          <cell r="A43" t="str">
            <v>GENERAL SERVICE EQUAL TO OR GREATER THAN 1,500 KW - INTERVAL METERED</v>
          </cell>
          <cell r="I43" t="str">
            <v>Rate Rider for Deferral/Variance Account Disposition (2014) - effective until December 31, 2014</v>
          </cell>
          <cell r="AA43" t="str">
            <v>Optional Interval/TOU Meter charge $/month</v>
          </cell>
          <cell r="AL43" t="str">
            <v>Lakeland Power Distribution Ltd.</v>
          </cell>
        </row>
        <row r="44">
          <cell r="A44" t="str">
            <v>GENERAL SERVICE GREATER THAN 1,000 KW</v>
          </cell>
          <cell r="I44" t="str">
            <v>Rate Rider for Deferral/Variance Account Disposition (2014) - effective until December 31, 2015</v>
          </cell>
          <cell r="AA44" t="str">
            <v>Overtime Locate</v>
          </cell>
          <cell r="AL44" t="str">
            <v>London Hydro Inc.</v>
          </cell>
        </row>
        <row r="45">
          <cell r="A45" t="str">
            <v>GENERAL SERVICE GREATER THAN 50 kW - WMP</v>
          </cell>
          <cell r="I45" t="str">
            <v>Rate Rider for Deferral/Variance Account Dispositon (2012) - effective until April 30, 2016</v>
          </cell>
          <cell r="AA45" t="str">
            <v>Owner Requested Disconnection/Reconnection – after regular hours</v>
          </cell>
          <cell r="AL45" t="str">
            <v>Midland Power Utility Corporation</v>
          </cell>
        </row>
        <row r="46">
          <cell r="A46" t="str">
            <v>GENERAL SERVICE INTERMEDIATE 1,000 TO 4,999 KW</v>
          </cell>
          <cell r="I46" t="str">
            <v>Rate Rider for Disposition of Accounting Changes Under CGAAP Account 1576 - effective until April 30, 2016</v>
          </cell>
          <cell r="AA46" t="str">
            <v>Owner Requested Disconnection/Reconnection – during regular hours</v>
          </cell>
          <cell r="AL46" t="str">
            <v>Milton Hydro Distribution inc.</v>
          </cell>
        </row>
        <row r="47">
          <cell r="A47" t="str">
            <v>GENERAL SERVICE INTERMEDIATE RATE CLASS 1,000 TO 4,999 KW (FORMERLY GENERAL SERVICE &gt; 50 KW CUSTOMERS)</v>
          </cell>
          <cell r="I47" t="str">
            <v>Rate Rider for Disposition of Deferral/Variance Accounts (2010) - effective until December 31, 2014</v>
          </cell>
          <cell r="AA47" t="str">
            <v>Returned cheque (plus bank charges)</v>
          </cell>
          <cell r="AL47" t="str">
            <v>Newmarket - Tay Power Distribution Ltd.</v>
          </cell>
        </row>
        <row r="48">
          <cell r="A48" t="str">
            <v>GENERAL SERVICE INTERMEDIATE RATE CLASS 1,000 TO 4,999 KW (FORMERLY LARGE USE CUSTOMERS)</v>
          </cell>
          <cell r="I48" t="str">
            <v>Rate Rider for Disposition of Deferral/Variance Accounts (2011) - effective until April 30, 2015</v>
          </cell>
          <cell r="AA48" t="str">
            <v>Rural system expansion / line connection fee</v>
          </cell>
          <cell r="AL48" t="str">
            <v>Niagara Peninsula Energy Inc.</v>
          </cell>
        </row>
        <row r="49">
          <cell r="A49" t="str">
            <v>GENERAL SERVICE LESS THAN 50 KW</v>
          </cell>
          <cell r="I49" t="str">
            <v>Rate Rider for Disposition of Deferral/Variance Accounts (2011) - effective until April 30, 2016</v>
          </cell>
          <cell r="AA49" t="str">
            <v>Same Day Open Trench</v>
          </cell>
          <cell r="AL49" t="str">
            <v>Niagara-on-the-Lake Hydro Inc.</v>
          </cell>
        </row>
        <row r="50">
          <cell r="A50" t="str">
            <v>GENERAL SERVICE LESS THAN 50 KW - SINGLE PHASE ENERGY-BILLED [G1]</v>
          </cell>
          <cell r="I50" t="str">
            <v>Rate Rider for Disposition of Deferral/Variance Accounts (2012) - effective until April 30, 2014</v>
          </cell>
          <cell r="AA50" t="str">
            <v>Scheduled Day Open Trench</v>
          </cell>
          <cell r="AL50" t="str">
            <v>Norfolk Power Distribution Inc.</v>
          </cell>
        </row>
        <row r="51">
          <cell r="A51" t="str">
            <v>GENERAL SERVICE LESS THAN 50 KW - THREE PHASE ENERGY-BILLED [G3]</v>
          </cell>
          <cell r="I51" t="str">
            <v>Rate Rider for Disposition of Deferral/Variance Accounts (2012) - effective until April 30, 2015</v>
          </cell>
          <cell r="AA51" t="str">
            <v>Service call – after regular hours</v>
          </cell>
          <cell r="AL51" t="str">
            <v>North Bay Hydro Distribution Limited</v>
          </cell>
        </row>
        <row r="52">
          <cell r="A52" t="str">
            <v>GENERAL SERVICE LESS THAN 50 KW - TRANSMISSION CLASS ENERGY-BILLED [T]</v>
          </cell>
          <cell r="I52" t="str">
            <v>Rate Rider for Disposition of Deferral/Variance Accounts (2012) - effective until April 30, 2016</v>
          </cell>
          <cell r="AA52" t="str">
            <v>Service call – customer owned equipment</v>
          </cell>
          <cell r="AL52" t="str">
            <v>Northern Ontario Wires Inc.</v>
          </cell>
        </row>
        <row r="53">
          <cell r="A53" t="str">
            <v>GENERAL SERVICE LESS THAN 50 KW - URBAN ENERGY-BILLED [UG]</v>
          </cell>
          <cell r="I53" t="str">
            <v>Rate Rider for Disposition of Deferral/Variance Accounts (2012) - effective until August 31, 2014</v>
          </cell>
          <cell r="AA53" t="str">
            <v>Service Call – Customer-owned Equipment – After Regular Hours</v>
          </cell>
          <cell r="AL53" t="str">
            <v>Oakville Hydro Electricity Distribution Inc.</v>
          </cell>
        </row>
        <row r="54">
          <cell r="A54" t="str">
            <v>GENERAL SERVICE SINGLE PHASE - G1</v>
          </cell>
          <cell r="I54" t="str">
            <v>Rate Rider for Disposition of Deferral/Variance Accounts (2012) - effective until December 31, 2015</v>
          </cell>
          <cell r="AA54" t="str">
            <v>Service Call – Customer-owned Equipment – During Regular Hours</v>
          </cell>
          <cell r="AL54" t="str">
            <v>Orangeville Hydro Limited</v>
          </cell>
        </row>
        <row r="55">
          <cell r="A55" t="str">
            <v>GENERAL SERVICE THREE PHASE - G3</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cell r="AL55" t="str">
            <v>Orillia Power Distribution Corporation</v>
          </cell>
        </row>
        <row r="56">
          <cell r="A56" t="str">
            <v>INTERMEDIATE USERS</v>
          </cell>
          <cell r="I56" t="str">
            <v>Rate Rider for Disposition of Deferral/Variance Accounts (2012) – effective until December 31, 2016 Applicable only in the former service area of Clinton Power</v>
          </cell>
          <cell r="AA56" t="str">
            <v>Service Layout - Commercial</v>
          </cell>
          <cell r="AL56" t="str">
            <v>Oshawa PUC Networks Inc.</v>
          </cell>
        </row>
        <row r="57">
          <cell r="A57" t="str">
            <v>INTERMEDIATE WITH SELF GENERATION</v>
          </cell>
          <cell r="I57" t="str">
            <v>Rate Rider for Disposition of Deferral/Variance Accounts (2012) - effective until January 31, 2014</v>
          </cell>
          <cell r="AA57" t="str">
            <v>Service Layout - ResidentiaI</v>
          </cell>
          <cell r="AL57" t="str">
            <v>Ottawa River Power Corporation</v>
          </cell>
        </row>
        <row r="58">
          <cell r="A58" t="str">
            <v>LARGE USE</v>
          </cell>
          <cell r="I58" t="str">
            <v>Rate Rider for Disposition of Deferral/Variance Accounts (2012) - effective until June 30, 2014</v>
          </cell>
          <cell r="AA58" t="str">
            <v>Special Billing Service (sub-metering charge per meter)</v>
          </cell>
          <cell r="AL58" t="str">
            <v>Parry Sound Power Corporation</v>
          </cell>
        </row>
        <row r="59">
          <cell r="A59" t="str">
            <v>LARGE USE - 3TS</v>
          </cell>
          <cell r="I59" t="str">
            <v>Rate Rider for Disposition of Deferral/Variance Accounts (2013) - Applicable only to Wholesale Market Participants - effective until April 30, 2015</v>
          </cell>
          <cell r="AA59" t="str">
            <v>Special meter reads</v>
          </cell>
          <cell r="AL59" t="str">
            <v>Peterborough Distribution Incorporated</v>
          </cell>
        </row>
        <row r="60">
          <cell r="A60" t="str">
            <v>LARGE USE - FORD ANNEX</v>
          </cell>
          <cell r="I60" t="str">
            <v>Rate Rider for Disposition of Deferral/Variance Accounts (2013) - effective until April 30, 2014</v>
          </cell>
          <cell r="AA60" t="str">
            <v>Specific Charge for Access to the Power Poles - $/pole/year</v>
          </cell>
          <cell r="AL60" t="str">
            <v>PowerStream Inc.</v>
          </cell>
        </row>
        <row r="61">
          <cell r="A61" t="str">
            <v>LARGE USE - REGULAR</v>
          </cell>
          <cell r="I61" t="str">
            <v>Rate Rider for Disposition of Deferral/Variance Accounts (2013) - effective until April 30, 2015</v>
          </cell>
          <cell r="AA61" t="str">
            <v>Specific Charge for Bell Canada Access to the Power Poles – per pole/year</v>
          </cell>
          <cell r="AL61" t="str">
            <v>PUC Distribution Inc.</v>
          </cell>
        </row>
        <row r="62">
          <cell r="A62" t="str">
            <v>LARGE USE &gt; 5000 KW</v>
          </cell>
          <cell r="I62" t="str">
            <v>Rate Rider for Disposition of Deferral/Variance Accounts (2013) - effective until April 30, 2015, not applicable to Wholesale Market Participants</v>
          </cell>
          <cell r="AA62" t="str">
            <v>Switching for company maintenance – Charge based on Time and Materials</v>
          </cell>
          <cell r="AL62" t="str">
            <v>Renfrew Hydro Inc.</v>
          </cell>
        </row>
        <row r="63">
          <cell r="A63" t="str">
            <v>microFIT</v>
          </cell>
          <cell r="I63" t="str">
            <v>Rate Rider for Disposition of Deferral/Variance Accounts (2013) - effective until April 30, 2017</v>
          </cell>
          <cell r="AA63" t="str">
            <v>Temporary Service – Install &amp; remove – overhead – no transformer</v>
          </cell>
          <cell r="AL63" t="str">
            <v>Rideau St. Lawrence Distribution Inc.</v>
          </cell>
        </row>
        <row r="64">
          <cell r="A64" t="str">
            <v>RESIDENTIAL</v>
          </cell>
          <cell r="I64" t="str">
            <v>Rate Rider for Disposition of Deferral/Variance Accounts (2013) - effective until August 31, 2014</v>
          </cell>
          <cell r="AA64" t="str">
            <v>Temporary Service – Install &amp; remove – overhead – with transformer</v>
          </cell>
          <cell r="AL64" t="str">
            <v>Sioux Lookout Hydro Inc.</v>
          </cell>
        </row>
        <row r="65">
          <cell r="A65" t="str">
            <v>RESIDENTIAL - HENSALL</v>
          </cell>
          <cell r="I65" t="str">
            <v>Rate Rider for Disposition of Deferral/Variance Accounts (2013) - effective until December 31, 2014</v>
          </cell>
          <cell r="AA65" t="str">
            <v>Temporary Service – Install &amp; remove – underground – no transformer</v>
          </cell>
          <cell r="AL65" t="str">
            <v>St. Thomas Energy Inc.</v>
          </cell>
        </row>
        <row r="66">
          <cell r="A66" t="str">
            <v>RESIDENTIAL - HIGH DENSITY [R1]</v>
          </cell>
          <cell r="I66" t="str">
            <v>Rate Rider for Disposition of Deferral/Variance Accounts (2013) - effective until May 31, 2014</v>
          </cell>
          <cell r="AA66" t="str">
            <v>Temporary service install &amp; remove – overhead – no transformer</v>
          </cell>
          <cell r="AL66" t="str">
            <v>Thunder Bay Hydro Electricity Distribution Inc.</v>
          </cell>
        </row>
        <row r="67">
          <cell r="A67" t="str">
            <v>RESIDENTIAL - LOW DENSITY [R2]</v>
          </cell>
          <cell r="I67" t="str">
            <v>Rate Rider for Disposition of Deferred PILs Variance Account 1562 - effective until March 31, 2016</v>
          </cell>
          <cell r="AA67" t="str">
            <v>Temporary Service Install &amp; Remove – Overhead – With Transformer</v>
          </cell>
          <cell r="AL67" t="str">
            <v>Tillsonburg Hydro Inc.</v>
          </cell>
        </row>
        <row r="68">
          <cell r="A68" t="str">
            <v>RESIDENTIAL - MEDIUM DENSITY [R1]</v>
          </cell>
          <cell r="I68" t="str">
            <v>Rate Rider for Disposition of Deferred PILs Variance Account 1562 (2012) - effective until April 30, 2015</v>
          </cell>
          <cell r="AA68" t="str">
            <v>Temporary Service Install &amp; Remove – Underground – No Transformer</v>
          </cell>
          <cell r="AL68" t="str">
            <v>Toronto Hydro-Electric System Limited</v>
          </cell>
        </row>
        <row r="69">
          <cell r="A69" t="str">
            <v>RESIDENTIAL - NORMAL DENSITY [R2]</v>
          </cell>
          <cell r="I69" t="str">
            <v>Rate Rider for Disposition of Deferred PILs Variance Account 1562 (2012) - effective until April 30, 2016</v>
          </cell>
          <cell r="AA69" t="str">
            <v>Temporary service installation and removal – overhead – no transformer</v>
          </cell>
          <cell r="AL69" t="str">
            <v>Veridian Connections Inc.</v>
          </cell>
        </row>
        <row r="70">
          <cell r="A70" t="str">
            <v>RESIDENTIAL - TIME OF USE</v>
          </cell>
          <cell r="I70" t="str">
            <v>Rate Rider for Disposition of Deferred PILs Variance Account 1562 (2nd Installment - 2012) - effective until April 30, 2016</v>
          </cell>
          <cell r="AA70" t="str">
            <v>Temporary service installation and removal – overhead – with transformer</v>
          </cell>
          <cell r="AL70" t="str">
            <v>Wasaga Distribution Inc.</v>
          </cell>
        </row>
        <row r="71">
          <cell r="A71" t="str">
            <v>RESIDENTIAL - URBAN [UR]</v>
          </cell>
          <cell r="I71" t="str">
            <v>Rate Rider for Disposition of Deferred PILs Variance Account 1562 (per connection) (2012) - effective until April 30, 2015</v>
          </cell>
          <cell r="AA71" t="str">
            <v>Temporary service installation and removal – underground – no transformer</v>
          </cell>
          <cell r="AL71" t="str">
            <v>Waterloo North Hydro Inc.</v>
          </cell>
        </row>
        <row r="72">
          <cell r="A72" t="str">
            <v>RESIDENTIAL REGULAR</v>
          </cell>
          <cell r="I72" t="str">
            <v>Rate Rider for Disposition of Deferred PILs Variance Account 1562 (per connection) (2012) - effective until April 30, 2016</v>
          </cell>
          <cell r="AL72" t="str">
            <v>Welland Hydro-Electric System Corp.</v>
          </cell>
        </row>
        <row r="73">
          <cell r="A73" t="str">
            <v>RESIDENTIAL SUBURBAN</v>
          </cell>
          <cell r="I73" t="str">
            <v>Rate Rider for Disposition of Global Adjustment Sub-Account (2011) - effective until April 30, 2015 Applicable only for Non-RPP Customers</v>
          </cell>
          <cell r="AL73" t="str">
            <v>Wellington North Power Inc.</v>
          </cell>
        </row>
        <row r="74">
          <cell r="A74" t="str">
            <v>RESIDENTIAL SUBURBAN SEASONAL</v>
          </cell>
          <cell r="I74" t="str">
            <v>Rate Rider for Disposition of Global Adjustment Sub-Account (2011) - effective until April 30, 2016 Applicable only for Non-RPP Customers</v>
          </cell>
          <cell r="AL74" t="str">
            <v>West Coast Huron Energy Inc.</v>
          </cell>
        </row>
        <row r="75">
          <cell r="A75" t="str">
            <v>RESIDENTIAL SUBURBAN YEAR ROUND</v>
          </cell>
          <cell r="I75" t="str">
            <v>Rate Rider for Disposition of Global Adjustment Sub-Account (2012) - effective until April 30, 2014 Applicable only for Non-RPP Customers</v>
          </cell>
          <cell r="AL75" t="str">
            <v>West Perth Power Inc.</v>
          </cell>
        </row>
        <row r="76">
          <cell r="A76" t="str">
            <v>RESIDENTIAL URBAN</v>
          </cell>
          <cell r="I76" t="str">
            <v>Rate Rider for Disposition of Global Adjustment Sub-Account (2012) - effective until April 30, 2015 Applicable only for Non-RPP Customers</v>
          </cell>
          <cell r="AL76" t="str">
            <v>Westario Power Inc.</v>
          </cell>
        </row>
        <row r="77">
          <cell r="A77" t="str">
            <v>RESIDENTIAL URBAN YEAR-ROUND</v>
          </cell>
          <cell r="I77" t="str">
            <v>Rate Rider for Disposition of Global Adjustment Sub-Account (2012) - effective until April 30, 2015 Applicatble only for Non-RPP Customers</v>
          </cell>
          <cell r="AL77" t="str">
            <v>Whitby Hydro Electric Corporation</v>
          </cell>
        </row>
        <row r="78">
          <cell r="A78" t="str">
            <v>SEASONAL RESIDENTIAL</v>
          </cell>
          <cell r="I78" t="str">
            <v>Rate Rider for Disposition of Global Adjustment Sub-Account (2012) - effective until April 30, 2016 Applicable only for Non-RPP Customers</v>
          </cell>
          <cell r="AL78" t="str">
            <v>Woodstock Hydro Services Inc.</v>
          </cell>
        </row>
        <row r="79">
          <cell r="A79" t="str">
            <v>SEASONAL RESIDENTIAL - HIGH DENSITY [R3]</v>
          </cell>
          <cell r="I79" t="str">
            <v>Rate Rider for Disposition of Global Adjustment Sub-Account (2012) - effective until January 31, 2014. Applicable only for Non-RPP Customers</v>
          </cell>
        </row>
        <row r="80">
          <cell r="A80" t="str">
            <v>SEASONAL RESIDENTIAL - NORMAL DENSITY [R4]</v>
          </cell>
          <cell r="I80" t="str">
            <v>Rate Rider for Disposition of Global Adjustment Sub-Account (2012) - effective until June 30, 2014 Applicable only for Non-RPP Customers</v>
          </cell>
        </row>
        <row r="81">
          <cell r="A81" t="str">
            <v>SENTINEL LIGHTING</v>
          </cell>
          <cell r="I81" t="str">
            <v>Rate Rider for Disposition of Global Adjustment Sub-Account (2012) Applicable only for Non-RPP Customers - effective until August 31, 2014</v>
          </cell>
        </row>
        <row r="82">
          <cell r="A82" t="str">
            <v>SMALL COMMERCIAL AND USL - PER CONNECTION</v>
          </cell>
          <cell r="I82" t="str">
            <v>Rate Rider for Disposition of Global Adjustment Sub-Account (2012) Applicable only to Non-RPP Customers - effective until August 31, 2014</v>
          </cell>
        </row>
        <row r="83">
          <cell r="A83" t="str">
            <v>SMALL COMMERCIAL AND USL - PER METER</v>
          </cell>
          <cell r="I83" t="str">
            <v>Rate Rider for Disposition of Global Adjustment Sub-Account (2013) - effective until April 30, 2014 Applicable only for Non-RPP Customers</v>
          </cell>
        </row>
        <row r="84">
          <cell r="A84" t="str">
            <v>STANDARD A GENERAL SERVICE AIR ACCESS</v>
          </cell>
          <cell r="I84" t="str">
            <v>Rate Rider for Disposition of Global Adjustment Sub-Account (2013) - effective until April 30, 2015 Applicable only for Non-RPP Customers</v>
          </cell>
        </row>
        <row r="85">
          <cell r="A85" t="str">
            <v>STANDARD A GENERAL SERVICE ROAD/RAIL</v>
          </cell>
          <cell r="I85" t="str">
            <v>Rate Rider for Disposition of Global Adjustment Sub-Account (2013) - effective until April 30, 2015 Applicable only for Non-RPP Customers and excluding Wholesale Market Participants</v>
          </cell>
        </row>
        <row r="86">
          <cell r="A86" t="str">
            <v>STANDARD A GRID CONNECTED</v>
          </cell>
          <cell r="I86" t="str">
            <v>Rate Rider for Disposition of Global Adjustment Sub-Account (2013) - effective until April 30, 2017 Applicable only for Non-RPP Customers</v>
          </cell>
        </row>
        <row r="87">
          <cell r="A87" t="str">
            <v>STANDARD A RESIDENTIAL AIR ACCESS</v>
          </cell>
          <cell r="I87" t="str">
            <v>Rate Rider For Disposition of Global Adjustment Sub-Account (2013) - effective until August 31, 2014 Applicable only for Non-RPP Customers</v>
          </cell>
        </row>
        <row r="88">
          <cell r="A88" t="str">
            <v>STANDARD A RESIDENTIAL ROAD/RAIL</v>
          </cell>
          <cell r="I88" t="str">
            <v>Rate Rider for Disposition of Global Adjustment Sub-Account (2013) - effective until December 31, 2014 Applicable only for Non-RPP Customers</v>
          </cell>
        </row>
        <row r="89">
          <cell r="A89" t="str">
            <v>STANDBY - GENERAL SERVICE 1,000 - 5,000 KW</v>
          </cell>
          <cell r="I89" t="str">
            <v>Rate Rider for Disposition of Global Adjustment Sub-Account (2013) - effective until May 31, 2014 Applicable only for Non-RPP Customers</v>
          </cell>
        </row>
        <row r="90">
          <cell r="A90" t="str">
            <v>STANDBY - GENERAL SERVICE 50 - 1,000 KW</v>
          </cell>
          <cell r="I90" t="str">
            <v>Rate Rider for Disposition of Global Adjustment Sub-Account (2014) - effective until December 31, 2014. Applicable only for Non-RPP - Class B Customers</v>
          </cell>
        </row>
        <row r="91">
          <cell r="A91" t="str">
            <v>STANDBY - LARGE USE</v>
          </cell>
          <cell r="I91" t="str">
            <v>Rate Rider for Disposition of Global Adjustment Sub-Account (2014) - effective until December 31, 2014. Applicable only for Non-RPP Customers</v>
          </cell>
        </row>
        <row r="92">
          <cell r="A92" t="str">
            <v>STANDBY DISTRIBUTION SERVICE</v>
          </cell>
          <cell r="I92" t="str">
            <v>Rate Rider for Disposition of Global Adjustment Sub-Account (2014) - effective until December 31, 2014. Applicable only for Non-RPP Customers - Class A Customers</v>
          </cell>
        </row>
        <row r="93">
          <cell r="A93" t="str">
            <v>STANDBY POWER</v>
          </cell>
          <cell r="I93" t="str">
            <v>Rate Rider for Disposition of Global Adjustment Sub-Account (2014) - effective until December 31, 2014. Applicable only for Non-RPP Customers - Interval Metered</v>
          </cell>
        </row>
        <row r="94">
          <cell r="A94" t="str">
            <v>STANDBY POWER - APPROVED ON AN INTERIM BASIS</v>
          </cell>
          <cell r="I94" t="str">
            <v>Rate Rider for Disposition of Global Adjustment Sub-Account (2014) - effective until December 31, 2014. Applicable only for Non-RPP Customers - Non Interval Metered</v>
          </cell>
        </row>
        <row r="95">
          <cell r="A95" t="str">
            <v>STANDBY POWER GENERAL SERVICE 1,500 TO 4,999 KW</v>
          </cell>
          <cell r="I95" t="str">
            <v>Rate Rider for Disposition of Post Retirement Actuarial Gain - effective until March 31, 2025</v>
          </cell>
        </row>
        <row r="96">
          <cell r="A96" t="str">
            <v>STANDBY POWER GENERAL SERVICE 50 TO 1,499 KW</v>
          </cell>
          <cell r="I96" t="str">
            <v>Rate Rider for Disposition of Residual Hisotrical Smart Meter Costs - effective until April 30, 2015</v>
          </cell>
        </row>
        <row r="97">
          <cell r="A97" t="str">
            <v>STANDBY POWER GENERAL SERVICE LARGE USE</v>
          </cell>
          <cell r="I97" t="str">
            <v>Rate Rider for Disposition of Residual Hisotrical Smart Meter Costs - effective until April 30, 2017</v>
          </cell>
        </row>
        <row r="98">
          <cell r="A98" t="str">
            <v>STREET LIGHTING</v>
          </cell>
          <cell r="I98" t="str">
            <v>Rate Rider for Disposition of Residual Historical Smart Meter Costs - effective until April 30, 2014</v>
          </cell>
        </row>
        <row r="99">
          <cell r="A99" t="str">
            <v>SUB TRANSMISSION [ST]</v>
          </cell>
          <cell r="I99" t="str">
            <v>Rate Rider for Disposition of Residual Historical Smart Meter Costs - effective until April 30, 2016</v>
          </cell>
        </row>
        <row r="100">
          <cell r="A100" t="str">
            <v>UNMETERED SCATTERED LOAD</v>
          </cell>
          <cell r="I100" t="str">
            <v>Rate Rider for Disposition of Residual Historical Smart Meter Costs - effective until August 31, 2014</v>
          </cell>
        </row>
        <row r="101">
          <cell r="A101" t="str">
            <v>URBAN GENERAL SERVICE DEMAND BILLED (50 KW AND ABOVE) [UGD]</v>
          </cell>
          <cell r="I101" t="str">
            <v>Rate Rider for Disposition of Residual Historical Smart Meter Costs - effective until August 31, 2015</v>
          </cell>
        </row>
        <row r="102">
          <cell r="A102" t="str">
            <v>URBAN GENERAL SERVICE ENERGY BILLED (LESS THAN 50 KW) [UGE]</v>
          </cell>
          <cell r="I102" t="str">
            <v>Rate Rider for Disposition of Residual Historical Smart Meter Costs - effective until December 31, 2014</v>
          </cell>
        </row>
        <row r="103">
          <cell r="A103" t="str">
            <v>WESTPORT SEWAGE TREATMENT PLANT</v>
          </cell>
          <cell r="I103" t="str">
            <v>Rate Rider for Disposition of Residual Historical Smart Meter Costs – effective until December 31, 2014</v>
          </cell>
        </row>
        <row r="104">
          <cell r="A104" t="str">
            <v>YEAR-ROUND RESIDENTIAL - R2</v>
          </cell>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
      <sheetName val="LDC Info"/>
      <sheetName val="CurrentTariff"/>
      <sheetName val="Revenues at Curr Rates"/>
      <sheetName val="RATEBASE &amp; REV REQ -&gt;"/>
      <sheetName val="Rate Base"/>
      <sheetName val="Revenue Requirement"/>
      <sheetName val="COST ALLOC. &amp; RATE DESIGN -&gt;"/>
      <sheetName val="Cost Allocation &amp; RevAllocation"/>
      <sheetName val="RateDesign"/>
      <sheetName val="Loss Factor"/>
      <sheetName val="Rev_Reconciliation"/>
      <sheetName val="RATE RIDERS -&gt;"/>
      <sheetName val="SMRR"/>
      <sheetName val="DVA"/>
      <sheetName val="Summary of Tariffs"/>
      <sheetName val="RRWF -&gt;"/>
      <sheetName val="RRWF_Data_Input_Sheet"/>
      <sheetName val="RRWF_Rate_Base"/>
      <sheetName val="RRWF_Utility Income"/>
      <sheetName val="RRWF_Taxes_PILs"/>
      <sheetName val="RRWF_Cost_of_Capital"/>
      <sheetName val="RRWF_Rev_Def_Suff"/>
      <sheetName val=" RRWF_Rev_Reqt"/>
      <sheetName val="Update to COS Application"/>
      <sheetName val="CHEC_Rate Design Model"/>
    </sheetNames>
    <sheetDataSet>
      <sheetData sheetId="0"/>
      <sheetData sheetId="1">
        <row r="24">
          <cell r="E24">
            <v>2015</v>
          </cell>
        </row>
      </sheetData>
      <sheetData sheetId="2"/>
      <sheetData sheetId="3"/>
      <sheetData sheetId="4"/>
      <sheetData sheetId="5"/>
      <sheetData sheetId="6">
        <row r="26">
          <cell r="C26" t="e">
            <v>#VALUE!</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A1.Admin"/>
      <sheetName val="A2.HistoricalBalances"/>
      <sheetName val="A3.CustomerClasses"/>
      <sheetName val="B1.GrossCapital"/>
      <sheetName val="B2.CapitalAmortization"/>
      <sheetName val="B3.NetCapital"/>
      <sheetName val="B4.OMA"/>
      <sheetName val="B5.DeferralBalances"/>
      <sheetName val="C1.LoadForecast"/>
      <sheetName val="C2.PassthruRates"/>
      <sheetName val="C3.DistRates"/>
      <sheetName val="C4.DistRevenue"/>
      <sheetName val="C5.ApprovedRecovery"/>
      <sheetName val="C6.ProposedRecoveries"/>
      <sheetName val="C7.RateRiders"/>
      <sheetName val="C8.ServiceRevenues"/>
      <sheetName val="C9.RevenueOffsets"/>
      <sheetName val="D1.RateBase"/>
      <sheetName val="D2.Debt"/>
      <sheetName val="D3.CapitalStructure"/>
      <sheetName val="E1.BridgeYrPL"/>
      <sheetName val="E2.TestYrPL"/>
      <sheetName val="E3.CapitalInfo"/>
      <sheetName val="E4.PILsResults"/>
      <sheetName val="F1.RevRequirement"/>
      <sheetName val="F2.DirectRevenues"/>
      <sheetName val="F3.CostAllocation"/>
      <sheetName val="F4.RevenueAllocation"/>
      <sheetName val="F5.RateDesign"/>
      <sheetName val="F6.RatesCheck"/>
      <sheetName val="F7.FinalRates"/>
      <sheetName val="F8.BillImpacts"/>
      <sheetName val="G1.BridgeYrProForma"/>
      <sheetName val="G2.TestYrProForma"/>
      <sheetName val="G3.TestYrNewRates"/>
      <sheetName val="G4.VarBS"/>
      <sheetName val="G5.VarPL"/>
      <sheetName val="G6.VarRateBase"/>
      <sheetName val="G7.VarSuffDef"/>
      <sheetName val="X11.RatesSched"/>
      <sheetName val="X12.PLtrend"/>
      <sheetName val="X13.PLvariances"/>
      <sheetName val="X14.BStrend"/>
      <sheetName val="X15.BSvariances"/>
      <sheetName val="X21.CapitalCont"/>
      <sheetName val="X22.RBtrend"/>
      <sheetName val="X23.RBvariances"/>
      <sheetName val="X71.RevSuffDef"/>
      <sheetName val="X72.RevenueReq"/>
      <sheetName val="Y1.PrescribedRates"/>
      <sheetName val="Y2.ChartOfAccts"/>
      <sheetName val="Y3.AmortAccts"/>
      <sheetName val="Y4.PassthruAccts"/>
      <sheetName val="Y5.DistRateAccts"/>
      <sheetName val="Y6.ServiceRevAccts"/>
      <sheetName val="Y7.RPPrates"/>
      <sheetName val="Y8.VarianceThresholds"/>
      <sheetName val="Z1.ModelVariables"/>
      <sheetName val="Z2.ModelTables"/>
      <sheetName val="Z0.Disclaim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13">
          <cell r="C13" t="str">
            <v>v1.02</v>
          </cell>
        </row>
      </sheetData>
      <sheetData sheetId="59"/>
      <sheetData sheetId="6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7" tint="0.39997558519241921"/>
    <pageSetUpPr fitToPage="1"/>
  </sheetPr>
  <dimension ref="A1:AX114"/>
  <sheetViews>
    <sheetView showGridLines="0" tabSelected="1" topLeftCell="A19" zoomScale="90" zoomScaleNormal="90" workbookViewId="0">
      <selection activeCell="M15" sqref="M15"/>
    </sheetView>
  </sheetViews>
  <sheetFormatPr defaultColWidth="9.28515625" defaultRowHeight="12.75" x14ac:dyDescent="0.2"/>
  <cols>
    <col min="1" max="1" width="29" style="1" customWidth="1"/>
    <col min="2" max="2" width="17.28515625" style="1" customWidth="1"/>
    <col min="3" max="16" width="15" style="1" customWidth="1"/>
    <col min="17" max="17" width="13.28515625" style="1" customWidth="1"/>
    <col min="18" max="19" width="12.7109375" style="1" customWidth="1"/>
    <col min="20" max="20" width="13.28515625" style="1" bestFit="1" customWidth="1"/>
    <col min="21" max="21" width="11.28515625" style="1" bestFit="1" customWidth="1"/>
    <col min="22" max="22" width="16.140625" style="1" customWidth="1"/>
    <col min="23" max="50" width="13.28515625" style="1" customWidth="1"/>
    <col min="51" max="16384" width="9.28515625" style="1"/>
  </cols>
  <sheetData>
    <row r="1" spans="1:50" x14ac:dyDescent="0.2">
      <c r="R1" s="2" t="s">
        <v>0</v>
      </c>
      <c r="S1" s="3" t="str">
        <f>EBNUMBER</f>
        <v>EB-2018-0056</v>
      </c>
      <c r="T1" s="4">
        <f>'[4]LDC Info'!$E$28</f>
        <v>2014</v>
      </c>
      <c r="U1" s="4" t="inlineStr">
        <is>
          <t/>
        </is>
      </c>
      <c r="V1" s="4" t="inlineStr">
        <is>
          <t/>
        </is>
      </c>
      <c r="W1" s="4"/>
    </row>
    <row r="2" spans="1:50" x14ac:dyDescent="0.2">
      <c r="R2" s="2" t="s">
        <v>3</v>
      </c>
      <c r="S2" s="5"/>
      <c r="T2" s="4">
        <f>TestYear</f>
        <v>2019</v>
      </c>
      <c r="U2" s="4">
        <v>2010</v>
      </c>
      <c r="V2" s="4" t="inlineStr">
        <is>
          <t/>
        </is>
      </c>
      <c r="W2" s="4" t="inlineStr">
        <is>
          <t/>
        </is>
      </c>
    </row>
    <row r="3" spans="1:50" x14ac:dyDescent="0.2">
      <c r="R3" s="2" t="s">
        <v>6</v>
      </c>
      <c r="S3" s="5"/>
      <c r="T3" s="4">
        <f>'[4]LDC Info'!$E$28</f>
        <v>2014</v>
      </c>
      <c r="U3" s="4">
        <v>2011</v>
      </c>
      <c r="V3" s="4" t="inlineStr">
        <is>
          <t/>
        </is>
      </c>
      <c r="W3" s="4" t="inlineStr">
        <is>
          <t/>
        </is>
      </c>
    </row>
    <row r="4" spans="1:50" ht="15" x14ac:dyDescent="0.25">
      <c r="A4" s="6" t="s">
        <v>9</v>
      </c>
      <c r="R4" s="2" t="s">
        <v>10</v>
      </c>
      <c r="S4" s="5"/>
      <c r="T4" s="4"/>
      <c r="U4" s="4">
        <v>2012</v>
      </c>
      <c r="V4" s="4" t="inlineStr">
        <is>
          <t/>
        </is>
      </c>
      <c r="W4" s="4" t="inlineStr">
        <is>
          <t/>
        </is>
      </c>
    </row>
    <row r="5" spans="1:50" x14ac:dyDescent="0.2">
      <c r="R5" s="2" t="s">
        <v>13</v>
      </c>
      <c r="S5" s="7"/>
      <c r="T5" s="4"/>
      <c r="U5" s="4">
        <v>2013</v>
      </c>
      <c r="V5" s="4" t="inlineStr">
        <is>
          <t/>
        </is>
      </c>
      <c r="W5" s="4" t="inlineStr">
        <is>
          <t/>
        </is>
      </c>
    </row>
    <row r="6" spans="1:50" x14ac:dyDescent="0.2">
      <c r="R6" s="2"/>
      <c r="S6" s="3"/>
      <c r="T6" s="4"/>
      <c r="U6" s="4">
        <v>2014</v>
      </c>
      <c r="V6" s="4" t="inlineStr">
        <is>
          <t/>
        </is>
      </c>
      <c r="W6" s="4" t="inlineStr">
        <is>
          <t/>
        </is>
      </c>
    </row>
    <row r="7" spans="1:50" x14ac:dyDescent="0.2">
      <c r="R7" s="2" t="s">
        <v>18</v>
      </c>
      <c r="S7" s="7"/>
      <c r="T7" s="4"/>
      <c r="U7" s="4">
        <v>2015</v>
      </c>
      <c r="V7" s="4" t="inlineStr">
        <is>
          <t/>
        </is>
      </c>
      <c r="W7" s="4" t="inlineStr">
        <is>
          <t/>
        </is>
      </c>
    </row>
    <row r="8" spans="1:50" x14ac:dyDescent="0.2">
      <c r="T8" s="4"/>
      <c r="U8" s="4">
        <v>2016</v>
      </c>
      <c r="V8" s="4" t="inlineStr">
        <is>
          <t/>
        </is>
      </c>
      <c r="W8" s="4" t="inlineStr">
        <is>
          <t/>
        </is>
      </c>
    </row>
    <row r="9" spans="1:50" ht="18" x14ac:dyDescent="0.2">
      <c r="A9" s="138" t="s">
        <v>23</v>
      </c>
      <c r="B9" s="138"/>
      <c r="C9" s="138"/>
      <c r="D9" s="138"/>
      <c r="E9" s="138"/>
      <c r="F9" s="138"/>
      <c r="G9" s="138"/>
      <c r="H9" s="138"/>
      <c r="I9" s="138"/>
      <c r="J9" s="138"/>
      <c r="K9" s="138"/>
      <c r="L9" s="138"/>
      <c r="M9" s="138"/>
      <c r="N9" s="138"/>
      <c r="O9" s="138"/>
      <c r="P9" s="138"/>
      <c r="Q9" s="138"/>
      <c r="R9" s="138"/>
      <c r="S9" s="138"/>
      <c r="T9" s="4"/>
      <c r="U9" s="4">
        <v>2017</v>
      </c>
      <c r="V9" s="4" t="inlineStr">
        <is>
          <t/>
        </is>
      </c>
      <c r="W9" s="4" t="inlineStr">
        <is>
          <t/>
        </is>
      </c>
    </row>
    <row r="10" spans="1:50" ht="34.5" customHeight="1" x14ac:dyDescent="0.2">
      <c r="A10" s="138" t="s">
        <v>26</v>
      </c>
      <c r="B10" s="138"/>
      <c r="C10" s="138"/>
      <c r="D10" s="138"/>
      <c r="E10" s="138"/>
      <c r="F10" s="138"/>
      <c r="G10" s="138"/>
      <c r="H10" s="138"/>
      <c r="I10" s="138"/>
      <c r="J10" s="138"/>
      <c r="K10" s="138"/>
      <c r="L10" s="138"/>
      <c r="M10" s="138"/>
      <c r="N10" s="138"/>
      <c r="O10" s="138"/>
      <c r="P10" s="138"/>
      <c r="Q10" s="138"/>
      <c r="R10" s="138"/>
      <c r="S10" s="138"/>
      <c r="T10" s="4"/>
      <c r="U10" s="4"/>
      <c r="V10" s="4"/>
      <c r="W10" s="4"/>
    </row>
    <row r="11" spans="1:50" ht="13.5" thickBot="1" x14ac:dyDescent="0.25">
      <c r="B11" s="139">
        <v>2010</v>
      </c>
      <c r="C11" s="139"/>
      <c r="D11" s="139">
        <v>2011</v>
      </c>
      <c r="E11" s="139"/>
      <c r="F11" s="139">
        <v>2012</v>
      </c>
      <c r="G11" s="139"/>
      <c r="H11" s="139">
        <v>2013</v>
      </c>
      <c r="I11" s="139"/>
      <c r="J11" s="139">
        <v>2014</v>
      </c>
      <c r="K11" s="139"/>
      <c r="L11" s="139">
        <v>2015</v>
      </c>
      <c r="M11" s="139"/>
      <c r="N11" s="139">
        <v>2016</v>
      </c>
      <c r="O11" s="139"/>
      <c r="P11" s="139">
        <v>2017</v>
      </c>
      <c r="Q11" s="139"/>
      <c r="R11" s="8">
        <v>2018</v>
      </c>
      <c r="S11" s="8">
        <v>2019</v>
      </c>
      <c r="T11" s="9"/>
      <c r="U11" s="9"/>
      <c r="W11" s="135">
        <v>2010</v>
      </c>
      <c r="X11" s="135"/>
      <c r="Y11" s="135"/>
      <c r="Z11" s="135">
        <v>2011</v>
      </c>
      <c r="AA11" s="135"/>
      <c r="AB11" s="135"/>
      <c r="AC11" s="135">
        <v>2012</v>
      </c>
      <c r="AD11" s="135"/>
      <c r="AE11" s="135"/>
      <c r="AF11" s="135">
        <v>2013</v>
      </c>
      <c r="AG11" s="135"/>
      <c r="AH11" s="135"/>
      <c r="AI11" s="135">
        <v>2014</v>
      </c>
      <c r="AJ11" s="135"/>
      <c r="AK11" s="135"/>
      <c r="AL11" s="135">
        <v>2015</v>
      </c>
      <c r="AM11" s="135"/>
      <c r="AN11" s="135"/>
      <c r="AO11" s="135">
        <v>2016</v>
      </c>
      <c r="AP11" s="135"/>
      <c r="AQ11" s="135"/>
      <c r="AR11" s="135">
        <v>2017</v>
      </c>
      <c r="AS11" s="135"/>
      <c r="AT11" s="135"/>
      <c r="AU11" s="135">
        <v>2018</v>
      </c>
      <c r="AV11" s="135"/>
      <c r="AW11" s="135">
        <v>2019</v>
      </c>
      <c r="AX11" s="135"/>
    </row>
    <row r="12" spans="1:50" ht="51.75" thickBot="1" x14ac:dyDescent="0.25">
      <c r="A12" s="10"/>
      <c r="B12" s="11" t="str">
        <f>CONCATENATE(B11," ",IF($T1=B11,"Last Rebasing Year ","")," Board Approved")</f>
        <v>2010  Board Approved</v>
      </c>
      <c r="C12" s="11" t="str">
        <f>CONCATENATE(B11," ",IF($T1=B11,"Last Rebasing Year ","")," Actuals")</f>
        <v>2010  Actuals</v>
      </c>
      <c r="D12" s="11" t="str">
        <f>CONCATENATE(D11," ",IF($T1=D11,"Last Rebasing Year ","")," Board Approved")</f>
        <v>2011  Board Approved</v>
      </c>
      <c r="E12" s="11" t="str">
        <f>CONCATENATE(D11," ",IF($T1=D11,"Last Rebasing Year ","")," Actuals")</f>
        <v>2011  Actuals</v>
      </c>
      <c r="F12" s="11" t="str">
        <f>CONCATENATE(F11," ",IF($T1=F11,"Last Rebasing Year ","")," Board Approved")</f>
        <v>2012  Board Approved</v>
      </c>
      <c r="G12" s="11" t="str">
        <f>CONCATENATE(F11," ",IF($T1=F11,"Last Rebasing Year ","")," Actuals")</f>
        <v>2012  Actuals</v>
      </c>
      <c r="H12" s="11" t="str">
        <f>CONCATENATE(H11," ",IF($T1=H11,"Last Rebasing Year ","")," Board Approved")</f>
        <v>2013  Board Approved</v>
      </c>
      <c r="I12" s="11" t="str">
        <f>CONCATENATE(H11," ",IF($T1=H11,"Last Rebasing Year ","")," Actuals")</f>
        <v>2013  Actuals</v>
      </c>
      <c r="J12" s="11" t="str">
        <f>CONCATENATE(J11," ",IF($T1=J11,"Last Rebasing Year ","")," Board Approved")</f>
        <v>2014 Last Rebasing Year  Board Approved</v>
      </c>
      <c r="K12" s="11" t="str">
        <f>CONCATENATE(J11," ",IF($T1=J11,"Last Rebasing Year ","")," Actuals")</f>
        <v>2014 Last Rebasing Year  Actuals</v>
      </c>
      <c r="L12" s="11" t="str">
        <f>CONCATENATE(L11," ",IF($T1=L11,"Last Rebasing Year ","")," Board Approved")</f>
        <v>2015  Board Approved</v>
      </c>
      <c r="M12" s="11" t="str">
        <f>CONCATENATE(L11," ",IF($T1=L11,"Last Rebasing Year ","")," Actuals")</f>
        <v>2015  Actuals</v>
      </c>
      <c r="N12" s="11" t="str">
        <f>CONCATENATE(N11," ",IF($T1=N11,"Last Rebasing Year ","")," Board Approved")</f>
        <v>2016  Board Approved</v>
      </c>
      <c r="O12" s="11" t="str">
        <f>CONCATENATE(N11," ",IF($T1=N11,"Last Rebasing Year ","")," Actuals")</f>
        <v>2016  Actuals</v>
      </c>
      <c r="P12" s="11" t="str">
        <f>CONCATENATE(P11," ",IF($T1=P11,"Last Rebasing Year ","")," Board Approved")</f>
        <v>2017  Board Approved</v>
      </c>
      <c r="Q12" s="11" t="str">
        <f>CONCATENATE(P11," ",IF($T1=P11,"Last Rebasing Year ","")," Actuals")</f>
        <v>2017  Actuals</v>
      </c>
      <c r="R12" s="11" t="str">
        <f>BridgeYear &amp; " Bridge Year"</f>
        <v>2018 Bridge Year</v>
      </c>
      <c r="S12" s="12" t="str">
        <f>TestYear &amp; " Test Year"</f>
        <v>2019 Test Year</v>
      </c>
      <c r="T12" s="136"/>
      <c r="U12" s="136"/>
      <c r="V12" s="13"/>
      <c r="W12" s="14" t="str">
        <f>CONCATENATE(IF($T1=W11,"Last Rebasing Year ",""),,W11," Board Approved")</f>
        <v>2010 Board Approved</v>
      </c>
      <c r="X12" s="14" t="str">
        <f>CONCATENATE(IF($T1=W11,"Last Rebasing Year ",""),W11," Actuals")</f>
        <v>2010 Actuals</v>
      </c>
      <c r="Y12" s="14" t="str">
        <f>CONCATENATE("Variance ",W11," Board Approved - ",W11," Actuals")</f>
        <v>Variance 2010 Board Approved - 2010 Actuals</v>
      </c>
      <c r="Z12" s="14" t="str">
        <f>CONCATENATE(IF($T1=Z11,"Last Rebasing Year ",""),,Z11," Board Approved")</f>
        <v>2011 Board Approved</v>
      </c>
      <c r="AA12" s="14" t="str">
        <f>CONCATENATE(IF($T1=Z11,"Last Rebasing Year ",""),Z11," Actuals")</f>
        <v>2011 Actuals</v>
      </c>
      <c r="AB12" s="14" t="str">
        <f>CONCATENATE("Variance ",Z11," Board Approved - ",Z11," Actuals")</f>
        <v>Variance 2011 Board Approved - 2011 Actuals</v>
      </c>
      <c r="AC12" s="14" t="str">
        <f>CONCATENATE(IF($T1=AC11,"Last Rebasing Year",""),,AC11," Board Approved")</f>
        <v>2012 Board Approved</v>
      </c>
      <c r="AD12" s="14" t="str">
        <f>CONCATENATE(IF($T1=AC11,"Last Rebasing Year ",""),AC11," Actuals")</f>
        <v>2012 Actuals</v>
      </c>
      <c r="AE12" s="14" t="str">
        <f>CONCATENATE("Variance ",AC11," Board Approved - ",AC11," Actuals")</f>
        <v>Variance 2012 Board Approved - 2012 Actuals</v>
      </c>
      <c r="AF12" s="14" t="str">
        <f>CONCATENATE(IF($T1=AF11,"Last Rebasing Year ",""),,AF11," Board Approved")</f>
        <v>2013 Board Approved</v>
      </c>
      <c r="AG12" s="14" t="str">
        <f>CONCATENATE(IF($T1=AF11,"Last Rebasing Year ",""),AF11," Actuals")</f>
        <v>2013 Actuals</v>
      </c>
      <c r="AH12" s="14" t="str">
        <f>CONCATENATE("Variance ",AF11," Board Approved - ",AF11," Actuals")</f>
        <v>Variance 2013 Board Approved - 2013 Actuals</v>
      </c>
      <c r="AI12" s="14" t="str">
        <f>CONCATENATE(IF($T1=AI11,"Last Rebasing Year ",""),,AI11," Board Approved")</f>
        <v>Last Rebasing Year 2014 Board Approved</v>
      </c>
      <c r="AJ12" s="14" t="str">
        <f>CONCATENATE(IF($T1=AI11,"Last Rebasing Year ",""),AI11," Actuals")</f>
        <v>Last Rebasing Year 2014 Actuals</v>
      </c>
      <c r="AK12" s="14" t="str">
        <f>CONCATENATE("Variance ",AI11," Board Approved - ",AI11," Actuals")</f>
        <v>Variance 2014 Board Approved - 2014 Actuals</v>
      </c>
      <c r="AL12" s="14" t="str">
        <f>CONCATENATE(IF($T1=AL11,"Last Rebasing Year ",""),,AL11," Board Approved")</f>
        <v>2015 Board Approved</v>
      </c>
      <c r="AM12" s="14" t="str">
        <f>CONCATENATE(IF($T1=AL11,"Last Rebasing Year ",""),AL11," Actuals")</f>
        <v>2015 Actuals</v>
      </c>
      <c r="AN12" s="14" t="str">
        <f>CONCATENATE("Variance ",AL11," Board Approved - ",AL11," Actuals")</f>
        <v>Variance 2015 Board Approved - 2015 Actuals</v>
      </c>
      <c r="AO12" s="14" t="str">
        <f>CONCATENATE(IF($T1=AO11,"Last Rebasing Year ",""),,AO11," Board Approved")</f>
        <v>2016 Board Approved</v>
      </c>
      <c r="AP12" s="14" t="str">
        <f>CONCATENATE(IF($T1=AO11,"Last Rebasing Year ",""),AO11," Actuals")</f>
        <v>2016 Actuals</v>
      </c>
      <c r="AQ12" s="14" t="str">
        <f>CONCATENATE("Variance ",AO11," Board Approved - ",AO11," Actuals")</f>
        <v>Variance 2016 Board Approved - 2016 Actuals</v>
      </c>
      <c r="AR12" s="14" t="str">
        <f>CONCATENATE(IF($T1=AR11,"Last Rebasing Year ",""),,AR11," Board Approved")</f>
        <v>2017 Board Approved</v>
      </c>
      <c r="AS12" s="14" t="str">
        <f>CONCATENATE(IF($T1=AR11,"Last Rebasing Year ",""),AR11," Actuals")</f>
        <v>2017 Actuals</v>
      </c>
      <c r="AT12" s="14" t="str">
        <f>CONCATENATE("Variance ",AR11," Board Approved - ",AR11," Actuals")</f>
        <v>Variance 2017 Board Approved - 2017 Actuals</v>
      </c>
      <c r="AU12" s="14" t="str">
        <f>CONCATENATE(AU11," Bridge Year")</f>
        <v>2018 Bridge Year</v>
      </c>
      <c r="AV12" s="14" t="str">
        <f>CONCATENATE("Variance ",AU11," Bridge vs. ",AU11-1," Actuals")</f>
        <v>Variance 2018 Bridge vs. 2017 Actuals</v>
      </c>
      <c r="AW12" s="14" t="str">
        <f>CONCATENATE(AW11," Test Year")</f>
        <v>2019 Test Year</v>
      </c>
      <c r="AX12" s="14" t="str">
        <f>CONCATENATE("Variance ",AW11," Test vs. ",AW11-1," Bridge")</f>
        <v>Variance 2019 Test vs. 2018 Bridge</v>
      </c>
    </row>
    <row r="13" spans="1:50" ht="13.5" thickBot="1" x14ac:dyDescent="0.25">
      <c r="A13" s="15" t="s">
        <v>27</v>
      </c>
      <c r="B13" s="16"/>
      <c r="C13" s="16"/>
      <c r="D13" s="16"/>
      <c r="E13" s="16"/>
      <c r="F13" s="16"/>
      <c r="G13" s="16"/>
      <c r="H13" s="16"/>
      <c r="I13" s="16"/>
      <c r="J13" s="16"/>
      <c r="K13" s="16"/>
      <c r="L13" s="16"/>
      <c r="M13" s="16"/>
      <c r="N13" s="16"/>
      <c r="O13" s="16"/>
      <c r="P13" s="16"/>
      <c r="Q13" s="16"/>
      <c r="R13" s="16"/>
      <c r="S13" s="17"/>
      <c r="T13" s="18"/>
      <c r="U13" s="18"/>
      <c r="V13" s="19" t="s">
        <v>28</v>
      </c>
      <c r="W13" s="20">
        <f>B14</f>
        <v>0</v>
      </c>
      <c r="X13" s="20">
        <f>C14</f>
        <v>0</v>
      </c>
      <c r="Y13" s="20">
        <f t="shared" ref="Y13:Y18" si="0">W13-X13</f>
        <v>0</v>
      </c>
      <c r="Z13" s="20">
        <f>D14</f>
        <v>0</v>
      </c>
      <c r="AA13" s="20">
        <f>E14</f>
        <v>0</v>
      </c>
      <c r="AB13" s="20">
        <f t="shared" ref="AB13:AB18" si="1">Z13-AA13</f>
        <v>0</v>
      </c>
      <c r="AC13" s="20">
        <f>F14</f>
        <v>0</v>
      </c>
      <c r="AD13" s="20">
        <f>G14</f>
        <v>0</v>
      </c>
      <c r="AE13" s="20">
        <f t="shared" ref="AE13:AE18" si="2">AC13-AD13</f>
        <v>0</v>
      </c>
      <c r="AF13" s="20">
        <f>H14</f>
        <v>0</v>
      </c>
      <c r="AG13" s="20">
        <f>I14</f>
        <v>0</v>
      </c>
      <c r="AH13" s="20">
        <f t="shared" ref="AH13:AH18" si="3">AF13-AG13</f>
        <v>0</v>
      </c>
      <c r="AI13" s="20">
        <f>J14</f>
        <v>532044.4731186768</v>
      </c>
      <c r="AJ13" s="20">
        <f>K14</f>
        <v>491399.67</v>
      </c>
      <c r="AK13" s="20">
        <f t="shared" ref="AK13:AK18" si="4">AI13-AJ13</f>
        <v>40644.80311867682</v>
      </c>
      <c r="AL13" s="20">
        <f>L14</f>
        <v>0</v>
      </c>
      <c r="AM13" s="20">
        <f>M14</f>
        <v>548539.79999999993</v>
      </c>
      <c r="AN13" s="20">
        <f t="shared" ref="AN13:AN18" si="5">AL13-AM13</f>
        <v>-548539.79999999993</v>
      </c>
      <c r="AO13" s="20">
        <f>N14</f>
        <v>0</v>
      </c>
      <c r="AP13" s="20">
        <f>O14</f>
        <v>654294.7699999999</v>
      </c>
      <c r="AQ13" s="20">
        <f t="shared" ref="AQ13:AQ18" si="6">AO13-AP13</f>
        <v>-654294.7699999999</v>
      </c>
      <c r="AR13" s="20">
        <f>P14</f>
        <v>0</v>
      </c>
      <c r="AS13" s="20">
        <f>Q14</f>
        <v>673867.34</v>
      </c>
      <c r="AT13" s="20">
        <f t="shared" ref="AT13:AT18" si="7">AR13-AS13</f>
        <v>-673867.34</v>
      </c>
      <c r="AU13" s="20">
        <f>R14</f>
        <v>658882.70000000007</v>
      </c>
      <c r="AV13" s="20">
        <f>AU13-AS13</f>
        <v>-14984.639999999898</v>
      </c>
      <c r="AW13" s="20">
        <f>S14</f>
        <v>711610.17701706884</v>
      </c>
      <c r="AX13" s="20">
        <f t="shared" ref="AX13:AX18" si="8">AV13-AW13</f>
        <v>-726594.81701706874</v>
      </c>
    </row>
    <row r="14" spans="1:50" ht="13.5" thickBot="1" x14ac:dyDescent="0.25">
      <c r="A14" s="21" t="s">
        <v>28</v>
      </c>
      <c r="B14" s="22"/>
      <c r="C14" s="22"/>
      <c r="D14" s="23"/>
      <c r="E14" s="22"/>
      <c r="F14" s="23"/>
      <c r="G14" s="22"/>
      <c r="H14" s="23"/>
      <c r="I14" s="22"/>
      <c r="J14" s="22">
        <v>532044.4731186768</v>
      </c>
      <c r="K14" s="22">
        <v>491399.67</v>
      </c>
      <c r="L14" s="23"/>
      <c r="M14" s="22">
        <v>548539.79999999993</v>
      </c>
      <c r="N14" s="23"/>
      <c r="O14" s="22">
        <v>654294.7699999999</v>
      </c>
      <c r="P14" s="23"/>
      <c r="Q14" s="22">
        <v>673867.34</v>
      </c>
      <c r="R14" s="22">
        <v>658882.70000000007</v>
      </c>
      <c r="S14" s="22">
        <v>711610.17701706884</v>
      </c>
      <c r="T14" s="24"/>
      <c r="U14" s="24"/>
      <c r="V14" s="25" t="s">
        <v>29</v>
      </c>
      <c r="W14" s="20">
        <f>B15</f>
        <v>0</v>
      </c>
      <c r="X14" s="20">
        <f>C15</f>
        <v>0</v>
      </c>
      <c r="Y14" s="20">
        <f t="shared" si="0"/>
        <v>0</v>
      </c>
      <c r="Z14" s="20">
        <f>D15</f>
        <v>0</v>
      </c>
      <c r="AA14" s="20">
        <f>E15</f>
        <v>0</v>
      </c>
      <c r="AB14" s="20">
        <f t="shared" si="1"/>
        <v>0</v>
      </c>
      <c r="AC14" s="20">
        <f>F15</f>
        <v>0</v>
      </c>
      <c r="AD14" s="20">
        <f>G15</f>
        <v>0</v>
      </c>
      <c r="AE14" s="20">
        <f t="shared" si="2"/>
        <v>0</v>
      </c>
      <c r="AF14" s="26">
        <f>H15</f>
        <v>0</v>
      </c>
      <c r="AG14" s="26">
        <f>I15</f>
        <v>0</v>
      </c>
      <c r="AH14" s="20">
        <f t="shared" si="3"/>
        <v>0</v>
      </c>
      <c r="AI14" s="26">
        <f>J15</f>
        <v>416132.46238946723</v>
      </c>
      <c r="AJ14" s="26">
        <f>K15</f>
        <v>412258.79000000004</v>
      </c>
      <c r="AK14" s="20">
        <f t="shared" si="4"/>
        <v>3873.6723894671886</v>
      </c>
      <c r="AL14" s="26">
        <f>L15</f>
        <v>0</v>
      </c>
      <c r="AM14" s="26">
        <f>M15</f>
        <v>451578.1</v>
      </c>
      <c r="AN14" s="20">
        <f t="shared" si="5"/>
        <v>-451578.1</v>
      </c>
      <c r="AO14" s="26">
        <f>N15</f>
        <v>0</v>
      </c>
      <c r="AP14" s="26">
        <f>O15</f>
        <v>476273.29999999993</v>
      </c>
      <c r="AQ14" s="20">
        <f t="shared" si="6"/>
        <v>-476273.29999999993</v>
      </c>
      <c r="AR14" s="26">
        <f>P15</f>
        <v>0</v>
      </c>
      <c r="AS14" s="26">
        <f>Q15</f>
        <v>414736.52</v>
      </c>
      <c r="AT14" s="20">
        <f t="shared" si="7"/>
        <v>-414736.52</v>
      </c>
      <c r="AU14" s="26">
        <f>R15</f>
        <v>447002.52999999997</v>
      </c>
      <c r="AV14" s="20">
        <f t="shared" ref="AV14:AV18" si="9">AU14-AS14</f>
        <v>32266.009999999951</v>
      </c>
      <c r="AW14" s="26">
        <f>S15</f>
        <v>449790.28194628464</v>
      </c>
      <c r="AX14" s="20">
        <f t="shared" si="8"/>
        <v>-417524.27194628469</v>
      </c>
    </row>
    <row r="15" spans="1:50" ht="24" x14ac:dyDescent="0.2">
      <c r="A15" s="27" t="s">
        <v>30</v>
      </c>
      <c r="B15" s="28"/>
      <c r="C15" s="28"/>
      <c r="D15" s="29"/>
      <c r="E15" s="28"/>
      <c r="F15" s="29"/>
      <c r="G15" s="28"/>
      <c r="H15" s="29"/>
      <c r="I15" s="28"/>
      <c r="J15" s="22">
        <v>416132.46238946723</v>
      </c>
      <c r="K15" s="22">
        <v>412258.79000000004</v>
      </c>
      <c r="L15" s="29"/>
      <c r="M15" s="22">
        <v>451578.1</v>
      </c>
      <c r="N15" s="29"/>
      <c r="O15" s="22">
        <v>476273.29999999993</v>
      </c>
      <c r="P15" s="29"/>
      <c r="Q15" s="22">
        <v>414736.52</v>
      </c>
      <c r="R15" s="22">
        <v>447002.52999999997</v>
      </c>
      <c r="S15" s="22">
        <v>449790.28194628464</v>
      </c>
      <c r="T15" s="24"/>
      <c r="U15" s="24"/>
      <c r="V15" s="25" t="s">
        <v>31</v>
      </c>
      <c r="W15" s="20">
        <f t="shared" ref="W15:X18" si="10">B19</f>
        <v>0</v>
      </c>
      <c r="X15" s="20">
        <f t="shared" si="10"/>
        <v>0</v>
      </c>
      <c r="Y15" s="20">
        <f t="shared" si="0"/>
        <v>0</v>
      </c>
      <c r="Z15" s="20">
        <f t="shared" ref="Z15:AA18" si="11">D19</f>
        <v>0</v>
      </c>
      <c r="AA15" s="20">
        <f t="shared" si="11"/>
        <v>0</v>
      </c>
      <c r="AB15" s="20">
        <f t="shared" si="1"/>
        <v>0</v>
      </c>
      <c r="AC15" s="20">
        <f t="shared" ref="AC15:AD18" si="12">F19</f>
        <v>0</v>
      </c>
      <c r="AD15" s="20">
        <f t="shared" si="12"/>
        <v>0</v>
      </c>
      <c r="AE15" s="20">
        <f t="shared" si="2"/>
        <v>0</v>
      </c>
      <c r="AF15" s="26">
        <f t="shared" ref="AF15:AG18" si="13">H19</f>
        <v>0</v>
      </c>
      <c r="AG15" s="26">
        <f t="shared" si="13"/>
        <v>0</v>
      </c>
      <c r="AH15" s="20">
        <f t="shared" si="3"/>
        <v>0</v>
      </c>
      <c r="AI15" s="26">
        <f t="shared" ref="AI15:AJ18" si="14">J19</f>
        <v>534259.55082691566</v>
      </c>
      <c r="AJ15" s="26">
        <f t="shared" si="14"/>
        <v>559555.86</v>
      </c>
      <c r="AK15" s="20">
        <f t="shared" si="4"/>
        <v>-25296.30917308433</v>
      </c>
      <c r="AL15" s="26">
        <f t="shared" ref="AL15:AM18" si="15">L19</f>
        <v>0</v>
      </c>
      <c r="AM15" s="26">
        <f t="shared" si="15"/>
        <v>601149.68000000005</v>
      </c>
      <c r="AN15" s="20">
        <f t="shared" si="5"/>
        <v>-601149.68000000005</v>
      </c>
      <c r="AO15" s="26">
        <f t="shared" ref="AO15:AP18" si="16">N19</f>
        <v>0</v>
      </c>
      <c r="AP15" s="26">
        <f t="shared" si="16"/>
        <v>547187.65</v>
      </c>
      <c r="AQ15" s="20">
        <f t="shared" si="6"/>
        <v>-547187.65</v>
      </c>
      <c r="AR15" s="26">
        <f t="shared" ref="AR15:AS18" si="17">P19</f>
        <v>0</v>
      </c>
      <c r="AS15" s="26">
        <f t="shared" si="17"/>
        <v>573153.92000000004</v>
      </c>
      <c r="AT15" s="20">
        <f t="shared" si="7"/>
        <v>-573153.92000000004</v>
      </c>
      <c r="AU15" s="26">
        <f>R19</f>
        <v>565667.52</v>
      </c>
      <c r="AV15" s="20">
        <f t="shared" si="9"/>
        <v>-7486.4000000000233</v>
      </c>
      <c r="AW15" s="26">
        <f>S19</f>
        <v>632867.42046056862</v>
      </c>
      <c r="AX15" s="20">
        <f t="shared" si="8"/>
        <v>-640353.82046056865</v>
      </c>
    </row>
    <row r="16" spans="1:50" ht="24" x14ac:dyDescent="0.2">
      <c r="A16" s="30" t="s">
        <v>32</v>
      </c>
      <c r="B16" s="31">
        <f>SUM(B14:B15)</f>
        <v>0</v>
      </c>
      <c r="C16" s="31">
        <f t="shared" ref="C16:S16" si="18">SUM(C14:C15)</f>
        <v>0</v>
      </c>
      <c r="D16" s="31">
        <f t="shared" si="18"/>
        <v>0</v>
      </c>
      <c r="E16" s="31">
        <f t="shared" si="18"/>
        <v>0</v>
      </c>
      <c r="F16" s="31">
        <f t="shared" si="18"/>
        <v>0</v>
      </c>
      <c r="G16" s="31">
        <f t="shared" si="18"/>
        <v>0</v>
      </c>
      <c r="H16" s="31">
        <f t="shared" si="18"/>
        <v>0</v>
      </c>
      <c r="I16" s="31">
        <f t="shared" si="18"/>
        <v>0</v>
      </c>
      <c r="J16" s="31">
        <f t="shared" si="18"/>
        <v>948176.93550814409</v>
      </c>
      <c r="K16" s="31">
        <f t="shared" si="18"/>
        <v>903658.46</v>
      </c>
      <c r="L16" s="31">
        <f t="shared" si="18"/>
        <v>0</v>
      </c>
      <c r="M16" s="31">
        <f t="shared" si="18"/>
        <v>1000117.8999999999</v>
      </c>
      <c r="N16" s="31">
        <f t="shared" si="18"/>
        <v>0</v>
      </c>
      <c r="O16" s="31">
        <f t="shared" si="18"/>
        <v>1130568.0699999998</v>
      </c>
      <c r="P16" s="31">
        <f t="shared" si="18"/>
        <v>0</v>
      </c>
      <c r="Q16" s="31">
        <f t="shared" si="18"/>
        <v>1088603.8599999999</v>
      </c>
      <c r="R16" s="31">
        <f t="shared" si="18"/>
        <v>1105885.23</v>
      </c>
      <c r="S16" s="32">
        <f t="shared" si="18"/>
        <v>1161400.4589633534</v>
      </c>
      <c r="T16" s="33"/>
      <c r="U16" s="33"/>
      <c r="V16" s="25" t="s">
        <v>33</v>
      </c>
      <c r="W16" s="20">
        <f t="shared" si="10"/>
        <v>0</v>
      </c>
      <c r="X16" s="20">
        <f t="shared" si="10"/>
        <v>0</v>
      </c>
      <c r="Y16" s="20">
        <f t="shared" si="0"/>
        <v>0</v>
      </c>
      <c r="Z16" s="20">
        <f t="shared" si="11"/>
        <v>0</v>
      </c>
      <c r="AA16" s="20">
        <f t="shared" si="11"/>
        <v>0</v>
      </c>
      <c r="AB16" s="20">
        <f t="shared" si="1"/>
        <v>0</v>
      </c>
      <c r="AC16" s="20">
        <f t="shared" si="12"/>
        <v>0</v>
      </c>
      <c r="AD16" s="20">
        <f t="shared" si="12"/>
        <v>0</v>
      </c>
      <c r="AE16" s="20">
        <f t="shared" si="2"/>
        <v>0</v>
      </c>
      <c r="AF16" s="26">
        <f t="shared" si="13"/>
        <v>0</v>
      </c>
      <c r="AG16" s="26">
        <f t="shared" si="13"/>
        <v>0</v>
      </c>
      <c r="AH16" s="20">
        <f t="shared" si="3"/>
        <v>0</v>
      </c>
      <c r="AI16" s="26">
        <f t="shared" si="14"/>
        <v>17800</v>
      </c>
      <c r="AJ16" s="26">
        <f t="shared" si="14"/>
        <v>578</v>
      </c>
      <c r="AK16" s="20">
        <f t="shared" si="4"/>
        <v>17222</v>
      </c>
      <c r="AL16" s="26">
        <f t="shared" si="15"/>
        <v>0</v>
      </c>
      <c r="AM16" s="26">
        <f t="shared" si="15"/>
        <v>757.65</v>
      </c>
      <c r="AN16" s="20">
        <f t="shared" si="5"/>
        <v>-757.65</v>
      </c>
      <c r="AO16" s="26">
        <f t="shared" si="16"/>
        <v>0</v>
      </c>
      <c r="AP16" s="26">
        <f t="shared" si="16"/>
        <v>9700</v>
      </c>
      <c r="AQ16" s="20">
        <f t="shared" si="6"/>
        <v>-9700</v>
      </c>
      <c r="AR16" s="26">
        <f t="shared" si="17"/>
        <v>0</v>
      </c>
      <c r="AS16" s="26">
        <f t="shared" si="17"/>
        <v>4161.21</v>
      </c>
      <c r="AT16" s="20">
        <f t="shared" si="7"/>
        <v>-4161.21</v>
      </c>
      <c r="AU16" s="26">
        <f>R20</f>
        <v>9477.34</v>
      </c>
      <c r="AV16" s="20">
        <f t="shared" si="9"/>
        <v>5316.13</v>
      </c>
      <c r="AW16" s="26">
        <f>S20</f>
        <v>11484.753561720259</v>
      </c>
      <c r="AX16" s="20">
        <f t="shared" si="8"/>
        <v>-6168.6235617202592</v>
      </c>
    </row>
    <row r="17" spans="1:50" ht="24" x14ac:dyDescent="0.2">
      <c r="A17" s="27" t="s">
        <v>34</v>
      </c>
      <c r="B17" s="34"/>
      <c r="C17" s="35" t="str">
        <f>IF(ISERROR((C16-B16)/B16), "", (C16-B16)/B16)</f>
        <v/>
      </c>
      <c r="D17" s="34"/>
      <c r="E17" s="35" t="str">
        <f>IF(ISERROR((E16-D16)/D16), "", (E16-D16)/D16)</f>
        <v/>
      </c>
      <c r="F17" s="34"/>
      <c r="G17" s="35" t="str">
        <f>IF(ISERROR((G16-F16)/F16), "", (G16-F16)/F16)</f>
        <v/>
      </c>
      <c r="H17" s="34"/>
      <c r="I17" s="35" t="str">
        <f>IF(ISERROR((I16-H16)/H16), "", (I16-H16)/H16)</f>
        <v/>
      </c>
      <c r="J17" s="34"/>
      <c r="K17" s="35">
        <f>IF(ISERROR((K16-J16)/J16), "", (K16-J16)/J16)</f>
        <v>-4.6951654106926699E-2</v>
      </c>
      <c r="L17" s="34"/>
      <c r="M17" s="35" t="str">
        <f>IF(ISERROR((M16-L16)/L16), "", (M16-L16)/L16)</f>
        <v/>
      </c>
      <c r="N17" s="34"/>
      <c r="O17" s="35" t="str">
        <f>IF(ISERROR((O16-N16)/N16), "", (O16-N16)/N16)</f>
        <v/>
      </c>
      <c r="P17" s="34"/>
      <c r="Q17" s="35" t="str">
        <f>IF(ISERROR((Q16-P16)/P16), "", (Q16-P16)/P16)</f>
        <v/>
      </c>
      <c r="R17" s="35" t="str">
        <f>IF(ISERROR((R16-#REF!)/#REF!), "", (R16-#REF!)/#REF!)</f>
        <v/>
      </c>
      <c r="S17" s="36">
        <f>IF(ISERROR((S16-R16)/R16), "", (S16-R16)/R16)</f>
        <v>5.0199810484270087E-2</v>
      </c>
      <c r="T17" s="37"/>
      <c r="U17" s="37"/>
      <c r="V17" s="25" t="s">
        <v>35</v>
      </c>
      <c r="W17" s="20">
        <f t="shared" si="10"/>
        <v>0</v>
      </c>
      <c r="X17" s="20">
        <f t="shared" si="10"/>
        <v>0</v>
      </c>
      <c r="Y17" s="20">
        <f t="shared" si="0"/>
        <v>0</v>
      </c>
      <c r="Z17" s="20">
        <f t="shared" si="11"/>
        <v>0</v>
      </c>
      <c r="AA17" s="20">
        <f t="shared" si="11"/>
        <v>0</v>
      </c>
      <c r="AB17" s="20">
        <f t="shared" si="1"/>
        <v>0</v>
      </c>
      <c r="AC17" s="20">
        <f t="shared" si="12"/>
        <v>0</v>
      </c>
      <c r="AD17" s="20">
        <f t="shared" si="12"/>
        <v>0</v>
      </c>
      <c r="AE17" s="20">
        <f t="shared" si="2"/>
        <v>0</v>
      </c>
      <c r="AF17" s="26">
        <f t="shared" si="13"/>
        <v>0</v>
      </c>
      <c r="AG17" s="26">
        <f t="shared" si="13"/>
        <v>0</v>
      </c>
      <c r="AH17" s="20">
        <f t="shared" si="3"/>
        <v>0</v>
      </c>
      <c r="AI17" s="26">
        <f t="shared" si="14"/>
        <v>655025.86807409697</v>
      </c>
      <c r="AJ17" s="26">
        <f t="shared" si="14"/>
        <v>744410.69</v>
      </c>
      <c r="AK17" s="20">
        <f t="shared" si="4"/>
        <v>-89384.821925902972</v>
      </c>
      <c r="AL17" s="26">
        <f t="shared" si="15"/>
        <v>0</v>
      </c>
      <c r="AM17" s="26">
        <f t="shared" si="15"/>
        <v>721093.65999999992</v>
      </c>
      <c r="AN17" s="20">
        <f t="shared" si="5"/>
        <v>-721093.65999999992</v>
      </c>
      <c r="AO17" s="26">
        <f t="shared" si="16"/>
        <v>0</v>
      </c>
      <c r="AP17" s="26">
        <f t="shared" si="16"/>
        <v>844735.11</v>
      </c>
      <c r="AQ17" s="20">
        <f t="shared" si="6"/>
        <v>-844735.11</v>
      </c>
      <c r="AR17" s="26">
        <f t="shared" si="17"/>
        <v>0</v>
      </c>
      <c r="AS17" s="26">
        <f t="shared" si="17"/>
        <v>929201.6399999999</v>
      </c>
      <c r="AT17" s="20">
        <f t="shared" si="7"/>
        <v>-929201.6399999999</v>
      </c>
      <c r="AU17" s="26">
        <f>R21</f>
        <v>1157505.26</v>
      </c>
      <c r="AV17" s="20">
        <f t="shared" si="9"/>
        <v>228303.62000000011</v>
      </c>
      <c r="AW17" s="26">
        <f>S21</f>
        <v>1159012.4956218726</v>
      </c>
      <c r="AX17" s="20">
        <f t="shared" si="8"/>
        <v>-930708.87562187249</v>
      </c>
    </row>
    <row r="18" spans="1:50" ht="24.75" thickBot="1" x14ac:dyDescent="0.25">
      <c r="A18" s="27" t="s">
        <v>36</v>
      </c>
      <c r="B18" s="38"/>
      <c r="C18" s="39"/>
      <c r="D18" s="39"/>
      <c r="E18" s="39"/>
      <c r="F18" s="39"/>
      <c r="G18" s="39"/>
      <c r="H18" s="39"/>
      <c r="I18" s="39"/>
      <c r="J18" s="39"/>
      <c r="K18" s="39"/>
      <c r="L18" s="39"/>
      <c r="M18" s="39"/>
      <c r="N18" s="39"/>
      <c r="O18" s="39"/>
      <c r="P18" s="39"/>
      <c r="Q18" s="39"/>
      <c r="R18" s="40"/>
      <c r="S18" s="36" t="str">
        <f>IF(ISERROR((S16-C16)/C16), "", (S16-C16)/C16)</f>
        <v/>
      </c>
      <c r="T18" s="37"/>
      <c r="U18" s="37"/>
      <c r="V18" s="25" t="s">
        <v>37</v>
      </c>
      <c r="W18" s="20">
        <f t="shared" si="10"/>
        <v>0</v>
      </c>
      <c r="X18" s="20">
        <f t="shared" si="10"/>
        <v>0</v>
      </c>
      <c r="Y18" s="20">
        <f t="shared" si="0"/>
        <v>0</v>
      </c>
      <c r="Z18" s="20">
        <f t="shared" si="11"/>
        <v>0</v>
      </c>
      <c r="AA18" s="20">
        <f t="shared" si="11"/>
        <v>0</v>
      </c>
      <c r="AB18" s="20">
        <f t="shared" si="1"/>
        <v>0</v>
      </c>
      <c r="AC18" s="20">
        <f t="shared" si="12"/>
        <v>0</v>
      </c>
      <c r="AD18" s="20">
        <f t="shared" si="12"/>
        <v>0</v>
      </c>
      <c r="AE18" s="20">
        <f t="shared" si="2"/>
        <v>0</v>
      </c>
      <c r="AF18" s="26">
        <f t="shared" si="13"/>
        <v>0</v>
      </c>
      <c r="AG18" s="26">
        <f t="shared" si="13"/>
        <v>0</v>
      </c>
      <c r="AH18" s="20">
        <f t="shared" si="3"/>
        <v>0</v>
      </c>
      <c r="AI18" s="26">
        <f t="shared" si="14"/>
        <v>1207085.4189010127</v>
      </c>
      <c r="AJ18" s="26">
        <f t="shared" si="14"/>
        <v>1304544.5499999998</v>
      </c>
      <c r="AK18" s="20">
        <f t="shared" si="4"/>
        <v>-97459.131098987069</v>
      </c>
      <c r="AL18" s="26">
        <f t="shared" si="15"/>
        <v>0</v>
      </c>
      <c r="AM18" s="26">
        <f t="shared" si="15"/>
        <v>1323000.99</v>
      </c>
      <c r="AN18" s="20">
        <f t="shared" si="5"/>
        <v>-1323000.99</v>
      </c>
      <c r="AO18" s="26">
        <f t="shared" si="16"/>
        <v>0</v>
      </c>
      <c r="AP18" s="26">
        <f t="shared" si="16"/>
        <v>1401622.76</v>
      </c>
      <c r="AQ18" s="20">
        <f t="shared" si="6"/>
        <v>-1401622.76</v>
      </c>
      <c r="AR18" s="26">
        <f t="shared" si="17"/>
        <v>0</v>
      </c>
      <c r="AS18" s="26">
        <f t="shared" si="17"/>
        <v>1506516.77</v>
      </c>
      <c r="AT18" s="20">
        <f t="shared" si="7"/>
        <v>-1506516.77</v>
      </c>
      <c r="AU18" s="26">
        <f>R22</f>
        <v>1732650.12</v>
      </c>
      <c r="AV18" s="20">
        <f t="shared" si="9"/>
        <v>226133.35000000009</v>
      </c>
      <c r="AW18" s="26">
        <f>S22</f>
        <v>1803364.6696441616</v>
      </c>
      <c r="AX18" s="20">
        <f t="shared" si="8"/>
        <v>-1577231.3196441615</v>
      </c>
    </row>
    <row r="19" spans="1:50" ht="72.400000000000006" customHeight="1" thickBot="1" x14ac:dyDescent="0.25">
      <c r="A19" s="27" t="s">
        <v>38</v>
      </c>
      <c r="B19" s="28"/>
      <c r="C19" s="28"/>
      <c r="D19" s="29"/>
      <c r="E19" s="28"/>
      <c r="F19" s="29"/>
      <c r="G19" s="28"/>
      <c r="H19" s="29"/>
      <c r="I19" s="28"/>
      <c r="J19" s="22">
        <v>534259.55082691566</v>
      </c>
      <c r="K19" s="22">
        <v>559555.86</v>
      </c>
      <c r="L19" s="29"/>
      <c r="M19" s="22">
        <v>601149.68000000005</v>
      </c>
      <c r="N19" s="29"/>
      <c r="O19" s="22">
        <v>547187.65</v>
      </c>
      <c r="P19" s="29"/>
      <c r="Q19" s="22">
        <v>573153.92000000004</v>
      </c>
      <c r="R19" s="22">
        <v>565667.52</v>
      </c>
      <c r="S19" s="22">
        <v>632867.42046056862</v>
      </c>
      <c r="T19" s="24"/>
      <c r="U19" s="24"/>
      <c r="V19" s="25" t="s">
        <v>39</v>
      </c>
      <c r="W19" s="20"/>
      <c r="X19" s="41"/>
      <c r="Y19" s="41"/>
      <c r="Z19" s="20"/>
      <c r="AA19" s="20"/>
      <c r="AB19" s="41"/>
      <c r="AC19" s="20"/>
      <c r="AD19" s="20"/>
      <c r="AE19" s="41"/>
      <c r="AF19" s="41"/>
      <c r="AG19" s="41"/>
      <c r="AH19" s="41"/>
      <c r="AI19" s="41"/>
      <c r="AJ19" s="41"/>
      <c r="AK19" s="41"/>
      <c r="AL19" s="41"/>
      <c r="AM19" s="41"/>
      <c r="AN19" s="41"/>
      <c r="AO19" s="41"/>
      <c r="AP19" s="41"/>
      <c r="AQ19" s="41"/>
      <c r="AR19" s="41"/>
      <c r="AS19" s="41"/>
      <c r="AT19" s="41"/>
      <c r="AU19" s="41"/>
      <c r="AV19" s="41"/>
      <c r="AW19" s="41"/>
      <c r="AX19" s="41"/>
    </row>
    <row r="20" spans="1:50" ht="24.75" thickBot="1" x14ac:dyDescent="0.25">
      <c r="A20" s="27" t="s">
        <v>40</v>
      </c>
      <c r="B20" s="28"/>
      <c r="C20" s="28"/>
      <c r="D20" s="29"/>
      <c r="E20" s="28"/>
      <c r="F20" s="29"/>
      <c r="G20" s="28"/>
      <c r="H20" s="29"/>
      <c r="I20" s="28"/>
      <c r="J20" s="22">
        <v>17800</v>
      </c>
      <c r="K20" s="22">
        <v>578</v>
      </c>
      <c r="L20" s="29"/>
      <c r="M20" s="22">
        <v>757.65</v>
      </c>
      <c r="N20" s="29"/>
      <c r="O20" s="22">
        <v>9700</v>
      </c>
      <c r="P20" s="29"/>
      <c r="Q20" s="22">
        <v>4161.21</v>
      </c>
      <c r="R20" s="22">
        <v>9477.34</v>
      </c>
      <c r="S20" s="22">
        <v>11484.753561720259</v>
      </c>
      <c r="T20" s="24"/>
      <c r="U20" s="24"/>
      <c r="V20" s="25" t="s">
        <v>41</v>
      </c>
      <c r="W20" s="20">
        <f t="shared" ref="W20:AX20" si="19">W18-W19</f>
        <v>0</v>
      </c>
      <c r="X20" s="20">
        <f t="shared" si="19"/>
        <v>0</v>
      </c>
      <c r="Y20" s="20">
        <f t="shared" si="19"/>
        <v>0</v>
      </c>
      <c r="Z20" s="20">
        <f t="shared" si="19"/>
        <v>0</v>
      </c>
      <c r="AA20" s="20">
        <f t="shared" si="19"/>
        <v>0</v>
      </c>
      <c r="AB20" s="20">
        <f t="shared" si="19"/>
        <v>0</v>
      </c>
      <c r="AC20" s="20">
        <f t="shared" si="19"/>
        <v>0</v>
      </c>
      <c r="AD20" s="20">
        <f t="shared" si="19"/>
        <v>0</v>
      </c>
      <c r="AE20" s="20">
        <f t="shared" si="19"/>
        <v>0</v>
      </c>
      <c r="AF20" s="20">
        <f t="shared" si="19"/>
        <v>0</v>
      </c>
      <c r="AG20" s="20">
        <f t="shared" si="19"/>
        <v>0</v>
      </c>
      <c r="AH20" s="20">
        <f t="shared" si="19"/>
        <v>0</v>
      </c>
      <c r="AI20" s="20">
        <f t="shared" si="19"/>
        <v>1207085.4189010127</v>
      </c>
      <c r="AJ20" s="20">
        <f t="shared" si="19"/>
        <v>1304544.5499999998</v>
      </c>
      <c r="AK20" s="20">
        <f t="shared" si="19"/>
        <v>-97459.131098987069</v>
      </c>
      <c r="AL20" s="20">
        <f t="shared" si="19"/>
        <v>0</v>
      </c>
      <c r="AM20" s="20">
        <f t="shared" si="19"/>
        <v>1323000.99</v>
      </c>
      <c r="AN20" s="20">
        <f t="shared" si="19"/>
        <v>-1323000.99</v>
      </c>
      <c r="AO20" s="20">
        <f t="shared" si="19"/>
        <v>0</v>
      </c>
      <c r="AP20" s="20">
        <f t="shared" si="19"/>
        <v>1401622.76</v>
      </c>
      <c r="AQ20" s="20">
        <f>AQ18-AQ19</f>
        <v>-1401622.76</v>
      </c>
      <c r="AR20" s="20">
        <f>AR18-AR19</f>
        <v>0</v>
      </c>
      <c r="AS20" s="20">
        <f t="shared" si="19"/>
        <v>1506516.77</v>
      </c>
      <c r="AT20" s="20">
        <f t="shared" si="19"/>
        <v>-1506516.77</v>
      </c>
      <c r="AU20" s="20">
        <f t="shared" si="19"/>
        <v>1732650.12</v>
      </c>
      <c r="AV20" s="20">
        <f t="shared" si="19"/>
        <v>226133.35000000009</v>
      </c>
      <c r="AW20" s="20">
        <f t="shared" si="19"/>
        <v>1803364.6696441616</v>
      </c>
      <c r="AX20" s="20">
        <f t="shared" si="19"/>
        <v>-1577231.3196441615</v>
      </c>
    </row>
    <row r="21" spans="1:50" ht="24" x14ac:dyDescent="0.2">
      <c r="A21" s="27" t="s">
        <v>42</v>
      </c>
      <c r="B21" s="28"/>
      <c r="C21" s="28"/>
      <c r="D21" s="29"/>
      <c r="E21" s="28"/>
      <c r="F21" s="29"/>
      <c r="G21" s="28"/>
      <c r="H21" s="29"/>
      <c r="I21" s="28"/>
      <c r="J21" s="22">
        <v>655025.86807409697</v>
      </c>
      <c r="K21" s="22">
        <v>744410.69</v>
      </c>
      <c r="L21" s="29"/>
      <c r="M21" s="22">
        <v>721093.65999999992</v>
      </c>
      <c r="N21" s="29"/>
      <c r="O21" s="22">
        <v>844735.11</v>
      </c>
      <c r="P21" s="29"/>
      <c r="Q21" s="22">
        <v>929201.6399999999</v>
      </c>
      <c r="R21" s="22">
        <v>1157505.26</v>
      </c>
      <c r="S21" s="22">
        <v>1159012.4956218726</v>
      </c>
      <c r="T21" s="24"/>
      <c r="U21" s="24"/>
      <c r="V21" s="25" t="s">
        <v>43</v>
      </c>
      <c r="W21" s="42"/>
      <c r="X21" s="42"/>
      <c r="Y21" s="43"/>
      <c r="Z21" s="44"/>
      <c r="AA21" s="45">
        <f>AA20-X20</f>
        <v>0</v>
      </c>
      <c r="AB21" s="44"/>
      <c r="AC21" s="44"/>
      <c r="AD21" s="45">
        <f>AD20-AA20</f>
        <v>0</v>
      </c>
      <c r="AE21" s="44"/>
      <c r="AF21" s="44"/>
      <c r="AG21" s="45">
        <f>AG20-AD20</f>
        <v>0</v>
      </c>
      <c r="AH21" s="44"/>
      <c r="AI21" s="44"/>
      <c r="AJ21" s="45">
        <f>AJ20-AG20</f>
        <v>1304544.5499999998</v>
      </c>
      <c r="AK21" s="44"/>
      <c r="AL21" s="44"/>
      <c r="AM21" s="45">
        <f>AM20-AJ20</f>
        <v>18456.440000000177</v>
      </c>
      <c r="AN21" s="44"/>
      <c r="AO21" s="44"/>
      <c r="AP21" s="45">
        <f>AP20-AM20</f>
        <v>78621.770000000019</v>
      </c>
      <c r="AQ21" s="44"/>
      <c r="AR21" s="44"/>
      <c r="AS21" s="45">
        <f>AS20-AP20</f>
        <v>104894.01000000001</v>
      </c>
      <c r="AT21" s="44"/>
      <c r="AU21" s="45">
        <f>AU20-AS20</f>
        <v>226133.35000000009</v>
      </c>
      <c r="AV21" s="44"/>
      <c r="AW21" s="45">
        <f>AW20-AU20</f>
        <v>70714.549644161481</v>
      </c>
      <c r="AX21" s="46"/>
    </row>
    <row r="22" spans="1:50" ht="24" x14ac:dyDescent="0.2">
      <c r="A22" s="30" t="s">
        <v>32</v>
      </c>
      <c r="B22" s="31">
        <f>SUM(B19:B21)</f>
        <v>0</v>
      </c>
      <c r="C22" s="31">
        <f t="shared" ref="C22:P22" si="20">SUM(C19:C21)</f>
        <v>0</v>
      </c>
      <c r="D22" s="31">
        <f t="shared" si="20"/>
        <v>0</v>
      </c>
      <c r="E22" s="31">
        <f t="shared" si="20"/>
        <v>0</v>
      </c>
      <c r="F22" s="31">
        <f t="shared" si="20"/>
        <v>0</v>
      </c>
      <c r="G22" s="31">
        <f t="shared" si="20"/>
        <v>0</v>
      </c>
      <c r="H22" s="31">
        <f t="shared" si="20"/>
        <v>0</v>
      </c>
      <c r="I22" s="31">
        <f t="shared" si="20"/>
        <v>0</v>
      </c>
      <c r="J22" s="31">
        <f t="shared" si="20"/>
        <v>1207085.4189010127</v>
      </c>
      <c r="K22" s="31">
        <f t="shared" si="20"/>
        <v>1304544.5499999998</v>
      </c>
      <c r="L22" s="31">
        <f t="shared" si="20"/>
        <v>0</v>
      </c>
      <c r="M22" s="31">
        <f t="shared" si="20"/>
        <v>1323000.99</v>
      </c>
      <c r="N22" s="31">
        <f t="shared" si="20"/>
        <v>0</v>
      </c>
      <c r="O22" s="31">
        <f t="shared" si="20"/>
        <v>1401622.76</v>
      </c>
      <c r="P22" s="31">
        <f t="shared" si="20"/>
        <v>0</v>
      </c>
      <c r="Q22" s="31">
        <f>SUM(Q19:Q21)</f>
        <v>1506516.77</v>
      </c>
      <c r="R22" s="31">
        <f>SUM(R19:R21)</f>
        <v>1732650.12</v>
      </c>
      <c r="S22" s="32">
        <f>SUM(S19:S21)</f>
        <v>1803364.6696441616</v>
      </c>
      <c r="T22" s="33"/>
      <c r="U22" s="33"/>
      <c r="V22" s="25" t="s">
        <v>44</v>
      </c>
      <c r="W22" s="47"/>
      <c r="X22" s="47"/>
      <c r="Y22" s="48"/>
      <c r="Z22" s="49"/>
      <c r="AA22" s="50" t="str">
        <f>IF(ISERROR(AA21/X20), "", AA21/X20)</f>
        <v/>
      </c>
      <c r="AB22" s="49"/>
      <c r="AC22" s="49"/>
      <c r="AD22" s="50" t="str">
        <f>IF(ISERROR(AD21/AA20), "", AD21/AA20)</f>
        <v/>
      </c>
      <c r="AE22" s="49"/>
      <c r="AF22" s="49"/>
      <c r="AG22" s="50" t="str">
        <f>IF(ISERROR(AG21/AD20), "", AG21/AD20)</f>
        <v/>
      </c>
      <c r="AH22" s="49"/>
      <c r="AI22" s="49"/>
      <c r="AJ22" s="50" t="str">
        <f>IF(ISERROR(AJ21/AG20), "", AJ21/AG20)</f>
        <v/>
      </c>
      <c r="AK22" s="49"/>
      <c r="AL22" s="49"/>
      <c r="AM22" s="50">
        <f>IF(ISERROR(AM21/AJ20), "", AM21/AJ20)</f>
        <v>1.4147803538024193E-2</v>
      </c>
      <c r="AN22" s="49"/>
      <c r="AO22" s="49"/>
      <c r="AP22" s="50">
        <f>IF(ISERROR(AP21/AM20), "", AP21/AM20)</f>
        <v>5.9426841396392316E-2</v>
      </c>
      <c r="AQ22" s="49"/>
      <c r="AR22" s="49"/>
      <c r="AS22" s="50">
        <f>IF(ISERROR(AS21/AP20), "", AS21/AP20)</f>
        <v>7.4837547586627376E-2</v>
      </c>
      <c r="AT22" s="49"/>
      <c r="AU22" s="50">
        <f>IF(ISERROR(AU21/AS20), "", AU21/AS20)</f>
        <v>0.15010344026903868</v>
      </c>
      <c r="AV22" s="49"/>
      <c r="AW22" s="50">
        <f>IF(ISERROR(AW21/AU20), "", AW21/AU20)</f>
        <v>4.081294245612696E-2</v>
      </c>
      <c r="AX22" s="51"/>
    </row>
    <row r="23" spans="1:50" ht="36" x14ac:dyDescent="0.2">
      <c r="A23" s="27" t="s">
        <v>34</v>
      </c>
      <c r="B23" s="34"/>
      <c r="C23" s="52" t="str">
        <f>IF(ISERROR((C22-B22)/B22), "", (C22-B22)/B22)</f>
        <v/>
      </c>
      <c r="D23" s="34"/>
      <c r="E23" s="52" t="str">
        <f>IF(ISERROR((E22-D22)/D22), "", (E22-D22)/D22)</f>
        <v/>
      </c>
      <c r="F23" s="34"/>
      <c r="G23" s="52" t="str">
        <f>IF(ISERROR((G22-F22)/F22), "", (G22-F22)/F22)</f>
        <v/>
      </c>
      <c r="H23" s="34"/>
      <c r="I23" s="52" t="str">
        <f>IF(ISERROR((I22-H22)/H22), "", (I22-H22)/H22)</f>
        <v/>
      </c>
      <c r="J23" s="34"/>
      <c r="K23" s="52">
        <f>IF(ISERROR((K22-J22)/J22), "", (K22-J22)/J22)</f>
        <v>8.0739216606326367E-2</v>
      </c>
      <c r="L23" s="34"/>
      <c r="M23" s="52" t="str">
        <f>IF(ISERROR((M22-L22)/L22), "", (M22-L22)/L22)</f>
        <v/>
      </c>
      <c r="N23" s="34"/>
      <c r="O23" s="52" t="str">
        <f>IF(ISERROR((O22-N22)/N22), "", (O22-N22)/N22)</f>
        <v/>
      </c>
      <c r="P23" s="34"/>
      <c r="Q23" s="35" t="str">
        <f>IF(ISERROR((Q22-P22)/P22), "", (Q22-P22)/P22)</f>
        <v/>
      </c>
      <c r="R23" s="35" t="str">
        <f>IF(ISERROR((R22-#REF!)/#REF!), "", (R22-#REF!)/#REF!)</f>
        <v/>
      </c>
      <c r="S23" s="36">
        <f>IF(ISERROR((S22-R22)/R22), "", (S22-R22)/R22)</f>
        <v>4.081294245612696E-2</v>
      </c>
      <c r="T23" s="37"/>
      <c r="U23" s="37"/>
      <c r="V23" s="25" t="s">
        <v>45</v>
      </c>
      <c r="W23" s="53"/>
      <c r="X23" s="53"/>
      <c r="Y23" s="54"/>
      <c r="Z23" s="55"/>
      <c r="AA23" s="55"/>
      <c r="AB23" s="55"/>
      <c r="AC23" s="55"/>
      <c r="AD23" s="55"/>
      <c r="AE23" s="55"/>
      <c r="AF23" s="55"/>
      <c r="AG23" s="55"/>
      <c r="AH23" s="55"/>
      <c r="AI23" s="55"/>
      <c r="AJ23" s="55"/>
      <c r="AK23" s="55"/>
      <c r="AL23" s="55"/>
      <c r="AM23" s="55"/>
      <c r="AN23" s="55"/>
      <c r="AO23" s="55"/>
      <c r="AP23" s="55"/>
      <c r="AQ23" s="55"/>
      <c r="AR23" s="55"/>
      <c r="AS23" s="56">
        <f>IF(ISERROR((AW20-AS20)/AS20), "", (AW20-AS20)/AS20)</f>
        <v>0.19704254579533262</v>
      </c>
      <c r="AT23" s="55"/>
      <c r="AU23" s="55"/>
      <c r="AV23" s="55"/>
      <c r="AW23" s="55"/>
      <c r="AX23" s="57"/>
    </row>
    <row r="24" spans="1:50" ht="36" x14ac:dyDescent="0.2">
      <c r="A24" s="27" t="s">
        <v>36</v>
      </c>
      <c r="B24" s="38"/>
      <c r="C24" s="39"/>
      <c r="D24" s="39"/>
      <c r="E24" s="39"/>
      <c r="F24" s="39"/>
      <c r="G24" s="39"/>
      <c r="H24" s="39"/>
      <c r="I24" s="39"/>
      <c r="J24" s="39"/>
      <c r="K24" s="39"/>
      <c r="L24" s="39"/>
      <c r="M24" s="39"/>
      <c r="N24" s="39"/>
      <c r="O24" s="39"/>
      <c r="P24" s="39"/>
      <c r="Q24" s="39"/>
      <c r="R24" s="40"/>
      <c r="S24" s="36" t="str">
        <f>IF(ISERROR((S22-C22)/C22), "", (S22-C22)/C22)</f>
        <v/>
      </c>
      <c r="T24" s="37"/>
      <c r="U24" s="37"/>
      <c r="V24" s="25" t="s">
        <v>46</v>
      </c>
      <c r="W24" s="54"/>
      <c r="X24" s="54"/>
      <c r="Y24" s="54"/>
      <c r="Z24" s="55"/>
      <c r="AA24" s="55"/>
      <c r="AB24" s="55"/>
      <c r="AC24" s="55"/>
      <c r="AD24" s="55"/>
      <c r="AE24" s="55"/>
      <c r="AF24" s="55"/>
      <c r="AG24" s="55"/>
      <c r="AH24" s="55"/>
      <c r="AI24" s="55"/>
      <c r="AJ24" s="55"/>
      <c r="AK24" s="55"/>
      <c r="AL24" s="55"/>
      <c r="AM24" s="55"/>
      <c r="AN24" s="55"/>
      <c r="AO24" s="55"/>
      <c r="AP24" s="55"/>
      <c r="AQ24" s="55"/>
      <c r="AR24" s="55"/>
      <c r="AS24" s="56">
        <f>AVERAGE(AA22:AW22)</f>
        <v>6.7865715049241909E-2</v>
      </c>
      <c r="AT24" s="55"/>
      <c r="AU24" s="55"/>
      <c r="AV24" s="55"/>
      <c r="AW24" s="55"/>
      <c r="AX24" s="57"/>
    </row>
    <row r="25" spans="1:50" ht="36" x14ac:dyDescent="0.2">
      <c r="A25" s="30" t="s">
        <v>47</v>
      </c>
      <c r="B25" s="31">
        <f>SUM(B22,B16)</f>
        <v>0</v>
      </c>
      <c r="C25" s="31">
        <f t="shared" ref="C25:P25" si="21">SUM(C22,C16)</f>
        <v>0</v>
      </c>
      <c r="D25" s="31">
        <f t="shared" si="21"/>
        <v>0</v>
      </c>
      <c r="E25" s="31">
        <f t="shared" si="21"/>
        <v>0</v>
      </c>
      <c r="F25" s="31">
        <f t="shared" si="21"/>
        <v>0</v>
      </c>
      <c r="G25" s="31">
        <f t="shared" si="21"/>
        <v>0</v>
      </c>
      <c r="H25" s="31">
        <f t="shared" si="21"/>
        <v>0</v>
      </c>
      <c r="I25" s="31">
        <f t="shared" si="21"/>
        <v>0</v>
      </c>
      <c r="J25" s="31">
        <f t="shared" si="21"/>
        <v>2155262.3544091568</v>
      </c>
      <c r="K25" s="31">
        <f t="shared" si="21"/>
        <v>2208203.0099999998</v>
      </c>
      <c r="L25" s="31">
        <f t="shared" si="21"/>
        <v>0</v>
      </c>
      <c r="M25" s="31">
        <f>SUM(M22,M16)</f>
        <v>2323118.8899999997</v>
      </c>
      <c r="N25" s="31">
        <f t="shared" si="21"/>
        <v>0</v>
      </c>
      <c r="O25" s="31">
        <f t="shared" si="21"/>
        <v>2532190.83</v>
      </c>
      <c r="P25" s="31">
        <f t="shared" si="21"/>
        <v>0</v>
      </c>
      <c r="Q25" s="31">
        <f>SUM(Q22,Q16)</f>
        <v>2595120.63</v>
      </c>
      <c r="R25" s="31">
        <f>SUM(R22,R16)</f>
        <v>2838535.35</v>
      </c>
      <c r="S25" s="32">
        <f>SUM(S22,S16)</f>
        <v>2964765.1286075152</v>
      </c>
      <c r="T25" s="33"/>
      <c r="U25" s="33"/>
      <c r="V25" s="25" t="s">
        <v>48</v>
      </c>
      <c r="W25" s="54"/>
      <c r="X25" s="54"/>
      <c r="Y25" s="54"/>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8" t="e">
        <f>IF((AW20-AO20)=0, "", (AW20/AO20)^(1/(L2-L1-1))-1)</f>
        <v>#DIV/0!</v>
      </c>
    </row>
    <row r="26" spans="1:50" ht="13.5" thickBot="1" x14ac:dyDescent="0.25">
      <c r="A26" s="59" t="s">
        <v>34</v>
      </c>
      <c r="B26" s="34"/>
      <c r="C26" s="52" t="str">
        <f>IF(ISERROR((C25-B25)/B25), "", (C25-B25)/B25)</f>
        <v/>
      </c>
      <c r="D26" s="34"/>
      <c r="E26" s="52" t="str">
        <f>IF(ISERROR((E25-D25)/D25), "", (E25-D25)/D25)</f>
        <v/>
      </c>
      <c r="F26" s="34"/>
      <c r="G26" s="52" t="str">
        <f>IF(ISERROR((G25-F25)/F25), "", (G25-F25)/F25)</f>
        <v/>
      </c>
      <c r="H26" s="34"/>
      <c r="I26" s="52" t="str">
        <f>IF(ISERROR((I25-H25)/H25), "", (I25-H25)/H25)</f>
        <v/>
      </c>
      <c r="J26" s="34"/>
      <c r="K26" s="52">
        <f>IF(ISERROR((K25-J25)/J25), "", (K25-J25)/J25)</f>
        <v>2.4563439101758951E-2</v>
      </c>
      <c r="L26" s="34"/>
      <c r="M26" s="52" t="str">
        <f>IF(ISERROR((M25-L25)/L25), "", (M25-L25)/L25)</f>
        <v/>
      </c>
      <c r="N26" s="34"/>
      <c r="O26" s="52" t="str">
        <f>IF(ISERROR((O25-N25)/N25), "", (O25-N25)/N25)</f>
        <v/>
      </c>
      <c r="P26" s="34"/>
      <c r="Q26" s="35" t="str">
        <f>IF(ISERROR((Q25-P25)/P25), "", (Q25-P25)/P25)</f>
        <v/>
      </c>
      <c r="R26" s="35" t="str">
        <f>IF(ISERROR((R25-#REF!)/#REF!), "", (R25-#REF!)/#REF!)</f>
        <v/>
      </c>
      <c r="S26" s="60">
        <f>IF(ISERROR((S25-R25)/R25), "", (S25-R25)/R25)</f>
        <v>4.4470039313590067E-2</v>
      </c>
      <c r="T26" s="37"/>
      <c r="U26" s="37"/>
      <c r="V26" s="61" t="e">
        <f>"Compound Growth Rate                                                            (" &amp;#REF! &amp; " vs. " &amp; '[4]LDC Info'!E28 &amp; " Actuals)"</f>
        <v>#REF!</v>
      </c>
      <c r="W26" s="62"/>
      <c r="X26" s="62"/>
      <c r="Y26" s="62"/>
      <c r="Z26" s="63"/>
      <c r="AA26" s="63"/>
      <c r="AB26" s="63"/>
      <c r="AC26" s="63"/>
      <c r="AD26" s="63"/>
      <c r="AE26" s="63"/>
      <c r="AF26" s="63"/>
      <c r="AG26" s="63"/>
      <c r="AH26" s="63"/>
      <c r="AI26" s="63"/>
      <c r="AJ26" s="63"/>
      <c r="AK26" s="63"/>
      <c r="AL26" s="63"/>
      <c r="AM26" s="63"/>
      <c r="AN26" s="63"/>
      <c r="AO26" s="63"/>
      <c r="AP26" s="63"/>
      <c r="AQ26" s="63"/>
      <c r="AR26" s="63"/>
      <c r="AS26" s="64" t="str">
        <f>IF(ISERROR((AS20/AO20)^(1/(L2-L1-3)) - 1), "", (AS20/AO20)^(1/(L2-L1-3)) - 1)</f>
        <v/>
      </c>
      <c r="AT26" s="63"/>
      <c r="AU26" s="63"/>
      <c r="AV26" s="63"/>
      <c r="AW26" s="63"/>
      <c r="AX26" s="65"/>
    </row>
    <row r="27" spans="1:50" x14ac:dyDescent="0.2">
      <c r="A27" s="66"/>
      <c r="B27" s="67"/>
      <c r="C27" s="67"/>
      <c r="D27" s="67"/>
      <c r="E27" s="67"/>
      <c r="F27" s="67"/>
      <c r="G27" s="67"/>
      <c r="H27" s="67"/>
      <c r="I27" s="67"/>
      <c r="J27" s="67"/>
      <c r="K27" s="67"/>
      <c r="L27" s="67"/>
      <c r="M27" s="67"/>
      <c r="N27" s="67"/>
      <c r="O27" s="67"/>
      <c r="P27" s="67"/>
      <c r="Q27" s="68"/>
      <c r="R27" s="68"/>
      <c r="S27" s="67"/>
      <c r="T27" s="69"/>
      <c r="U27" s="69"/>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row>
    <row r="28" spans="1:50" ht="13.5" thickBot="1" x14ac:dyDescent="0.25">
      <c r="A28" s="66"/>
      <c r="B28" s="66"/>
      <c r="C28" s="66"/>
      <c r="D28" s="66"/>
      <c r="E28" s="66"/>
      <c r="F28" s="66"/>
      <c r="G28" s="66"/>
      <c r="H28" s="66"/>
      <c r="I28" s="66"/>
      <c r="J28" s="66"/>
      <c r="K28" s="66"/>
      <c r="L28" s="66"/>
      <c r="M28" s="66"/>
      <c r="N28" s="66"/>
      <c r="O28" s="66"/>
      <c r="P28" s="66"/>
      <c r="Q28" s="66"/>
      <c r="R28" s="66"/>
      <c r="S28" s="66"/>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row>
    <row r="29" spans="1:50" ht="64.5" thickBot="1" x14ac:dyDescent="0.25">
      <c r="T29" s="70"/>
      <c r="U29" s="70"/>
      <c r="V29" s="71"/>
      <c r="W29" s="72" t="str">
        <f>B12</f>
        <v>2010  Board Approved</v>
      </c>
      <c r="X29" s="72" t="str">
        <f>C12</f>
        <v>2010  Actuals</v>
      </c>
      <c r="Y29" s="11" t="s">
        <v>49</v>
      </c>
      <c r="Z29" s="11" t="s">
        <v>50</v>
      </c>
      <c r="AA29" s="11" t="s">
        <v>51</v>
      </c>
      <c r="AB29" s="11" t="s">
        <v>52</v>
      </c>
      <c r="AC29" s="11" t="s">
        <v>53</v>
      </c>
      <c r="AD29" s="11" t="s">
        <v>54</v>
      </c>
      <c r="AE29" s="11" t="s">
        <v>55</v>
      </c>
      <c r="AF29" s="11" t="s">
        <v>56</v>
      </c>
      <c r="AG29" s="11" t="s">
        <v>57</v>
      </c>
      <c r="AH29" s="11" t="s">
        <v>58</v>
      </c>
      <c r="AI29" s="11" t="s">
        <v>59</v>
      </c>
      <c r="AJ29" s="11" t="s">
        <v>60</v>
      </c>
      <c r="AK29" s="11" t="s">
        <v>61</v>
      </c>
      <c r="AL29" s="11" t="s">
        <v>62</v>
      </c>
      <c r="AM29" s="11" t="s">
        <v>63</v>
      </c>
      <c r="AN29" s="11" t="s">
        <v>64</v>
      </c>
      <c r="AO29" s="11" t="s">
        <v>65</v>
      </c>
      <c r="AP29" s="11" t="str">
        <f>BridgeYear -2 &amp; " Actuals"</f>
        <v>2016 Actuals</v>
      </c>
      <c r="AQ29" s="11" t="s">
        <v>66</v>
      </c>
      <c r="AR29" s="11" t="s">
        <v>67</v>
      </c>
      <c r="AS29" s="11" t="str">
        <f>BridgeYear -1 &amp; " Actuals"</f>
        <v>2017 Actuals</v>
      </c>
      <c r="AT29" s="11" t="str">
        <f>BridgeYear &amp; " Bridge Year"</f>
        <v>2018 Bridge Year</v>
      </c>
      <c r="AU29" s="12" t="str">
        <f>TestYear &amp; " Test Year"</f>
        <v>2019 Test Year</v>
      </c>
      <c r="AV29" s="70"/>
      <c r="AW29" s="70"/>
      <c r="AX29" s="70"/>
    </row>
    <row r="30" spans="1:50" x14ac:dyDescent="0.2">
      <c r="T30" s="70"/>
      <c r="U30" s="70"/>
      <c r="V30" s="27" t="s">
        <v>28</v>
      </c>
      <c r="W30" s="73">
        <f t="shared" ref="W30:Z31" si="22">B14</f>
        <v>0</v>
      </c>
      <c r="X30" s="73">
        <f t="shared" si="22"/>
        <v>0</v>
      </c>
      <c r="Y30" s="73">
        <f t="shared" si="22"/>
        <v>0</v>
      </c>
      <c r="Z30" s="73">
        <f t="shared" si="22"/>
        <v>0</v>
      </c>
      <c r="AA30" s="73">
        <f t="shared" ref="AA30:AC31" si="23">E14</f>
        <v>0</v>
      </c>
      <c r="AB30" s="73">
        <f t="shared" si="23"/>
        <v>0</v>
      </c>
      <c r="AC30" s="73">
        <f t="shared" si="23"/>
        <v>0</v>
      </c>
      <c r="AD30" s="73">
        <f t="shared" ref="AD30:AF31" si="24">G14</f>
        <v>0</v>
      </c>
      <c r="AE30" s="73">
        <f t="shared" si="24"/>
        <v>0</v>
      </c>
      <c r="AF30" s="73">
        <f t="shared" si="24"/>
        <v>0</v>
      </c>
      <c r="AG30" s="73">
        <f t="shared" ref="AG30:AI31" si="25">I14</f>
        <v>0</v>
      </c>
      <c r="AH30" s="73">
        <f t="shared" si="25"/>
        <v>532044.4731186768</v>
      </c>
      <c r="AI30" s="73">
        <f t="shared" si="25"/>
        <v>491399.67</v>
      </c>
      <c r="AJ30" s="73">
        <f t="shared" ref="AJ30:AL31" si="26">K14</f>
        <v>491399.67</v>
      </c>
      <c r="AK30" s="73">
        <f t="shared" si="26"/>
        <v>0</v>
      </c>
      <c r="AL30" s="73">
        <f t="shared" si="26"/>
        <v>548539.79999999993</v>
      </c>
      <c r="AM30" s="73">
        <f t="shared" ref="AM30:AO31" si="27">M14</f>
        <v>548539.79999999993</v>
      </c>
      <c r="AN30" s="73">
        <f t="shared" si="27"/>
        <v>0</v>
      </c>
      <c r="AO30" s="73">
        <f t="shared" si="27"/>
        <v>654294.7699999999</v>
      </c>
      <c r="AP30" s="73">
        <f t="shared" ref="AP30:AR31" si="28">O14</f>
        <v>654294.7699999999</v>
      </c>
      <c r="AQ30" s="73">
        <f t="shared" si="28"/>
        <v>0</v>
      </c>
      <c r="AR30" s="73">
        <f t="shared" si="28"/>
        <v>673867.34</v>
      </c>
      <c r="AS30" s="73">
        <f t="shared" ref="AS30:AU31" si="29">Q14</f>
        <v>673867.34</v>
      </c>
      <c r="AT30" s="73">
        <f t="shared" si="29"/>
        <v>658882.70000000007</v>
      </c>
      <c r="AU30" s="73">
        <f t="shared" si="29"/>
        <v>711610.17701706884</v>
      </c>
      <c r="AV30" s="70"/>
      <c r="AW30" s="70"/>
      <c r="AX30" s="70"/>
    </row>
    <row r="31" spans="1:50" x14ac:dyDescent="0.2">
      <c r="T31" s="70"/>
      <c r="U31" s="70"/>
      <c r="V31" s="27" t="s">
        <v>30</v>
      </c>
      <c r="W31" s="73">
        <f t="shared" si="22"/>
        <v>0</v>
      </c>
      <c r="X31" s="73">
        <f t="shared" si="22"/>
        <v>0</v>
      </c>
      <c r="Y31" s="73">
        <f t="shared" si="22"/>
        <v>0</v>
      </c>
      <c r="Z31" s="73">
        <f t="shared" si="22"/>
        <v>0</v>
      </c>
      <c r="AA31" s="73">
        <f t="shared" si="23"/>
        <v>0</v>
      </c>
      <c r="AB31" s="73">
        <f t="shared" si="23"/>
        <v>0</v>
      </c>
      <c r="AC31" s="73">
        <f t="shared" si="23"/>
        <v>0</v>
      </c>
      <c r="AD31" s="73">
        <f t="shared" si="24"/>
        <v>0</v>
      </c>
      <c r="AE31" s="73">
        <f t="shared" si="24"/>
        <v>0</v>
      </c>
      <c r="AF31" s="73">
        <f t="shared" si="24"/>
        <v>0</v>
      </c>
      <c r="AG31" s="73">
        <f t="shared" si="25"/>
        <v>0</v>
      </c>
      <c r="AH31" s="73">
        <f t="shared" si="25"/>
        <v>416132.46238946723</v>
      </c>
      <c r="AI31" s="73">
        <f t="shared" si="25"/>
        <v>412258.79000000004</v>
      </c>
      <c r="AJ31" s="73">
        <f t="shared" si="26"/>
        <v>412258.79000000004</v>
      </c>
      <c r="AK31" s="73">
        <f t="shared" si="26"/>
        <v>0</v>
      </c>
      <c r="AL31" s="73">
        <f t="shared" si="26"/>
        <v>451578.1</v>
      </c>
      <c r="AM31" s="73">
        <f t="shared" si="27"/>
        <v>451578.1</v>
      </c>
      <c r="AN31" s="73">
        <f t="shared" si="27"/>
        <v>0</v>
      </c>
      <c r="AO31" s="73">
        <f t="shared" si="27"/>
        <v>476273.29999999993</v>
      </c>
      <c r="AP31" s="73">
        <f t="shared" si="28"/>
        <v>476273.29999999993</v>
      </c>
      <c r="AQ31" s="73">
        <f t="shared" si="28"/>
        <v>0</v>
      </c>
      <c r="AR31" s="73">
        <f t="shared" si="28"/>
        <v>414736.52</v>
      </c>
      <c r="AS31" s="73">
        <f t="shared" si="29"/>
        <v>414736.52</v>
      </c>
      <c r="AT31" s="73">
        <f t="shared" si="29"/>
        <v>447002.52999999997</v>
      </c>
      <c r="AU31" s="73">
        <f t="shared" si="29"/>
        <v>449790.28194628464</v>
      </c>
      <c r="AV31" s="70"/>
      <c r="AW31" s="70"/>
      <c r="AX31" s="70"/>
    </row>
    <row r="32" spans="1:50" ht="24" x14ac:dyDescent="0.2">
      <c r="T32" s="70"/>
      <c r="U32" s="70"/>
      <c r="V32" s="27" t="s">
        <v>38</v>
      </c>
      <c r="W32" s="73">
        <f t="shared" ref="W32:Z34" si="30">B19</f>
        <v>0</v>
      </c>
      <c r="X32" s="73">
        <f t="shared" si="30"/>
        <v>0</v>
      </c>
      <c r="Y32" s="73">
        <f t="shared" si="30"/>
        <v>0</v>
      </c>
      <c r="Z32" s="73">
        <f t="shared" si="30"/>
        <v>0</v>
      </c>
      <c r="AA32" s="73">
        <f>E19</f>
        <v>0</v>
      </c>
      <c r="AB32" s="73">
        <f t="shared" ref="AB32:AC34" si="31">F19</f>
        <v>0</v>
      </c>
      <c r="AC32" s="73">
        <f t="shared" si="31"/>
        <v>0</v>
      </c>
      <c r="AD32" s="73">
        <f>G19</f>
        <v>0</v>
      </c>
      <c r="AE32" s="73">
        <f t="shared" ref="AE32:AF34" si="32">H19</f>
        <v>0</v>
      </c>
      <c r="AF32" s="73">
        <f t="shared" si="32"/>
        <v>0</v>
      </c>
      <c r="AG32" s="73">
        <f>I19</f>
        <v>0</v>
      </c>
      <c r="AH32" s="73">
        <f t="shared" ref="AH32:AI34" si="33">J19</f>
        <v>534259.55082691566</v>
      </c>
      <c r="AI32" s="73">
        <f t="shared" si="33"/>
        <v>559555.86</v>
      </c>
      <c r="AJ32" s="73">
        <f>K19</f>
        <v>559555.86</v>
      </c>
      <c r="AK32" s="73">
        <f t="shared" ref="AK32:AL34" si="34">L19</f>
        <v>0</v>
      </c>
      <c r="AL32" s="73">
        <f t="shared" si="34"/>
        <v>601149.68000000005</v>
      </c>
      <c r="AM32" s="73">
        <f>M19</f>
        <v>601149.68000000005</v>
      </c>
      <c r="AN32" s="73">
        <f t="shared" ref="AN32:AO34" si="35">N19</f>
        <v>0</v>
      </c>
      <c r="AO32" s="73">
        <f t="shared" si="35"/>
        <v>547187.65</v>
      </c>
      <c r="AP32" s="73">
        <f>O19</f>
        <v>547187.65</v>
      </c>
      <c r="AQ32" s="73">
        <f t="shared" ref="AQ32:AR34" si="36">P19</f>
        <v>0</v>
      </c>
      <c r="AR32" s="73">
        <f t="shared" si="36"/>
        <v>573153.92000000004</v>
      </c>
      <c r="AS32" s="73">
        <f>Q19</f>
        <v>573153.92000000004</v>
      </c>
      <c r="AT32" s="73">
        <f t="shared" ref="AT32:AU34" si="37">R19</f>
        <v>565667.52</v>
      </c>
      <c r="AU32" s="73">
        <f t="shared" si="37"/>
        <v>632867.42046056862</v>
      </c>
      <c r="AV32" s="70"/>
      <c r="AW32" s="70"/>
      <c r="AX32" s="70"/>
    </row>
    <row r="33" spans="1:50" ht="24" x14ac:dyDescent="0.2">
      <c r="T33" s="70"/>
      <c r="U33" s="70"/>
      <c r="V33" s="27" t="s">
        <v>40</v>
      </c>
      <c r="W33" s="73">
        <f t="shared" si="30"/>
        <v>0</v>
      </c>
      <c r="X33" s="73">
        <f t="shared" si="30"/>
        <v>0</v>
      </c>
      <c r="Y33" s="73">
        <f t="shared" si="30"/>
        <v>0</v>
      </c>
      <c r="Z33" s="73">
        <f t="shared" si="30"/>
        <v>0</v>
      </c>
      <c r="AA33" s="73">
        <f>E20</f>
        <v>0</v>
      </c>
      <c r="AB33" s="73">
        <f t="shared" si="31"/>
        <v>0</v>
      </c>
      <c r="AC33" s="73">
        <f t="shared" si="31"/>
        <v>0</v>
      </c>
      <c r="AD33" s="73">
        <f>G20</f>
        <v>0</v>
      </c>
      <c r="AE33" s="73">
        <f t="shared" si="32"/>
        <v>0</v>
      </c>
      <c r="AF33" s="73">
        <f t="shared" si="32"/>
        <v>0</v>
      </c>
      <c r="AG33" s="73">
        <f>I20</f>
        <v>0</v>
      </c>
      <c r="AH33" s="73">
        <f t="shared" si="33"/>
        <v>17800</v>
      </c>
      <c r="AI33" s="73">
        <f t="shared" si="33"/>
        <v>578</v>
      </c>
      <c r="AJ33" s="73">
        <f>K19</f>
        <v>559555.86</v>
      </c>
      <c r="AK33" s="73">
        <f t="shared" si="34"/>
        <v>0</v>
      </c>
      <c r="AL33" s="73">
        <f t="shared" si="34"/>
        <v>757.65</v>
      </c>
      <c r="AM33" s="73">
        <f>M19</f>
        <v>601149.68000000005</v>
      </c>
      <c r="AN33" s="73">
        <f t="shared" si="35"/>
        <v>0</v>
      </c>
      <c r="AO33" s="73">
        <f t="shared" si="35"/>
        <v>9700</v>
      </c>
      <c r="AP33" s="73">
        <f>O20</f>
        <v>9700</v>
      </c>
      <c r="AQ33" s="73">
        <f t="shared" si="36"/>
        <v>0</v>
      </c>
      <c r="AR33" s="73">
        <f t="shared" si="36"/>
        <v>4161.21</v>
      </c>
      <c r="AS33" s="73">
        <f>Q20</f>
        <v>4161.21</v>
      </c>
      <c r="AT33" s="73">
        <f t="shared" si="37"/>
        <v>9477.34</v>
      </c>
      <c r="AU33" s="73">
        <f t="shared" si="37"/>
        <v>11484.753561720259</v>
      </c>
      <c r="AV33" s="70"/>
      <c r="AW33" s="70"/>
      <c r="AX33" s="70"/>
    </row>
    <row r="34" spans="1:50" ht="24" x14ac:dyDescent="0.2">
      <c r="T34" s="70"/>
      <c r="U34" s="70"/>
      <c r="V34" s="27" t="s">
        <v>42</v>
      </c>
      <c r="W34" s="73">
        <f t="shared" si="30"/>
        <v>0</v>
      </c>
      <c r="X34" s="73">
        <f t="shared" si="30"/>
        <v>0</v>
      </c>
      <c r="Y34" s="73">
        <f t="shared" si="30"/>
        <v>0</v>
      </c>
      <c r="Z34" s="73">
        <f t="shared" si="30"/>
        <v>0</v>
      </c>
      <c r="AA34" s="73">
        <f>E21</f>
        <v>0</v>
      </c>
      <c r="AB34" s="73">
        <f t="shared" si="31"/>
        <v>0</v>
      </c>
      <c r="AC34" s="73">
        <f t="shared" si="31"/>
        <v>0</v>
      </c>
      <c r="AD34" s="73">
        <f>G21</f>
        <v>0</v>
      </c>
      <c r="AE34" s="73">
        <f t="shared" si="32"/>
        <v>0</v>
      </c>
      <c r="AF34" s="73">
        <f t="shared" si="32"/>
        <v>0</v>
      </c>
      <c r="AG34" s="73">
        <f>I21</f>
        <v>0</v>
      </c>
      <c r="AH34" s="73">
        <f t="shared" si="33"/>
        <v>655025.86807409697</v>
      </c>
      <c r="AI34" s="73">
        <f t="shared" si="33"/>
        <v>744410.69</v>
      </c>
      <c r="AJ34" s="73">
        <f>K21</f>
        <v>744410.69</v>
      </c>
      <c r="AK34" s="73">
        <f t="shared" si="34"/>
        <v>0</v>
      </c>
      <c r="AL34" s="73">
        <f t="shared" si="34"/>
        <v>721093.65999999992</v>
      </c>
      <c r="AM34" s="73">
        <f>M21</f>
        <v>721093.65999999992</v>
      </c>
      <c r="AN34" s="73">
        <f t="shared" si="35"/>
        <v>0</v>
      </c>
      <c r="AO34" s="73">
        <f t="shared" si="35"/>
        <v>844735.11</v>
      </c>
      <c r="AP34" s="73">
        <f>O21</f>
        <v>844735.11</v>
      </c>
      <c r="AQ34" s="73">
        <f t="shared" si="36"/>
        <v>0</v>
      </c>
      <c r="AR34" s="73">
        <f t="shared" si="36"/>
        <v>929201.6399999999</v>
      </c>
      <c r="AS34" s="73">
        <f>Q21</f>
        <v>929201.6399999999</v>
      </c>
      <c r="AT34" s="73">
        <f t="shared" si="37"/>
        <v>1157505.26</v>
      </c>
      <c r="AU34" s="73">
        <f t="shared" si="37"/>
        <v>1159012.4956218726</v>
      </c>
      <c r="AV34" s="70"/>
      <c r="AW34" s="70"/>
      <c r="AX34" s="70"/>
    </row>
    <row r="35" spans="1:50" x14ac:dyDescent="0.2">
      <c r="T35" s="70"/>
      <c r="U35" s="70"/>
      <c r="V35" s="30" t="s">
        <v>47</v>
      </c>
      <c r="W35" s="31">
        <f>SUM(W30:W34)</f>
        <v>0</v>
      </c>
      <c r="X35" s="31">
        <f t="shared" ref="X35:AU35" si="38">SUM(X30:X34)</f>
        <v>0</v>
      </c>
      <c r="Y35" s="31">
        <f t="shared" si="38"/>
        <v>0</v>
      </c>
      <c r="Z35" s="31">
        <f t="shared" si="38"/>
        <v>0</v>
      </c>
      <c r="AA35" s="31">
        <f t="shared" si="38"/>
        <v>0</v>
      </c>
      <c r="AB35" s="31">
        <f t="shared" si="38"/>
        <v>0</v>
      </c>
      <c r="AC35" s="31">
        <f t="shared" si="38"/>
        <v>0</v>
      </c>
      <c r="AD35" s="31">
        <f t="shared" si="38"/>
        <v>0</v>
      </c>
      <c r="AE35" s="31">
        <f t="shared" si="38"/>
        <v>0</v>
      </c>
      <c r="AF35" s="31">
        <f t="shared" si="38"/>
        <v>0</v>
      </c>
      <c r="AG35" s="31">
        <f t="shared" si="38"/>
        <v>0</v>
      </c>
      <c r="AH35" s="31">
        <f t="shared" si="38"/>
        <v>2155262.3544091564</v>
      </c>
      <c r="AI35" s="31">
        <f t="shared" si="38"/>
        <v>2208203.0099999998</v>
      </c>
      <c r="AJ35" s="31">
        <f t="shared" si="38"/>
        <v>2767180.8699999996</v>
      </c>
      <c r="AK35" s="31">
        <f t="shared" si="38"/>
        <v>0</v>
      </c>
      <c r="AL35" s="31">
        <f t="shared" si="38"/>
        <v>2323118.8899999997</v>
      </c>
      <c r="AM35" s="31">
        <f t="shared" si="38"/>
        <v>2923510.92</v>
      </c>
      <c r="AN35" s="31">
        <f t="shared" si="38"/>
        <v>0</v>
      </c>
      <c r="AO35" s="31">
        <f t="shared" si="38"/>
        <v>2532190.8299999996</v>
      </c>
      <c r="AP35" s="31">
        <f t="shared" si="38"/>
        <v>2532190.8299999996</v>
      </c>
      <c r="AQ35" s="31">
        <f t="shared" si="38"/>
        <v>0</v>
      </c>
      <c r="AR35" s="31">
        <f t="shared" si="38"/>
        <v>2595120.63</v>
      </c>
      <c r="AS35" s="31">
        <f t="shared" si="38"/>
        <v>2595120.63</v>
      </c>
      <c r="AT35" s="31">
        <f t="shared" si="38"/>
        <v>2838535.35</v>
      </c>
      <c r="AU35" s="31">
        <f t="shared" si="38"/>
        <v>2964765.1286075148</v>
      </c>
      <c r="AV35" s="70"/>
      <c r="AW35" s="70"/>
      <c r="AX35" s="70"/>
    </row>
    <row r="36" spans="1:50" ht="24.75" thickBot="1" x14ac:dyDescent="0.25">
      <c r="T36" s="70"/>
      <c r="U36" s="70"/>
      <c r="V36" s="59" t="s">
        <v>34</v>
      </c>
      <c r="W36" s="34"/>
      <c r="X36" s="52" t="str">
        <f>IF(ISERROR((X35-W35)/W35), "", (X35-W35)/W35)</f>
        <v/>
      </c>
      <c r="Y36" s="34"/>
      <c r="Z36" s="52" t="str">
        <f>IF(ISERROR((Z35-Y35)/Y35), "", (Z35-Y35)/Y35)</f>
        <v/>
      </c>
      <c r="AA36" s="52" t="str">
        <f>IF(ISERROR((AA35-X35)/X35), "", (AA35-X35)/X35)</f>
        <v/>
      </c>
      <c r="AB36" s="34"/>
      <c r="AC36" s="52" t="str">
        <f>IF(ISERROR((AC35-AB35)/AB35), "", (AC35-AB35)/AB35)</f>
        <v/>
      </c>
      <c r="AD36" s="52" t="str">
        <f>IF(ISERROR((AD35-AA35)/AA35), "", (AD35-AA35)/AA35)</f>
        <v/>
      </c>
      <c r="AE36" s="34"/>
      <c r="AF36" s="52" t="str">
        <f>IF(ISERROR((AF35-AE35)/AE35), "", (AF35-AE35)/AE35)</f>
        <v/>
      </c>
      <c r="AG36" s="52" t="str">
        <f>IF(ISERROR((AG35-AD35)/AD35), "", (AG35-AD35)/AD35)</f>
        <v/>
      </c>
      <c r="AH36" s="34"/>
      <c r="AI36" s="52">
        <f>IF(ISERROR((AI35-AH35)/AH35), "", (AI35-AH35)/AH35)</f>
        <v>2.4563439101759173E-2</v>
      </c>
      <c r="AJ36" s="52" t="str">
        <f>IF(ISERROR((AJ35-AG35)/AG35), "", (AJ35-AG35)/AG35)</f>
        <v/>
      </c>
      <c r="AK36" s="34"/>
      <c r="AL36" s="52" t="str">
        <f>IF(ISERROR((AL35-AK35)/AK35), "", (AL35-AK35)/AK35)</f>
        <v/>
      </c>
      <c r="AM36" s="52">
        <f>IF(ISERROR((AM35-AJ35)/AJ35), "", (AM35-AJ35)/AJ35)</f>
        <v>5.6494337502412804E-2</v>
      </c>
      <c r="AN36" s="34"/>
      <c r="AO36" s="52" t="str">
        <f>IF(ISERROR((AO35-AN35)/AN35), "", (AO35-AN35)/AN35)</f>
        <v/>
      </c>
      <c r="AP36" s="52">
        <f>IF(ISERROR((AP35-AM35)/AM35), "", (AP35-AM35)/AM35)</f>
        <v>-0.1338527888926101</v>
      </c>
      <c r="AQ36" s="34"/>
      <c r="AR36" s="35" t="str">
        <f>IF(ISERROR((AR35-AQ35)/AQ35), "", (AR35-AQ35)/AQ35)</f>
        <v/>
      </c>
      <c r="AS36" s="35">
        <f>IF(ISERROR((AS35-AP35)/AP35), "", (AS35-AP35)/AP35)</f>
        <v>2.4851918447236575E-2</v>
      </c>
      <c r="AT36" s="35">
        <f>IF(ISERROR((AT35-AS35)/AS35), "", (AT35-AS35)/AS35)</f>
        <v>9.379707331755141E-2</v>
      </c>
      <c r="AU36" s="60">
        <f>IF(ISERROR((AU35-AT35)/AT35), "", (AU35-AT35)/AT35)</f>
        <v>4.4470039313589907E-2</v>
      </c>
      <c r="AV36" s="70"/>
      <c r="AW36" s="70"/>
      <c r="AX36" s="70"/>
    </row>
    <row r="37" spans="1:50" x14ac:dyDescent="0.2">
      <c r="A37" s="70"/>
      <c r="B37" s="70"/>
      <c r="C37" s="70"/>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row>
    <row r="38" spans="1:50" x14ac:dyDescent="0.2">
      <c r="A38" s="74" t="s">
        <v>68</v>
      </c>
      <c r="B38" s="70"/>
      <c r="C38" s="70"/>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row>
    <row r="39" spans="1:50" x14ac:dyDescent="0.2">
      <c r="A39" s="74"/>
      <c r="B39" s="70"/>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row>
    <row r="40" spans="1:50" s="75" customFormat="1" ht="12.75" customHeight="1" x14ac:dyDescent="0.2">
      <c r="A40" s="137" t="s">
        <v>69</v>
      </c>
      <c r="B40" s="137"/>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7"/>
      <c r="AX40" s="137"/>
    </row>
    <row r="41" spans="1:50" x14ac:dyDescent="0.2">
      <c r="A41" s="133" t="s">
        <v>70</v>
      </c>
      <c r="B41" s="133"/>
      <c r="C41" s="133"/>
      <c r="D41" s="133"/>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c r="AN41" s="133"/>
      <c r="AO41" s="133"/>
      <c r="AP41" s="133"/>
      <c r="AQ41" s="133"/>
      <c r="AR41" s="133"/>
      <c r="AS41" s="133"/>
      <c r="AT41" s="133"/>
      <c r="AU41" s="133"/>
      <c r="AV41" s="133"/>
      <c r="AW41" s="133"/>
      <c r="AX41" s="133"/>
    </row>
    <row r="42" spans="1:50" x14ac:dyDescent="0.2">
      <c r="A42" s="76"/>
      <c r="B42" s="76"/>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row>
    <row r="43" spans="1:50" x14ac:dyDescent="0.2">
      <c r="A43" s="77"/>
      <c r="B43" s="76"/>
      <c r="C43" s="76"/>
      <c r="D43" s="76"/>
      <c r="E43" s="76"/>
      <c r="F43" s="76"/>
      <c r="G43" s="76"/>
      <c r="H43" s="76"/>
      <c r="I43" s="76"/>
      <c r="J43" s="76"/>
      <c r="K43" s="76"/>
      <c r="L43" s="76"/>
      <c r="M43" s="76"/>
      <c r="N43" s="76"/>
      <c r="O43" s="76"/>
      <c r="P43" s="76"/>
      <c r="Q43" s="76"/>
      <c r="R43" s="76"/>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row>
    <row r="44" spans="1:50" x14ac:dyDescent="0.2">
      <c r="B44" s="134"/>
      <c r="C44" s="134"/>
      <c r="D44" s="134"/>
      <c r="E44" s="134"/>
      <c r="F44" s="134"/>
      <c r="G44" s="134"/>
      <c r="H44" s="134"/>
      <c r="I44" s="134"/>
      <c r="J44" s="134"/>
      <c r="K44" s="134"/>
      <c r="L44" s="134"/>
      <c r="M44" s="134"/>
      <c r="N44" s="134"/>
      <c r="O44" s="134"/>
      <c r="P44" s="134"/>
      <c r="Q44" s="134"/>
      <c r="R44" s="134"/>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row>
    <row r="45" spans="1:50" x14ac:dyDescent="0.2">
      <c r="A45" s="78"/>
      <c r="B45" s="134"/>
      <c r="C45" s="134"/>
      <c r="D45" s="134"/>
      <c r="E45" s="134"/>
      <c r="F45" s="134"/>
      <c r="G45" s="134"/>
      <c r="H45" s="134"/>
      <c r="I45" s="134"/>
      <c r="J45" s="134"/>
      <c r="K45" s="134"/>
      <c r="L45" s="134"/>
      <c r="M45" s="134"/>
      <c r="N45" s="134"/>
      <c r="O45" s="134"/>
      <c r="P45" s="134"/>
      <c r="Q45" s="134"/>
      <c r="R45" s="134"/>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row>
    <row r="46" spans="1:50" x14ac:dyDescent="0.2">
      <c r="A46" s="70"/>
      <c r="B46" s="70"/>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row>
    <row r="47" spans="1:50" x14ac:dyDescent="0.2">
      <c r="A47" s="70"/>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row>
    <row r="48" spans="1:50" x14ac:dyDescent="0.2">
      <c r="A48" s="70"/>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row>
    <row r="49" spans="1:50" x14ac:dyDescent="0.2">
      <c r="A49" s="70"/>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row>
    <row r="50" spans="1:50" x14ac:dyDescent="0.2">
      <c r="A50" s="70"/>
      <c r="B50" s="70"/>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row>
    <row r="51" spans="1:50" x14ac:dyDescent="0.2">
      <c r="A51" s="70"/>
      <c r="B51" s="70"/>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row>
    <row r="52" spans="1:50" x14ac:dyDescent="0.2">
      <c r="A52" s="70"/>
      <c r="B52" s="70"/>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row>
    <row r="53" spans="1:50" x14ac:dyDescent="0.2">
      <c r="A53" s="70"/>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row>
    <row r="54" spans="1:50" x14ac:dyDescent="0.2">
      <c r="A54" s="70"/>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row>
    <row r="55" spans="1:50" x14ac:dyDescent="0.2">
      <c r="A55" s="70"/>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row>
    <row r="56" spans="1:50" x14ac:dyDescent="0.2">
      <c r="A56" s="70"/>
      <c r="B56" s="70"/>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row>
    <row r="57" spans="1:50" x14ac:dyDescent="0.2">
      <c r="A57" s="70"/>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row>
    <row r="58" spans="1:50" x14ac:dyDescent="0.2">
      <c r="A58" s="70"/>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row>
    <row r="59" spans="1:50" x14ac:dyDescent="0.2">
      <c r="A59" s="70"/>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row>
    <row r="60" spans="1:50" x14ac:dyDescent="0.2">
      <c r="A60" s="70"/>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row>
    <row r="61" spans="1:50" x14ac:dyDescent="0.2">
      <c r="A61" s="70"/>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row>
    <row r="62" spans="1:50" x14ac:dyDescent="0.2">
      <c r="A62" s="70"/>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row>
    <row r="63" spans="1:50" x14ac:dyDescent="0.2">
      <c r="A63" s="70"/>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row>
    <row r="64" spans="1:50" x14ac:dyDescent="0.2">
      <c r="A64" s="70"/>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70"/>
      <c r="AV64" s="70"/>
      <c r="AW64" s="70"/>
      <c r="AX64" s="70"/>
    </row>
    <row r="65" spans="1:50" x14ac:dyDescent="0.2">
      <c r="A65" s="70"/>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c r="AN65" s="70"/>
      <c r="AO65" s="70"/>
      <c r="AP65" s="70"/>
      <c r="AQ65" s="70"/>
      <c r="AR65" s="70"/>
      <c r="AS65" s="70"/>
      <c r="AT65" s="70"/>
      <c r="AU65" s="70"/>
      <c r="AV65" s="70"/>
      <c r="AW65" s="70"/>
      <c r="AX65" s="70"/>
    </row>
    <row r="66" spans="1:50" x14ac:dyDescent="0.2">
      <c r="A66" s="70"/>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70"/>
      <c r="AW66" s="70"/>
      <c r="AX66" s="70"/>
    </row>
    <row r="67" spans="1:50" x14ac:dyDescent="0.2">
      <c r="A67" s="70"/>
      <c r="B67" s="70"/>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row>
    <row r="68" spans="1:50" x14ac:dyDescent="0.2">
      <c r="A68" s="70"/>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c r="AU68" s="70"/>
      <c r="AV68" s="70"/>
      <c r="AW68" s="70"/>
      <c r="AX68" s="70"/>
    </row>
    <row r="69" spans="1:50" x14ac:dyDescent="0.2">
      <c r="A69" s="70"/>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row>
    <row r="70" spans="1:50" x14ac:dyDescent="0.2">
      <c r="A70" s="70"/>
      <c r="B70" s="70"/>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row>
    <row r="71" spans="1:50" x14ac:dyDescent="0.2">
      <c r="A71" s="70"/>
      <c r="B71" s="70"/>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row>
    <row r="72" spans="1:50" x14ac:dyDescent="0.2">
      <c r="A72" s="70"/>
      <c r="B72" s="70"/>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row>
    <row r="73" spans="1:50" x14ac:dyDescent="0.2">
      <c r="A73" s="70"/>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row>
    <row r="74" spans="1:50" x14ac:dyDescent="0.2">
      <c r="A74" s="70"/>
      <c r="B74" s="70"/>
      <c r="C74" s="70"/>
      <c r="D74" s="7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row>
    <row r="75" spans="1:50" x14ac:dyDescent="0.2">
      <c r="A75" s="70"/>
      <c r="B75" s="70"/>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row>
    <row r="76" spans="1:50" x14ac:dyDescent="0.2">
      <c r="A76" s="70"/>
      <c r="B76" s="70"/>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row>
    <row r="77" spans="1:50" x14ac:dyDescent="0.2">
      <c r="A77" s="70"/>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c r="AU77" s="70"/>
      <c r="AV77" s="70"/>
      <c r="AW77" s="70"/>
      <c r="AX77" s="70"/>
    </row>
    <row r="78" spans="1:50" x14ac:dyDescent="0.2">
      <c r="A78" s="70"/>
      <c r="B78" s="70"/>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row>
    <row r="79" spans="1:50" x14ac:dyDescent="0.2">
      <c r="A79" s="70"/>
      <c r="B79" s="70"/>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row>
    <row r="80" spans="1:50" x14ac:dyDescent="0.2">
      <c r="A80" s="70"/>
      <c r="B80" s="70"/>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row>
    <row r="81" spans="1:50" x14ac:dyDescent="0.2">
      <c r="A81" s="70"/>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row>
    <row r="82" spans="1:50" x14ac:dyDescent="0.2">
      <c r="A82" s="70"/>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row>
    <row r="83" spans="1:50" x14ac:dyDescent="0.2">
      <c r="A83" s="70"/>
      <c r="B83" s="70"/>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row>
    <row r="84" spans="1:50" x14ac:dyDescent="0.2">
      <c r="A84" s="70"/>
      <c r="B84" s="70"/>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row>
    <row r="85" spans="1:50" x14ac:dyDescent="0.2">
      <c r="A85" s="70"/>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row>
    <row r="86" spans="1:50" x14ac:dyDescent="0.2">
      <c r="A86" s="70"/>
      <c r="B86" s="70"/>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row>
    <row r="87" spans="1:50" x14ac:dyDescent="0.2">
      <c r="A87" s="70"/>
      <c r="B87" s="70"/>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row>
    <row r="88" spans="1:50" x14ac:dyDescent="0.2">
      <c r="A88" s="70"/>
      <c r="B88" s="70"/>
      <c r="C88" s="70"/>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row>
    <row r="89" spans="1:50" x14ac:dyDescent="0.2">
      <c r="A89" s="70"/>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row>
    <row r="90" spans="1:50" x14ac:dyDescent="0.2">
      <c r="A90" s="70"/>
      <c r="B90" s="70"/>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row>
    <row r="91" spans="1:50" x14ac:dyDescent="0.2">
      <c r="A91" s="70"/>
      <c r="B91" s="70"/>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row>
    <row r="92" spans="1:50" x14ac:dyDescent="0.2">
      <c r="A92" s="70"/>
      <c r="B92" s="70"/>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row>
    <row r="93" spans="1:50" x14ac:dyDescent="0.2">
      <c r="A93" s="70"/>
      <c r="B93" s="70"/>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row>
    <row r="94" spans="1:50" x14ac:dyDescent="0.2">
      <c r="A94" s="70"/>
      <c r="B94" s="70"/>
      <c r="C94" s="70"/>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row>
    <row r="95" spans="1:50" x14ac:dyDescent="0.2">
      <c r="A95" s="70"/>
      <c r="B95" s="70"/>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c r="AV95" s="70"/>
      <c r="AW95" s="70"/>
      <c r="AX95" s="70"/>
    </row>
    <row r="96" spans="1:50" x14ac:dyDescent="0.2">
      <c r="A96" s="70"/>
      <c r="B96" s="70"/>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row>
    <row r="97" spans="1:50" x14ac:dyDescent="0.2">
      <c r="A97" s="70"/>
      <c r="B97" s="70"/>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0"/>
      <c r="AV97" s="70"/>
      <c r="AW97" s="70"/>
      <c r="AX97" s="70"/>
    </row>
    <row r="98" spans="1:50" x14ac:dyDescent="0.2">
      <c r="A98" s="70"/>
      <c r="B98" s="70"/>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row>
    <row r="99" spans="1:50" x14ac:dyDescent="0.2">
      <c r="A99" s="70"/>
      <c r="B99" s="70"/>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row>
    <row r="100" spans="1:50" x14ac:dyDescent="0.2">
      <c r="A100" s="70"/>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row>
    <row r="101" spans="1:50" x14ac:dyDescent="0.2">
      <c r="A101" s="70"/>
      <c r="B101" s="70"/>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row>
    <row r="102" spans="1:50" x14ac:dyDescent="0.2">
      <c r="A102" s="70"/>
      <c r="B102" s="70"/>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row>
    <row r="103" spans="1:50" x14ac:dyDescent="0.2">
      <c r="A103" s="70"/>
      <c r="B103" s="70"/>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row>
    <row r="104" spans="1:50" x14ac:dyDescent="0.2">
      <c r="A104" s="70"/>
      <c r="B104" s="70"/>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row>
    <row r="105" spans="1:50" x14ac:dyDescent="0.2">
      <c r="A105" s="70"/>
      <c r="B105" s="70"/>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row>
    <row r="106" spans="1:50" x14ac:dyDescent="0.2">
      <c r="A106" s="70"/>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row>
    <row r="107" spans="1:50" x14ac:dyDescent="0.2">
      <c r="A107" s="70"/>
      <c r="B107" s="70"/>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row>
    <row r="108" spans="1:50" x14ac:dyDescent="0.2">
      <c r="A108" s="70"/>
      <c r="B108" s="70"/>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row>
    <row r="109" spans="1:50" x14ac:dyDescent="0.2">
      <c r="A109" s="70"/>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row>
    <row r="110" spans="1:50" x14ac:dyDescent="0.2">
      <c r="A110" s="70"/>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row>
    <row r="111" spans="1:50" x14ac:dyDescent="0.2">
      <c r="A111" s="70"/>
      <c r="B111" s="70"/>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row>
    <row r="112" spans="1:50" x14ac:dyDescent="0.2">
      <c r="A112" s="70"/>
      <c r="B112" s="70"/>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row>
    <row r="113" spans="1:50" x14ac:dyDescent="0.2">
      <c r="A113" s="70"/>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row>
    <row r="114" spans="1:50" x14ac:dyDescent="0.2">
      <c r="A114" s="70"/>
      <c r="B114" s="70"/>
      <c r="C114" s="70"/>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row>
  </sheetData>
  <sheetProtection algorithmName="SHA-512" hashValue="/1M1PYeFJWNalQcbjZwgM9pbGip7XEwALjH4NSCigr3rvHhUfSnUVfikKZicrAv9qR0LWdS1u+iW0/rFQ2bjRg==" saltValue="RdLKp3odHk5iTmkFN9q0SA==" spinCount="100000" sheet="1" objects="1" scenarios="1"/>
  <mergeCells count="24">
    <mergeCell ref="A9:S9"/>
    <mergeCell ref="A10:S10"/>
    <mergeCell ref="B11:C11"/>
    <mergeCell ref="D11:E11"/>
    <mergeCell ref="F11:G11"/>
    <mergeCell ref="H11:I11"/>
    <mergeCell ref="J11:K11"/>
    <mergeCell ref="L11:M11"/>
    <mergeCell ref="N11:O11"/>
    <mergeCell ref="P11:Q11"/>
    <mergeCell ref="A41:AX41"/>
    <mergeCell ref="B44:R45"/>
    <mergeCell ref="AO11:AQ11"/>
    <mergeCell ref="AR11:AT11"/>
    <mergeCell ref="AU11:AV11"/>
    <mergeCell ref="AW11:AX11"/>
    <mergeCell ref="T12:U12"/>
    <mergeCell ref="A40:AX40"/>
    <mergeCell ref="W11:Y11"/>
    <mergeCell ref="Z11:AB11"/>
    <mergeCell ref="AC11:AE11"/>
    <mergeCell ref="AF11:AH11"/>
    <mergeCell ref="AI11:AK11"/>
    <mergeCell ref="AL11:AN11"/>
  </mergeCells>
  <conditionalFormatting sqref="B14:B15 B19:B21">
    <cfRule type="expression" dxfId="19" priority="20">
      <formula>$T$1=$B$11</formula>
    </cfRule>
  </conditionalFormatting>
  <conditionalFormatting sqref="D14:D15 D19:D21">
    <cfRule type="expression" dxfId="18" priority="19">
      <formula>$T$1=$D$11</formula>
    </cfRule>
  </conditionalFormatting>
  <conditionalFormatting sqref="F14:F15 F19:F21">
    <cfRule type="expression" dxfId="17" priority="18">
      <formula>$T$1=$F$11</formula>
    </cfRule>
  </conditionalFormatting>
  <conditionalFormatting sqref="H14:H15 H19:H21">
    <cfRule type="expression" dxfId="16" priority="17">
      <formula>$T$1=$H$11</formula>
    </cfRule>
  </conditionalFormatting>
  <conditionalFormatting sqref="L14:L15 L19:L21">
    <cfRule type="expression" dxfId="15" priority="16">
      <formula>$T$1=$L$11</formula>
    </cfRule>
  </conditionalFormatting>
  <conditionalFormatting sqref="N14:N15 N19:N21">
    <cfRule type="expression" dxfId="14" priority="15">
      <formula>$T$1=$N$11</formula>
    </cfRule>
  </conditionalFormatting>
  <conditionalFormatting sqref="P14:P15 P19:P21">
    <cfRule type="expression" dxfId="13" priority="14">
      <formula>$T$1=$P$11</formula>
    </cfRule>
  </conditionalFormatting>
  <conditionalFormatting sqref="C14:C15 C19:C21">
    <cfRule type="expression" dxfId="12" priority="13">
      <formula>$B$11&gt;=$T$1</formula>
    </cfRule>
  </conditionalFormatting>
  <conditionalFormatting sqref="E14:E15 E19:E21">
    <cfRule type="expression" dxfId="11" priority="12">
      <formula>$D$11&gt;=$T$1</formula>
    </cfRule>
  </conditionalFormatting>
  <conditionalFormatting sqref="G14:G15 G19:G21">
    <cfRule type="expression" dxfId="10" priority="11">
      <formula>$F$11&gt;=$T$1</formula>
    </cfRule>
  </conditionalFormatting>
  <conditionalFormatting sqref="I14:I15 I19:I21">
    <cfRule type="expression" dxfId="9" priority="10">
      <formula>$H$11&gt;=$T$1</formula>
    </cfRule>
  </conditionalFormatting>
  <conditionalFormatting sqref="K14:K15 K19:K21">
    <cfRule type="expression" dxfId="8" priority="9">
      <formula>$J$11&gt;=$T$1</formula>
    </cfRule>
  </conditionalFormatting>
  <conditionalFormatting sqref="O14:O15 O19:O21">
    <cfRule type="expression" dxfId="7" priority="8">
      <formula>$N$11&gt;=$T$1</formula>
    </cfRule>
  </conditionalFormatting>
  <conditionalFormatting sqref="Q14:S15 Q19:S21">
    <cfRule type="expression" dxfId="6" priority="7">
      <formula>$P$11&gt;=$T$1</formula>
    </cfRule>
  </conditionalFormatting>
  <conditionalFormatting sqref="M14">
    <cfRule type="expression" dxfId="5" priority="6">
      <formula>$J$11&gt;=$T$1</formula>
    </cfRule>
  </conditionalFormatting>
  <conditionalFormatting sqref="M15">
    <cfRule type="expression" dxfId="4" priority="5">
      <formula>$J$11&gt;=$T$1</formula>
    </cfRule>
  </conditionalFormatting>
  <conditionalFormatting sqref="M19:M21">
    <cfRule type="expression" dxfId="3" priority="4">
      <formula>$J$11&gt;=$T$1</formula>
    </cfRule>
  </conditionalFormatting>
  <conditionalFormatting sqref="J14">
    <cfRule type="expression" dxfId="2" priority="3">
      <formula>$J$11&gt;=$T$1</formula>
    </cfRule>
  </conditionalFormatting>
  <conditionalFormatting sqref="J15">
    <cfRule type="expression" dxfId="1" priority="2">
      <formula>$J$11&gt;=$T$1</formula>
    </cfRule>
  </conditionalFormatting>
  <conditionalFormatting sqref="J19:J21">
    <cfRule type="expression" dxfId="0" priority="1">
      <formula>$J$11&gt;=$T$1</formula>
    </cfRule>
  </conditionalFormatting>
  <dataValidations count="2">
    <dataValidation type="list" allowBlank="1" showInputMessage="1" showErrorMessage="1" sqref="B13:S13">
      <formula1>"CGAAP, MIFRS, USGAAP, ASPE"</formula1>
    </dataValidation>
    <dataValidation allowBlank="1" showInputMessage="1" showErrorMessage="1" promptTitle="Date Format" prompt="E.g:  &quot;August 1, 2011&quot;" sqref="S7"/>
  </dataValidations>
  <pageMargins left="0.75" right="0.75" top="1" bottom="1" header="0.5" footer="0.5"/>
  <pageSetup scale="11" fitToHeight="0"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7" tint="0.39997558519241921"/>
    <pageSetUpPr fitToPage="1"/>
  </sheetPr>
  <dimension ref="A1:M49"/>
  <sheetViews>
    <sheetView showGridLines="0" zoomScaleNormal="100" workbookViewId="0">
      <selection activeCell="E21" sqref="E21"/>
    </sheetView>
  </sheetViews>
  <sheetFormatPr defaultColWidth="9.28515625" defaultRowHeight="12.75" x14ac:dyDescent="0.2"/>
  <cols>
    <col min="1" max="1" width="38.140625" style="79" bestFit="1" customWidth="1"/>
    <col min="2" max="2" width="17.7109375" style="79" customWidth="1"/>
    <col min="3" max="3" width="17.7109375" style="79" hidden="1" customWidth="1"/>
    <col min="4" max="6" width="17.7109375" style="79" customWidth="1"/>
    <col min="7" max="7" width="17.28515625" style="79" customWidth="1"/>
    <col min="8" max="16384" width="9.28515625" style="79"/>
  </cols>
  <sheetData>
    <row r="1" spans="1:13" x14ac:dyDescent="0.2">
      <c r="E1" s="80" t="s">
        <v>0</v>
      </c>
      <c r="F1" s="81" t="s">
        <v>150</v>
      </c>
    </row>
    <row r="2" spans="1:13" x14ac:dyDescent="0.2">
      <c r="E2" s="80" t="s">
        <v>3</v>
      </c>
      <c r="F2" s="82"/>
    </row>
    <row r="3" spans="1:13" x14ac:dyDescent="0.2">
      <c r="E3" s="80" t="s">
        <v>6</v>
      </c>
      <c r="F3" s="82"/>
    </row>
    <row r="4" spans="1:13" x14ac:dyDescent="0.2">
      <c r="F4" s="80" t="s">
        <v>10</v>
      </c>
      <c r="G4" s="82"/>
    </row>
    <row r="5" spans="1:13" x14ac:dyDescent="0.2">
      <c r="F5" s="80" t="s">
        <v>13</v>
      </c>
      <c r="G5" s="83"/>
    </row>
    <row r="6" spans="1:13" x14ac:dyDescent="0.2">
      <c r="F6" s="80"/>
      <c r="G6" s="81"/>
    </row>
    <row r="7" spans="1:13" x14ac:dyDescent="0.2">
      <c r="F7" s="80" t="s">
        <v>18</v>
      </c>
      <c r="G7" s="83"/>
    </row>
    <row r="8" spans="1:13" x14ac:dyDescent="0.2">
      <c r="F8" s="84"/>
    </row>
    <row r="9" spans="1:13" x14ac:dyDescent="0.2">
      <c r="F9" s="84"/>
    </row>
    <row r="10" spans="1:13" ht="18" x14ac:dyDescent="0.25">
      <c r="A10" s="140" t="s">
        <v>71</v>
      </c>
      <c r="B10" s="140"/>
      <c r="C10" s="140"/>
      <c r="D10" s="140"/>
      <c r="E10" s="140"/>
      <c r="F10" s="140"/>
    </row>
    <row r="11" spans="1:13" ht="18" x14ac:dyDescent="0.25">
      <c r="A11" s="140" t="str">
        <f>"Recoverable OM&amp;A Cost Driver Table" &amp; CHAR(185)&amp;CHAR(183)&amp;CHAR(179)</f>
        <v>Recoverable OM&amp;A Cost Driver Table¹·³</v>
      </c>
      <c r="B11" s="140"/>
      <c r="C11" s="140"/>
      <c r="D11" s="140"/>
      <c r="E11" s="140"/>
      <c r="F11" s="140"/>
    </row>
    <row r="12" spans="1:13" ht="13.5" thickBot="1" x14ac:dyDescent="0.25"/>
    <row r="13" spans="1:13" ht="43.5" customHeight="1" thickBot="1" x14ac:dyDescent="0.25">
      <c r="A13" s="85" t="s">
        <v>72</v>
      </c>
      <c r="B13" s="86" t="s">
        <v>59</v>
      </c>
      <c r="C13" s="86" t="s">
        <v>63</v>
      </c>
      <c r="D13" s="86" t="s">
        <v>146</v>
      </c>
      <c r="E13" s="86" t="s">
        <v>147</v>
      </c>
      <c r="F13" s="86" t="s">
        <v>148</v>
      </c>
      <c r="G13" s="87" t="s">
        <v>149</v>
      </c>
    </row>
    <row r="14" spans="1:13" ht="13.5" thickBot="1" x14ac:dyDescent="0.25">
      <c r="A14" s="88" t="s">
        <v>27</v>
      </c>
      <c r="B14" s="16"/>
      <c r="C14" s="16"/>
      <c r="D14" s="16"/>
      <c r="E14" s="16"/>
      <c r="F14" s="16"/>
      <c r="G14" s="17"/>
      <c r="M14" s="89"/>
    </row>
    <row r="15" spans="1:13" ht="13.5" thickBot="1" x14ac:dyDescent="0.25">
      <c r="A15" s="90" t="str">
        <f>"Opening Balance" &amp; CHAR(178)</f>
        <v>Opening Balance²</v>
      </c>
      <c r="B15" s="91">
        <v>2155262.3544091564</v>
      </c>
      <c r="C15" s="92">
        <f>B40</f>
        <v>2208203.3544091564</v>
      </c>
      <c r="D15" s="92">
        <f>C40</f>
        <v>2323119.1935391566</v>
      </c>
      <c r="E15" s="92">
        <f>D40</f>
        <v>2532191.3335591564</v>
      </c>
      <c r="F15" s="92">
        <f>E40</f>
        <v>2595121.3868391565</v>
      </c>
      <c r="G15" s="92">
        <f>F40</f>
        <v>2838535.1068391567</v>
      </c>
    </row>
    <row r="16" spans="1:13" x14ac:dyDescent="0.2">
      <c r="A16" s="93" t="s">
        <v>152</v>
      </c>
      <c r="B16" s="94"/>
      <c r="C16" s="94"/>
      <c r="D16" s="94"/>
      <c r="E16" s="94"/>
      <c r="F16" s="94"/>
      <c r="G16" s="94"/>
    </row>
    <row r="17" spans="1:7" x14ac:dyDescent="0.2">
      <c r="A17" s="93" t="s">
        <v>73</v>
      </c>
      <c r="B17" s="94">
        <v>0</v>
      </c>
      <c r="C17" s="94">
        <v>42767</v>
      </c>
      <c r="D17" s="94">
        <v>69517</v>
      </c>
      <c r="E17" s="94">
        <v>71121</v>
      </c>
      <c r="F17" s="94">
        <v>42850</v>
      </c>
      <c r="G17" s="94">
        <v>43707</v>
      </c>
    </row>
    <row r="18" spans="1:7" x14ac:dyDescent="0.2">
      <c r="A18" s="93" t="s">
        <v>74</v>
      </c>
      <c r="B18" s="94">
        <v>0</v>
      </c>
      <c r="C18" s="94">
        <v>11286.639129999996</v>
      </c>
      <c r="D18" s="94">
        <v>17696.140019999992</v>
      </c>
      <c r="E18" s="94">
        <v>17315.05328</v>
      </c>
      <c r="F18" s="94">
        <v>9046.0893037646874</v>
      </c>
      <c r="G18" s="94">
        <v>20720.617722775554</v>
      </c>
    </row>
    <row r="19" spans="1:7" x14ac:dyDescent="0.2">
      <c r="A19" s="93" t="s">
        <v>75</v>
      </c>
      <c r="B19" s="94">
        <v>-100000</v>
      </c>
      <c r="C19" s="94">
        <v>0</v>
      </c>
      <c r="D19" s="94">
        <v>31780</v>
      </c>
      <c r="E19" s="94">
        <v>67541</v>
      </c>
      <c r="F19" s="94">
        <v>42000</v>
      </c>
      <c r="G19" s="94">
        <v>0</v>
      </c>
    </row>
    <row r="20" spans="1:7" x14ac:dyDescent="0.2">
      <c r="A20" s="93" t="s">
        <v>76</v>
      </c>
      <c r="B20" s="94">
        <v>0</v>
      </c>
      <c r="C20" s="94">
        <v>26000</v>
      </c>
      <c r="D20" s="94">
        <v>0</v>
      </c>
      <c r="E20" s="94">
        <v>0</v>
      </c>
      <c r="F20" s="94">
        <v>0</v>
      </c>
      <c r="G20" s="94">
        <v>0</v>
      </c>
    </row>
    <row r="21" spans="1:7" x14ac:dyDescent="0.2">
      <c r="A21" s="93" t="s">
        <v>77</v>
      </c>
      <c r="B21" s="94">
        <v>0</v>
      </c>
      <c r="C21" s="94">
        <v>0</v>
      </c>
      <c r="D21" s="94">
        <v>0</v>
      </c>
      <c r="E21" s="94">
        <v>25000</v>
      </c>
      <c r="F21" s="94">
        <v>5000</v>
      </c>
      <c r="G21" s="94">
        <v>0</v>
      </c>
    </row>
    <row r="22" spans="1:7" x14ac:dyDescent="0.2">
      <c r="A22" s="93" t="s">
        <v>78</v>
      </c>
      <c r="B22" s="94">
        <v>0</v>
      </c>
      <c r="C22" s="94">
        <v>0</v>
      </c>
      <c r="D22" s="94">
        <v>0</v>
      </c>
      <c r="E22" s="94">
        <v>25000</v>
      </c>
      <c r="F22" s="94">
        <v>0</v>
      </c>
      <c r="G22" s="94">
        <v>0</v>
      </c>
    </row>
    <row r="23" spans="1:7" x14ac:dyDescent="0.2">
      <c r="A23" s="93" t="s">
        <v>79</v>
      </c>
      <c r="B23" s="94">
        <v>0</v>
      </c>
      <c r="C23" s="94">
        <v>22300</v>
      </c>
      <c r="D23" s="94">
        <v>4700</v>
      </c>
      <c r="E23" s="94">
        <v>0</v>
      </c>
      <c r="F23" s="94">
        <v>0</v>
      </c>
      <c r="G23" s="94">
        <v>0</v>
      </c>
    </row>
    <row r="24" spans="1:7" x14ac:dyDescent="0.2">
      <c r="A24" s="93" t="s">
        <v>80</v>
      </c>
      <c r="B24" s="94">
        <v>75445</v>
      </c>
      <c r="C24" s="94"/>
      <c r="D24" s="94"/>
      <c r="E24" s="94"/>
      <c r="F24" s="94"/>
      <c r="G24" s="94"/>
    </row>
    <row r="25" spans="1:7" x14ac:dyDescent="0.2">
      <c r="A25" s="93" t="s">
        <v>153</v>
      </c>
      <c r="B25" s="95"/>
      <c r="C25" s="95"/>
      <c r="D25" s="95"/>
      <c r="E25" s="95"/>
      <c r="F25" s="95"/>
      <c r="G25" s="95"/>
    </row>
    <row r="26" spans="1:7" x14ac:dyDescent="0.2">
      <c r="A26" s="93" t="s">
        <v>81</v>
      </c>
      <c r="B26" s="95">
        <v>0</v>
      </c>
      <c r="C26" s="95">
        <v>-82845</v>
      </c>
      <c r="D26" s="95">
        <v>56124</v>
      </c>
      <c r="E26" s="95">
        <v>19736</v>
      </c>
      <c r="F26" s="95">
        <v>103129</v>
      </c>
      <c r="G26" s="95">
        <v>1316</v>
      </c>
    </row>
    <row r="27" spans="1:7" x14ac:dyDescent="0.2">
      <c r="A27" s="93" t="s">
        <v>82</v>
      </c>
      <c r="B27" s="95">
        <v>0</v>
      </c>
      <c r="C27" s="95">
        <v>15000</v>
      </c>
      <c r="D27" s="95">
        <v>13000</v>
      </c>
      <c r="E27" s="95">
        <v>-36000</v>
      </c>
      <c r="F27" s="95">
        <v>-23500</v>
      </c>
      <c r="G27" s="95">
        <v>18000</v>
      </c>
    </row>
    <row r="28" spans="1:7" x14ac:dyDescent="0.2">
      <c r="A28" s="93" t="s">
        <v>83</v>
      </c>
      <c r="B28" s="95">
        <v>0</v>
      </c>
      <c r="C28" s="95">
        <v>23500</v>
      </c>
      <c r="D28" s="95">
        <v>0</v>
      </c>
      <c r="E28" s="95">
        <v>-40000</v>
      </c>
      <c r="F28" s="95">
        <v>46000</v>
      </c>
      <c r="G28" s="95">
        <v>0</v>
      </c>
    </row>
    <row r="29" spans="1:7" x14ac:dyDescent="0.2">
      <c r="A29" s="93" t="s">
        <v>84</v>
      </c>
      <c r="B29" s="95">
        <v>0</v>
      </c>
      <c r="C29" s="95">
        <v>30000</v>
      </c>
      <c r="D29" s="95">
        <v>-17000</v>
      </c>
      <c r="E29" s="95">
        <v>0</v>
      </c>
      <c r="F29" s="95">
        <v>0</v>
      </c>
      <c r="G29" s="95">
        <v>0</v>
      </c>
    </row>
    <row r="30" spans="1:7" x14ac:dyDescent="0.2">
      <c r="A30" s="93"/>
      <c r="B30" s="95"/>
      <c r="C30" s="95"/>
      <c r="D30" s="95"/>
      <c r="E30" s="95"/>
      <c r="F30" s="95"/>
      <c r="G30" s="95"/>
    </row>
    <row r="31" spans="1:7" x14ac:dyDescent="0.2">
      <c r="A31" s="93" t="s">
        <v>154</v>
      </c>
      <c r="B31" s="96"/>
      <c r="C31" s="95"/>
      <c r="D31" s="95"/>
      <c r="E31" s="95"/>
      <c r="F31" s="95"/>
      <c r="G31" s="95"/>
    </row>
    <row r="32" spans="1:7" x14ac:dyDescent="0.2">
      <c r="A32" s="93" t="s">
        <v>85</v>
      </c>
      <c r="B32" s="95">
        <v>52941</v>
      </c>
      <c r="C32" s="95">
        <v>-42352.800000000003</v>
      </c>
      <c r="D32" s="95">
        <v>0</v>
      </c>
      <c r="E32" s="95">
        <v>0</v>
      </c>
      <c r="F32" s="95">
        <v>0</v>
      </c>
      <c r="G32" s="95">
        <v>33800</v>
      </c>
    </row>
    <row r="33" spans="1:7" x14ac:dyDescent="0.2">
      <c r="A33" s="93" t="s">
        <v>86</v>
      </c>
      <c r="B33" s="95">
        <v>0</v>
      </c>
      <c r="C33" s="95">
        <v>42000</v>
      </c>
      <c r="D33" s="95">
        <v>-42000</v>
      </c>
      <c r="E33" s="95">
        <v>0</v>
      </c>
      <c r="F33" s="95">
        <v>0</v>
      </c>
      <c r="G33" s="95">
        <v>0</v>
      </c>
    </row>
    <row r="34" spans="1:7" x14ac:dyDescent="0.2">
      <c r="A34" s="93" t="s">
        <v>87</v>
      </c>
      <c r="B34" s="95">
        <v>0</v>
      </c>
      <c r="C34" s="95">
        <v>0</v>
      </c>
      <c r="D34" s="95">
        <v>100000</v>
      </c>
      <c r="E34" s="95">
        <v>-100000</v>
      </c>
      <c r="F34" s="95">
        <v>0</v>
      </c>
      <c r="G34" s="95">
        <v>0</v>
      </c>
    </row>
    <row r="35" spans="1:7" x14ac:dyDescent="0.2">
      <c r="A35" s="93" t="s">
        <v>88</v>
      </c>
      <c r="B35" s="95">
        <v>0</v>
      </c>
      <c r="C35" s="95">
        <v>30490</v>
      </c>
      <c r="D35" s="95">
        <v>-11942</v>
      </c>
      <c r="E35" s="95">
        <v>-18548</v>
      </c>
      <c r="F35" s="95">
        <v>25000</v>
      </c>
      <c r="G35" s="95">
        <v>0</v>
      </c>
    </row>
    <row r="36" spans="1:7" x14ac:dyDescent="0.2">
      <c r="A36" s="93"/>
      <c r="B36" s="95"/>
      <c r="C36" s="95"/>
      <c r="D36" s="95"/>
      <c r="E36" s="95"/>
      <c r="F36" s="95"/>
      <c r="G36" s="95"/>
    </row>
    <row r="37" spans="1:7" x14ac:dyDescent="0.2">
      <c r="A37" s="93" t="s">
        <v>132</v>
      </c>
      <c r="B37" s="95">
        <v>24555</v>
      </c>
      <c r="C37" s="95">
        <v>-3230</v>
      </c>
      <c r="D37" s="95">
        <v>-12803</v>
      </c>
      <c r="E37" s="95">
        <v>31765</v>
      </c>
      <c r="F37" s="95">
        <v>-6111.3693037643097</v>
      </c>
      <c r="G37" s="95">
        <v>8686.1608847398311</v>
      </c>
    </row>
    <row r="38" spans="1:7" x14ac:dyDescent="0.2">
      <c r="A38" s="97" t="s">
        <v>89</v>
      </c>
      <c r="B38" s="95"/>
      <c r="C38" s="95"/>
      <c r="D38" s="95"/>
      <c r="E38" s="95"/>
      <c r="F38" s="95"/>
      <c r="G38" s="98"/>
    </row>
    <row r="39" spans="1:7" ht="13.5" thickBot="1" x14ac:dyDescent="0.25">
      <c r="A39" s="99"/>
      <c r="B39" s="100"/>
      <c r="C39" s="101"/>
      <c r="D39" s="101"/>
      <c r="E39" s="101"/>
      <c r="F39" s="101"/>
      <c r="G39" s="102"/>
    </row>
    <row r="40" spans="1:7" ht="14.25" thickTop="1" thickBot="1" x14ac:dyDescent="0.25">
      <c r="A40" s="103" t="str">
        <f>"Closing Balance"&amp;CHAR(178)</f>
        <v>Closing Balance²</v>
      </c>
      <c r="B40" s="104">
        <f t="shared" ref="B40:G40" si="0">SUM(B15:B39)</f>
        <v>2208203.3544091564</v>
      </c>
      <c r="C40" s="105">
        <f t="shared" si="0"/>
        <v>2323119.1935391566</v>
      </c>
      <c r="D40" s="105">
        <f t="shared" si="0"/>
        <v>2532191.3335591564</v>
      </c>
      <c r="E40" s="105">
        <f t="shared" si="0"/>
        <v>2595121.3868391565</v>
      </c>
      <c r="F40" s="105">
        <f t="shared" si="0"/>
        <v>2838535.1068391567</v>
      </c>
      <c r="G40" s="106">
        <f t="shared" si="0"/>
        <v>2964764.8854466723</v>
      </c>
    </row>
    <row r="42" spans="1:7" x14ac:dyDescent="0.2">
      <c r="A42" s="107" t="s">
        <v>90</v>
      </c>
    </row>
    <row r="43" spans="1:7" x14ac:dyDescent="0.2">
      <c r="A43" s="108"/>
    </row>
    <row r="44" spans="1:7" x14ac:dyDescent="0.2">
      <c r="A44" s="109">
        <v>1</v>
      </c>
      <c r="B44" s="141" t="s">
        <v>91</v>
      </c>
      <c r="C44" s="141"/>
      <c r="D44" s="141"/>
      <c r="E44" s="141"/>
      <c r="F44" s="141"/>
      <c r="G44" s="141"/>
    </row>
    <row r="45" spans="1:7" ht="26.25" customHeight="1" x14ac:dyDescent="0.2">
      <c r="A45" s="110">
        <v>2</v>
      </c>
      <c r="B45" s="141" t="s">
        <v>92</v>
      </c>
      <c r="C45" s="141"/>
      <c r="D45" s="141"/>
      <c r="E45" s="141"/>
      <c r="F45" s="141"/>
      <c r="G45" s="141"/>
    </row>
    <row r="46" spans="1:7" ht="12.75" customHeight="1" x14ac:dyDescent="0.2">
      <c r="A46" s="109">
        <v>3</v>
      </c>
      <c r="B46" s="141" t="s">
        <v>93</v>
      </c>
      <c r="C46" s="141"/>
      <c r="D46" s="141"/>
      <c r="E46" s="141"/>
      <c r="F46" s="141"/>
      <c r="G46" s="141"/>
    </row>
    <row r="47" spans="1:7" x14ac:dyDescent="0.2">
      <c r="A47" s="109"/>
      <c r="B47" s="141"/>
      <c r="C47" s="141"/>
      <c r="D47" s="141"/>
      <c r="E47" s="141"/>
      <c r="F47" s="141"/>
      <c r="G47" s="141"/>
    </row>
    <row r="48" spans="1:7" ht="14.25" customHeight="1" x14ac:dyDescent="0.2">
      <c r="A48" s="109"/>
      <c r="B48" s="141"/>
      <c r="C48" s="141"/>
      <c r="D48" s="141"/>
      <c r="E48" s="141"/>
      <c r="F48" s="141"/>
      <c r="G48" s="141"/>
    </row>
    <row r="49" spans="2:6" ht="3.75" customHeight="1" x14ac:dyDescent="0.2">
      <c r="B49" s="142"/>
      <c r="C49" s="142"/>
      <c r="D49" s="142"/>
      <c r="E49" s="142"/>
      <c r="F49" s="142"/>
    </row>
  </sheetData>
  <mergeCells count="6">
    <mergeCell ref="B49:F49"/>
    <mergeCell ref="A10:F10"/>
    <mergeCell ref="A11:F11"/>
    <mergeCell ref="B44:G44"/>
    <mergeCell ref="B45:G45"/>
    <mergeCell ref="B46:G48"/>
  </mergeCells>
  <dataValidations count="2">
    <dataValidation type="list" allowBlank="1" showInputMessage="1" showErrorMessage="1" sqref="B14:G14">
      <formula1>"CGAAP, MIFRS, USGAAP, ASPE"</formula1>
    </dataValidation>
    <dataValidation allowBlank="1" showInputMessage="1" showErrorMessage="1" promptTitle="Date Format" prompt="E.g:  &quot;August 1, 2011&quot;" sqref="G7"/>
  </dataValidations>
  <pageMargins left="0.75" right="0.75" top="1" bottom="1" header="0.5" footer="0.5"/>
  <pageSetup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theme="7" tint="0.39997558519241921"/>
    <pageSetUpPr fitToPage="1"/>
  </sheetPr>
  <dimension ref="A1:J67"/>
  <sheetViews>
    <sheetView showGridLines="0" zoomScaleNormal="100" workbookViewId="0">
      <selection activeCell="A25" sqref="A25:Z25"/>
    </sheetView>
  </sheetViews>
  <sheetFormatPr defaultColWidth="9.28515625" defaultRowHeight="12.75" x14ac:dyDescent="0.2"/>
  <cols>
    <col min="1" max="1" width="65.7109375" style="79" bestFit="1" customWidth="1"/>
    <col min="2" max="2" width="14.42578125" style="79" customWidth="1"/>
    <col min="3" max="3" width="14.28515625" style="79" customWidth="1"/>
    <col min="4" max="4" width="13.42578125" style="79" customWidth="1"/>
    <col min="5" max="7" width="12.7109375" style="79" customWidth="1"/>
    <col min="8" max="8" width="13.42578125" style="79" customWidth="1"/>
    <col min="9" max="9" width="16.5703125" style="79" customWidth="1"/>
    <col min="10" max="10" width="13.5703125" style="79" customWidth="1"/>
    <col min="11" max="16384" width="9.28515625" style="79"/>
  </cols>
  <sheetData>
    <row r="1" spans="1:10" x14ac:dyDescent="0.2">
      <c r="H1" s="111" t="s">
        <v>0</v>
      </c>
      <c r="I1" s="81" t="s">
        <v>150</v>
      </c>
    </row>
    <row r="2" spans="1:10" x14ac:dyDescent="0.2">
      <c r="H2" s="111" t="s">
        <v>3</v>
      </c>
      <c r="I2" s="82"/>
    </row>
    <row r="3" spans="1:10" x14ac:dyDescent="0.2">
      <c r="H3" s="111" t="s">
        <v>6</v>
      </c>
      <c r="I3" s="82"/>
    </row>
    <row r="4" spans="1:10" x14ac:dyDescent="0.2">
      <c r="H4" s="111" t="s">
        <v>10</v>
      </c>
      <c r="I4" s="82"/>
    </row>
    <row r="5" spans="1:10" x14ac:dyDescent="0.2">
      <c r="H5" s="111" t="s">
        <v>13</v>
      </c>
      <c r="I5" s="83"/>
    </row>
    <row r="6" spans="1:10" x14ac:dyDescent="0.2">
      <c r="H6" s="111"/>
      <c r="I6" s="81"/>
    </row>
    <row r="7" spans="1:10" x14ac:dyDescent="0.2">
      <c r="H7" s="111" t="s">
        <v>18</v>
      </c>
      <c r="I7" s="83"/>
    </row>
    <row r="9" spans="1:10" ht="18" x14ac:dyDescent="0.25">
      <c r="A9" s="144" t="s">
        <v>94</v>
      </c>
      <c r="B9" s="144"/>
      <c r="C9" s="144"/>
      <c r="D9" s="144"/>
      <c r="E9" s="144"/>
      <c r="F9" s="144"/>
      <c r="G9" s="144"/>
      <c r="H9" s="144"/>
      <c r="I9" s="112"/>
    </row>
    <row r="10" spans="1:10" ht="18" x14ac:dyDescent="0.25">
      <c r="A10" s="144" t="s">
        <v>95</v>
      </c>
      <c r="B10" s="144"/>
      <c r="C10" s="144"/>
      <c r="D10" s="144"/>
      <c r="E10" s="144"/>
      <c r="F10" s="144"/>
      <c r="G10" s="144"/>
      <c r="H10" s="144"/>
      <c r="I10" s="112"/>
    </row>
    <row r="12" spans="1:10" ht="13.5" thickBot="1" x14ac:dyDescent="0.25">
      <c r="A12" s="145"/>
      <c r="B12" s="145"/>
      <c r="C12" s="145"/>
      <c r="D12" s="145"/>
      <c r="E12" s="145"/>
      <c r="F12" s="145"/>
      <c r="G12" s="145"/>
      <c r="H12" s="145"/>
    </row>
    <row r="13" spans="1:10" ht="63" customHeight="1" thickBot="1" x14ac:dyDescent="0.25">
      <c r="A13" s="113" t="s">
        <v>96</v>
      </c>
      <c r="B13" s="86" t="s">
        <v>151</v>
      </c>
      <c r="C13" s="86" t="s">
        <v>59</v>
      </c>
      <c r="D13" s="86" t="s">
        <v>63</v>
      </c>
      <c r="E13" s="86" t="s">
        <v>146</v>
      </c>
      <c r="F13" s="86" t="s">
        <v>147</v>
      </c>
      <c r="G13" s="86" t="s">
        <v>148</v>
      </c>
      <c r="H13" s="87" t="s">
        <v>149</v>
      </c>
      <c r="I13" s="87" t="str">
        <f>"Variance 
(Test Year vs. " &amp; F13 &amp;")"</f>
        <v>Variance 
(Test Year vs. 2017 Actuals)</v>
      </c>
      <c r="J13" s="87" t="str">
        <f>"Variance 
(Test Year vs. " &amp; B13</f>
        <v>Variance 
(Test Year vs. Last Rebasing Year (2014 Board-Approved)</v>
      </c>
    </row>
    <row r="14" spans="1:10" ht="13.5" thickBot="1" x14ac:dyDescent="0.25">
      <c r="A14" s="88" t="s">
        <v>27</v>
      </c>
      <c r="B14" s="16"/>
      <c r="C14" s="16"/>
      <c r="D14" s="16"/>
      <c r="E14" s="16"/>
      <c r="F14" s="16"/>
      <c r="G14" s="16"/>
      <c r="H14" s="16"/>
      <c r="I14" s="16"/>
      <c r="J14" s="16"/>
    </row>
    <row r="15" spans="1:10" x14ac:dyDescent="0.2">
      <c r="A15" s="114" t="s">
        <v>97</v>
      </c>
      <c r="B15" s="115"/>
      <c r="C15" s="116"/>
      <c r="D15" s="116"/>
      <c r="E15" s="116"/>
      <c r="F15" s="116"/>
      <c r="G15" s="116"/>
      <c r="H15" s="116"/>
      <c r="I15" s="116"/>
      <c r="J15" s="116"/>
    </row>
    <row r="16" spans="1:10" x14ac:dyDescent="0.2">
      <c r="A16" s="117" t="s">
        <v>98</v>
      </c>
      <c r="B16" s="118">
        <v>516259.55082691566</v>
      </c>
      <c r="C16" s="118">
        <v>507767.05</v>
      </c>
      <c r="D16" s="118">
        <v>573431.58000000007</v>
      </c>
      <c r="E16" s="118">
        <v>482433.77</v>
      </c>
      <c r="F16" s="118">
        <v>555365.16</v>
      </c>
      <c r="G16" s="118">
        <v>547667.52</v>
      </c>
      <c r="H16" s="118">
        <v>612867.38046056859</v>
      </c>
      <c r="I16" s="119">
        <f t="shared" ref="I16:I53" si="0">H16-F16</f>
        <v>57502.220460568555</v>
      </c>
      <c r="J16" s="119">
        <f t="shared" ref="J16:J18" si="1">H16-B16</f>
        <v>96607.829633652931</v>
      </c>
    </row>
    <row r="17" spans="1:10" x14ac:dyDescent="0.2">
      <c r="A17" s="117" t="s">
        <v>99</v>
      </c>
      <c r="B17" s="118">
        <v>18000</v>
      </c>
      <c r="C17" s="118">
        <v>51788.81</v>
      </c>
      <c r="D17" s="118">
        <v>27718.1</v>
      </c>
      <c r="E17" s="118">
        <v>64753.88</v>
      </c>
      <c r="F17" s="118">
        <v>17788.759999999998</v>
      </c>
      <c r="G17" s="118">
        <v>18000</v>
      </c>
      <c r="H17" s="118">
        <v>20000.04</v>
      </c>
      <c r="I17" s="119">
        <f t="shared" si="0"/>
        <v>2211.2800000000025</v>
      </c>
      <c r="J17" s="119">
        <f t="shared" si="1"/>
        <v>2000.0400000000009</v>
      </c>
    </row>
    <row r="18" spans="1:10" x14ac:dyDescent="0.2">
      <c r="A18" s="117" t="s">
        <v>100</v>
      </c>
      <c r="B18" s="118">
        <v>0</v>
      </c>
      <c r="C18" s="118">
        <v>0</v>
      </c>
      <c r="D18" s="118">
        <v>0</v>
      </c>
      <c r="E18" s="118">
        <v>0</v>
      </c>
      <c r="F18" s="118">
        <v>0</v>
      </c>
      <c r="G18" s="118">
        <v>0</v>
      </c>
      <c r="H18" s="118">
        <v>0</v>
      </c>
      <c r="I18" s="119">
        <f t="shared" si="0"/>
        <v>0</v>
      </c>
      <c r="J18" s="119">
        <f t="shared" si="1"/>
        <v>0</v>
      </c>
    </row>
    <row r="19" spans="1:10" x14ac:dyDescent="0.2">
      <c r="A19" s="120" t="s">
        <v>101</v>
      </c>
      <c r="B19" s="115">
        <f>SUM(B16:B18)</f>
        <v>534259.55082691566</v>
      </c>
      <c r="C19" s="115">
        <f t="shared" ref="C19:J19" si="2">SUM(C16:C18)</f>
        <v>559555.86</v>
      </c>
      <c r="D19" s="115">
        <f t="shared" si="2"/>
        <v>601149.68000000005</v>
      </c>
      <c r="E19" s="115">
        <f t="shared" si="2"/>
        <v>547187.65</v>
      </c>
      <c r="F19" s="115">
        <f t="shared" si="2"/>
        <v>573153.92000000004</v>
      </c>
      <c r="G19" s="115">
        <f t="shared" si="2"/>
        <v>565667.52</v>
      </c>
      <c r="H19" s="115">
        <f t="shared" si="2"/>
        <v>632867.42046056862</v>
      </c>
      <c r="I19" s="115">
        <f t="shared" si="2"/>
        <v>59713.500460568554</v>
      </c>
      <c r="J19" s="115">
        <f t="shared" si="2"/>
        <v>98607.869633652939</v>
      </c>
    </row>
    <row r="20" spans="1:10" x14ac:dyDescent="0.2">
      <c r="A20" s="121" t="s">
        <v>28</v>
      </c>
      <c r="B20" s="115"/>
      <c r="C20" s="116"/>
      <c r="D20" s="116"/>
      <c r="E20" s="116"/>
      <c r="F20" s="116"/>
      <c r="G20" s="116"/>
      <c r="H20" s="116"/>
      <c r="I20" s="119"/>
      <c r="J20" s="119"/>
    </row>
    <row r="21" spans="1:10" x14ac:dyDescent="0.2">
      <c r="A21" s="117" t="s">
        <v>102</v>
      </c>
      <c r="B21" s="118">
        <v>114036.8526592674</v>
      </c>
      <c r="C21" s="118">
        <v>141357.12</v>
      </c>
      <c r="D21" s="118">
        <v>165091.70000000001</v>
      </c>
      <c r="E21" s="118">
        <v>147767.63</v>
      </c>
      <c r="F21" s="118">
        <v>133371.66999999998</v>
      </c>
      <c r="G21" s="118">
        <v>97971.449999999983</v>
      </c>
      <c r="H21" s="118">
        <v>131198.3633344089</v>
      </c>
      <c r="I21" s="119">
        <f>H21-F21</f>
        <v>-2173.3066655910807</v>
      </c>
      <c r="J21" s="119">
        <f>H21-B21</f>
        <v>17161.510675141501</v>
      </c>
    </row>
    <row r="22" spans="1:10" x14ac:dyDescent="0.2">
      <c r="A22" s="117" t="s">
        <v>103</v>
      </c>
      <c r="B22" s="118">
        <v>48552.899451256031</v>
      </c>
      <c r="C22" s="118">
        <v>37319.31</v>
      </c>
      <c r="D22" s="118">
        <v>52839.600000000006</v>
      </c>
      <c r="E22" s="118">
        <v>64984.4</v>
      </c>
      <c r="F22" s="118">
        <v>38961.839999999997</v>
      </c>
      <c r="G22" s="118">
        <v>15448.599999999993</v>
      </c>
      <c r="H22" s="118">
        <v>33641.563441225859</v>
      </c>
      <c r="I22" s="119">
        <f t="shared" si="0"/>
        <v>-5320.2765587741378</v>
      </c>
      <c r="J22" s="119">
        <f t="shared" ref="J22:J34" si="3">H22-B22</f>
        <v>-14911.336010030172</v>
      </c>
    </row>
    <row r="23" spans="1:10" x14ac:dyDescent="0.2">
      <c r="A23" s="117" t="s">
        <v>104</v>
      </c>
      <c r="B23" s="118">
        <v>115386.22566092727</v>
      </c>
      <c r="C23" s="118">
        <v>48784.89</v>
      </c>
      <c r="D23" s="118">
        <v>68932.900000000009</v>
      </c>
      <c r="E23" s="118">
        <v>69501.490000000005</v>
      </c>
      <c r="F23" s="118">
        <v>78929.7</v>
      </c>
      <c r="G23" s="118">
        <v>93582.409999999974</v>
      </c>
      <c r="H23" s="118">
        <v>98565.560004568484</v>
      </c>
      <c r="I23" s="119">
        <f t="shared" si="0"/>
        <v>19635.860004568487</v>
      </c>
      <c r="J23" s="119">
        <f t="shared" si="3"/>
        <v>-16820.665656358789</v>
      </c>
    </row>
    <row r="24" spans="1:10" x14ac:dyDescent="0.2">
      <c r="A24" s="117" t="s">
        <v>105</v>
      </c>
      <c r="B24" s="118">
        <v>110908.09479547528</v>
      </c>
      <c r="C24" s="118">
        <v>94950.180000000008</v>
      </c>
      <c r="D24" s="118">
        <v>113901.98</v>
      </c>
      <c r="E24" s="118">
        <v>166422.46</v>
      </c>
      <c r="F24" s="118">
        <v>145614.44</v>
      </c>
      <c r="G24" s="118">
        <v>169166.97870934918</v>
      </c>
      <c r="H24" s="118">
        <v>164598.35776422138</v>
      </c>
      <c r="I24" s="119">
        <f t="shared" si="0"/>
        <v>18983.917764221376</v>
      </c>
      <c r="J24" s="119">
        <f t="shared" si="3"/>
        <v>53690.262968746101</v>
      </c>
    </row>
    <row r="25" spans="1:10" x14ac:dyDescent="0.2">
      <c r="A25" s="117" t="s">
        <v>106</v>
      </c>
      <c r="B25" s="118">
        <v>0</v>
      </c>
      <c r="C25" s="118">
        <v>0</v>
      </c>
      <c r="D25" s="118">
        <v>0</v>
      </c>
      <c r="E25" s="118">
        <v>0</v>
      </c>
      <c r="F25" s="118">
        <v>0</v>
      </c>
      <c r="G25" s="118">
        <v>0</v>
      </c>
      <c r="H25" s="118">
        <v>0</v>
      </c>
      <c r="I25" s="119">
        <f t="shared" si="0"/>
        <v>0</v>
      </c>
      <c r="J25" s="119">
        <f t="shared" si="3"/>
        <v>0</v>
      </c>
    </row>
    <row r="26" spans="1:10" x14ac:dyDescent="0.2">
      <c r="A26" s="117" t="s">
        <v>107</v>
      </c>
      <c r="B26" s="118">
        <v>141643.42946746523</v>
      </c>
      <c r="C26" s="118">
        <v>154412.49</v>
      </c>
      <c r="D26" s="118">
        <v>151554.63</v>
      </c>
      <c r="E26" s="118">
        <v>183886.88</v>
      </c>
      <c r="F26" s="118">
        <v>259156.36000000002</v>
      </c>
      <c r="G26" s="118">
        <v>348849.23429016734</v>
      </c>
      <c r="H26" s="118">
        <v>328887.92069629114</v>
      </c>
      <c r="I26" s="119">
        <f t="shared" si="0"/>
        <v>69731.560696291126</v>
      </c>
      <c r="J26" s="119">
        <f t="shared" si="3"/>
        <v>187244.49122882591</v>
      </c>
    </row>
    <row r="27" spans="1:10" x14ac:dyDescent="0.2">
      <c r="A27" s="117" t="s">
        <v>108</v>
      </c>
      <c r="B27" s="118">
        <v>89480.492528635223</v>
      </c>
      <c r="C27" s="118">
        <v>63453.55</v>
      </c>
      <c r="D27" s="118">
        <v>117548.45000000001</v>
      </c>
      <c r="E27" s="118">
        <v>94946.42</v>
      </c>
      <c r="F27" s="118">
        <v>91333.58</v>
      </c>
      <c r="G27" s="118">
        <v>97612.157000483508</v>
      </c>
      <c r="H27" s="118">
        <v>81202.901507310715</v>
      </c>
      <c r="I27" s="119">
        <f t="shared" si="0"/>
        <v>-10130.678492689287</v>
      </c>
      <c r="J27" s="119">
        <f t="shared" si="3"/>
        <v>-8277.5910213245079</v>
      </c>
    </row>
    <row r="28" spans="1:10" x14ac:dyDescent="0.2">
      <c r="A28" s="117" t="s">
        <v>109</v>
      </c>
      <c r="B28" s="118">
        <v>33366.773546590455</v>
      </c>
      <c r="C28" s="118">
        <v>48372.83</v>
      </c>
      <c r="D28" s="118">
        <v>42832.79</v>
      </c>
      <c r="E28" s="118">
        <v>40598.54</v>
      </c>
      <c r="F28" s="118">
        <v>41093.230000000003</v>
      </c>
      <c r="G28" s="118">
        <v>52815.97</v>
      </c>
      <c r="H28" s="118">
        <v>51313.470603710084</v>
      </c>
      <c r="I28" s="119">
        <f t="shared" si="0"/>
        <v>10220.240603710081</v>
      </c>
      <c r="J28" s="119">
        <f t="shared" si="3"/>
        <v>17946.697057119629</v>
      </c>
    </row>
    <row r="29" spans="1:10" x14ac:dyDescent="0.2">
      <c r="A29" s="117" t="s">
        <v>110</v>
      </c>
      <c r="B29" s="118">
        <v>119013.47157910414</v>
      </c>
      <c r="C29" s="118">
        <v>111222.46</v>
      </c>
      <c r="D29" s="118">
        <v>113148.12</v>
      </c>
      <c r="E29" s="118">
        <v>152109.51999999999</v>
      </c>
      <c r="F29" s="118">
        <v>135409.96</v>
      </c>
      <c r="G29" s="118">
        <v>57038.21</v>
      </c>
      <c r="H29" s="118">
        <v>73350.388374750459</v>
      </c>
      <c r="I29" s="119">
        <f t="shared" si="0"/>
        <v>-62059.571625249533</v>
      </c>
      <c r="J29" s="119">
        <f t="shared" si="3"/>
        <v>-45663.083204353679</v>
      </c>
    </row>
    <row r="30" spans="1:10" x14ac:dyDescent="0.2">
      <c r="A30" s="117" t="s">
        <v>111</v>
      </c>
      <c r="B30" s="118">
        <v>43238.53431149177</v>
      </c>
      <c r="C30" s="118">
        <v>60022.520000000004</v>
      </c>
      <c r="D30" s="118">
        <v>26607.99</v>
      </c>
      <c r="E30" s="118">
        <v>44823.62</v>
      </c>
      <c r="F30" s="118">
        <v>40319.89</v>
      </c>
      <c r="G30" s="118">
        <v>31397.11</v>
      </c>
      <c r="H30" s="118">
        <v>33026.277426663321</v>
      </c>
      <c r="I30" s="119">
        <f t="shared" si="0"/>
        <v>-7293.6125733366789</v>
      </c>
      <c r="J30" s="119">
        <f t="shared" si="3"/>
        <v>-10212.25688482845</v>
      </c>
    </row>
    <row r="31" spans="1:10" x14ac:dyDescent="0.2">
      <c r="A31" s="117" t="s">
        <v>83</v>
      </c>
      <c r="B31" s="118">
        <v>65406.848454548424</v>
      </c>
      <c r="C31" s="118">
        <v>45225.1</v>
      </c>
      <c r="D31" s="118">
        <v>68691.25</v>
      </c>
      <c r="E31" s="118">
        <v>66939.31</v>
      </c>
      <c r="F31" s="118">
        <v>27851.26</v>
      </c>
      <c r="G31" s="118">
        <v>73920.960000000006</v>
      </c>
      <c r="H31" s="118">
        <v>76237.622814579096</v>
      </c>
      <c r="I31" s="119">
        <f t="shared" si="0"/>
        <v>48386.362814579101</v>
      </c>
      <c r="J31" s="119">
        <f t="shared" si="3"/>
        <v>10830.774360030671</v>
      </c>
    </row>
    <row r="32" spans="1:10" x14ac:dyDescent="0.2">
      <c r="A32" s="117" t="s">
        <v>112</v>
      </c>
      <c r="B32" s="118">
        <v>0</v>
      </c>
      <c r="C32" s="118">
        <v>0</v>
      </c>
      <c r="D32" s="118">
        <v>0</v>
      </c>
      <c r="E32" s="118">
        <v>0</v>
      </c>
      <c r="F32" s="118">
        <v>0</v>
      </c>
      <c r="G32" s="118">
        <v>0</v>
      </c>
      <c r="H32" s="118">
        <v>0</v>
      </c>
      <c r="I32" s="119">
        <f t="shared" si="0"/>
        <v>0</v>
      </c>
      <c r="J32" s="119">
        <f t="shared" si="3"/>
        <v>0</v>
      </c>
    </row>
    <row r="33" spans="1:10" x14ac:dyDescent="0.2">
      <c r="A33" s="117" t="s">
        <v>113</v>
      </c>
      <c r="B33" s="118">
        <v>67143.313053382735</v>
      </c>
      <c r="C33" s="118">
        <v>98538.01</v>
      </c>
      <c r="D33" s="118">
        <v>78968.489999999991</v>
      </c>
      <c r="E33" s="118">
        <v>98587.799999999988</v>
      </c>
      <c r="F33" s="118">
        <v>96561.93</v>
      </c>
      <c r="G33" s="118">
        <v>68082.149999999994</v>
      </c>
      <c r="H33" s="118">
        <v>89378.032995623988</v>
      </c>
      <c r="I33" s="119">
        <f t="shared" si="0"/>
        <v>-7183.8970043760055</v>
      </c>
      <c r="J33" s="119">
        <f t="shared" si="3"/>
        <v>22234.719942241252</v>
      </c>
    </row>
    <row r="34" spans="1:10" x14ac:dyDescent="0.2">
      <c r="A34" s="117" t="s">
        <v>114</v>
      </c>
      <c r="B34" s="118">
        <v>0</v>
      </c>
      <c r="C34" s="118">
        <v>0</v>
      </c>
      <c r="D34" s="118">
        <v>0</v>
      </c>
      <c r="E34" s="118">
        <v>0</v>
      </c>
      <c r="F34" s="118">
        <v>0</v>
      </c>
      <c r="G34" s="118">
        <v>0</v>
      </c>
      <c r="H34" s="118">
        <v>0</v>
      </c>
      <c r="I34" s="119">
        <f t="shared" si="0"/>
        <v>0</v>
      </c>
      <c r="J34" s="119">
        <f t="shared" si="3"/>
        <v>0</v>
      </c>
    </row>
    <row r="35" spans="1:10" x14ac:dyDescent="0.2">
      <c r="A35" s="120" t="s">
        <v>101</v>
      </c>
      <c r="B35" s="115">
        <f>SUM(B21:B34)</f>
        <v>948176.93550814386</v>
      </c>
      <c r="C35" s="115">
        <f t="shared" ref="C35:J35" si="4">SUM(C21:C34)</f>
        <v>903658.46</v>
      </c>
      <c r="D35" s="115">
        <f t="shared" si="4"/>
        <v>1000117.9</v>
      </c>
      <c r="E35" s="115">
        <f t="shared" si="4"/>
        <v>1130568.07</v>
      </c>
      <c r="F35" s="115">
        <f t="shared" si="4"/>
        <v>1088603.8599999999</v>
      </c>
      <c r="G35" s="115">
        <f t="shared" si="4"/>
        <v>1105885.2299999997</v>
      </c>
      <c r="H35" s="115">
        <f t="shared" si="4"/>
        <v>1161400.4589633534</v>
      </c>
      <c r="I35" s="115">
        <f t="shared" si="4"/>
        <v>72796.598963353448</v>
      </c>
      <c r="J35" s="115">
        <f t="shared" si="4"/>
        <v>213223.52345520945</v>
      </c>
    </row>
    <row r="36" spans="1:10" x14ac:dyDescent="0.2">
      <c r="A36" s="121" t="s">
        <v>42</v>
      </c>
      <c r="B36" s="115"/>
      <c r="C36" s="116"/>
      <c r="D36" s="116"/>
      <c r="E36" s="116"/>
      <c r="F36" s="116"/>
      <c r="G36" s="116"/>
      <c r="H36" s="116"/>
      <c r="I36" s="119"/>
      <c r="J36" s="119"/>
    </row>
    <row r="37" spans="1:10" x14ac:dyDescent="0.2">
      <c r="A37" s="117" t="s">
        <v>115</v>
      </c>
      <c r="B37" s="118">
        <v>17800</v>
      </c>
      <c r="C37" s="118">
        <v>578</v>
      </c>
      <c r="D37" s="118">
        <v>757.65</v>
      </c>
      <c r="E37" s="118">
        <v>9700</v>
      </c>
      <c r="F37" s="118">
        <v>4161.21</v>
      </c>
      <c r="G37" s="118">
        <v>9477.34</v>
      </c>
      <c r="H37" s="118">
        <v>11484.753561720259</v>
      </c>
      <c r="I37" s="119">
        <f t="shared" ref="I37:I46" si="5">H37-F37</f>
        <v>7323.5435617202593</v>
      </c>
      <c r="J37" s="119">
        <f t="shared" ref="J37:J53" si="6">H37-B37</f>
        <v>-6315.2464382797407</v>
      </c>
    </row>
    <row r="38" spans="1:10" x14ac:dyDescent="0.2">
      <c r="A38" s="117" t="s">
        <v>116</v>
      </c>
      <c r="B38" s="118">
        <v>0</v>
      </c>
      <c r="C38" s="118">
        <v>0</v>
      </c>
      <c r="D38" s="118">
        <v>0</v>
      </c>
      <c r="E38" s="118">
        <v>0</v>
      </c>
      <c r="F38" s="118">
        <v>0</v>
      </c>
      <c r="G38" s="118">
        <v>0</v>
      </c>
      <c r="H38" s="118">
        <v>0</v>
      </c>
      <c r="I38" s="119">
        <f t="shared" si="5"/>
        <v>0</v>
      </c>
      <c r="J38" s="119">
        <f t="shared" si="6"/>
        <v>0</v>
      </c>
    </row>
    <row r="39" spans="1:10" x14ac:dyDescent="0.2">
      <c r="A39" s="117" t="s">
        <v>117</v>
      </c>
      <c r="B39" s="118">
        <v>413879.71172044985</v>
      </c>
      <c r="C39" s="118">
        <v>487200.74</v>
      </c>
      <c r="D39" s="118">
        <v>408252.44999999995</v>
      </c>
      <c r="E39" s="118">
        <v>510151.3</v>
      </c>
      <c r="F39" s="118">
        <v>548373.47</v>
      </c>
      <c r="G39" s="118">
        <v>728665.71</v>
      </c>
      <c r="H39" s="118">
        <v>709984.66462360346</v>
      </c>
      <c r="I39" s="119">
        <f t="shared" si="5"/>
        <v>161611.19462360349</v>
      </c>
      <c r="J39" s="119">
        <f t="shared" si="6"/>
        <v>296104.95290315361</v>
      </c>
    </row>
    <row r="40" spans="1:10" x14ac:dyDescent="0.2">
      <c r="A40" s="117" t="s">
        <v>118</v>
      </c>
      <c r="B40" s="118">
        <v>24494</v>
      </c>
      <c r="C40" s="118">
        <v>17314.48</v>
      </c>
      <c r="D40" s="118">
        <v>11945</v>
      </c>
      <c r="E40" s="118">
        <v>41016.58</v>
      </c>
      <c r="F40" s="118">
        <v>26914.05</v>
      </c>
      <c r="G40" s="118">
        <v>49029.87</v>
      </c>
      <c r="H40" s="118">
        <v>53453.039999999986</v>
      </c>
      <c r="I40" s="119">
        <f t="shared" si="5"/>
        <v>26538.989999999987</v>
      </c>
      <c r="J40" s="119">
        <f t="shared" si="6"/>
        <v>28959.039999999986</v>
      </c>
    </row>
    <row r="41" spans="1:10" x14ac:dyDescent="0.2">
      <c r="A41" s="117" t="s">
        <v>119</v>
      </c>
      <c r="B41" s="118">
        <v>0</v>
      </c>
      <c r="C41" s="118">
        <v>0</v>
      </c>
      <c r="D41" s="118">
        <v>0</v>
      </c>
      <c r="E41" s="118">
        <v>0</v>
      </c>
      <c r="F41" s="118">
        <v>0</v>
      </c>
      <c r="G41" s="118">
        <v>0</v>
      </c>
      <c r="H41" s="118">
        <v>0</v>
      </c>
      <c r="I41" s="119">
        <f t="shared" si="5"/>
        <v>0</v>
      </c>
      <c r="J41" s="119">
        <f t="shared" si="6"/>
        <v>0</v>
      </c>
    </row>
    <row r="42" spans="1:10" x14ac:dyDescent="0.2">
      <c r="A42" s="117" t="s">
        <v>120</v>
      </c>
      <c r="B42" s="118">
        <v>31750.000000000004</v>
      </c>
      <c r="C42" s="118">
        <v>33904.49</v>
      </c>
      <c r="D42" s="118">
        <v>28191.14</v>
      </c>
      <c r="E42" s="118">
        <v>24947.75</v>
      </c>
      <c r="F42" s="118">
        <v>25362.04</v>
      </c>
      <c r="G42" s="118">
        <v>25264.230000000003</v>
      </c>
      <c r="H42" s="118">
        <v>27182.640000000003</v>
      </c>
      <c r="I42" s="119">
        <f t="shared" si="5"/>
        <v>1820.6000000000022</v>
      </c>
      <c r="J42" s="119">
        <f t="shared" si="6"/>
        <v>-4567.3600000000006</v>
      </c>
    </row>
    <row r="43" spans="1:10" x14ac:dyDescent="0.2">
      <c r="A43" s="117" t="s">
        <v>121</v>
      </c>
      <c r="B43" s="118">
        <v>146242.15635364718</v>
      </c>
      <c r="C43" s="118">
        <v>144969.75</v>
      </c>
      <c r="D43" s="118">
        <v>151622.49</v>
      </c>
      <c r="E43" s="118">
        <v>162161.54</v>
      </c>
      <c r="F43" s="118">
        <v>202528.91</v>
      </c>
      <c r="G43" s="118">
        <v>229272.10000000003</v>
      </c>
      <c r="H43" s="118">
        <v>213514.76419470581</v>
      </c>
      <c r="I43" s="119">
        <f t="shared" si="5"/>
        <v>10985.854194705811</v>
      </c>
      <c r="J43" s="119">
        <f t="shared" si="6"/>
        <v>67272.607841058634</v>
      </c>
    </row>
    <row r="44" spans="1:10" x14ac:dyDescent="0.2">
      <c r="A44" s="117" t="s">
        <v>122</v>
      </c>
      <c r="B44" s="118">
        <v>0</v>
      </c>
      <c r="C44" s="118">
        <v>0</v>
      </c>
      <c r="D44" s="118">
        <v>0</v>
      </c>
      <c r="E44" s="118">
        <v>0</v>
      </c>
      <c r="F44" s="118">
        <v>0</v>
      </c>
      <c r="G44" s="118">
        <v>0</v>
      </c>
      <c r="H44" s="118">
        <v>0</v>
      </c>
      <c r="I44" s="119">
        <f t="shared" si="5"/>
        <v>0</v>
      </c>
      <c r="J44" s="119">
        <f t="shared" si="6"/>
        <v>0</v>
      </c>
    </row>
    <row r="45" spans="1:10" x14ac:dyDescent="0.2">
      <c r="A45" s="117" t="s">
        <v>123</v>
      </c>
      <c r="B45" s="118">
        <v>0</v>
      </c>
      <c r="C45" s="118">
        <v>0</v>
      </c>
      <c r="D45" s="118">
        <v>0</v>
      </c>
      <c r="E45" s="118">
        <v>0</v>
      </c>
      <c r="F45" s="118">
        <v>0</v>
      </c>
      <c r="G45" s="118">
        <v>0</v>
      </c>
      <c r="H45" s="118">
        <v>0</v>
      </c>
      <c r="I45" s="119">
        <f t="shared" si="5"/>
        <v>0</v>
      </c>
      <c r="J45" s="119">
        <f t="shared" si="6"/>
        <v>0</v>
      </c>
    </row>
    <row r="46" spans="1:10" x14ac:dyDescent="0.2">
      <c r="A46" s="117" t="s">
        <v>124</v>
      </c>
      <c r="B46" s="118">
        <v>0</v>
      </c>
      <c r="C46" s="118">
        <v>0</v>
      </c>
      <c r="D46" s="118">
        <v>0</v>
      </c>
      <c r="E46" s="118">
        <v>0</v>
      </c>
      <c r="F46" s="118">
        <v>0</v>
      </c>
      <c r="G46" s="118">
        <v>0</v>
      </c>
      <c r="H46" s="118">
        <v>0</v>
      </c>
      <c r="I46" s="119">
        <f t="shared" si="5"/>
        <v>0</v>
      </c>
      <c r="J46" s="119">
        <f t="shared" si="6"/>
        <v>0</v>
      </c>
    </row>
    <row r="47" spans="1:10" x14ac:dyDescent="0.2">
      <c r="A47" s="117" t="s">
        <v>125</v>
      </c>
      <c r="B47" s="118">
        <v>53000</v>
      </c>
      <c r="C47" s="118">
        <v>32347.66</v>
      </c>
      <c r="D47" s="118">
        <v>46540.19</v>
      </c>
      <c r="E47" s="118">
        <v>38202.080000000002</v>
      </c>
      <c r="F47" s="118">
        <v>46760.52</v>
      </c>
      <c r="G47" s="118">
        <v>56605.83</v>
      </c>
      <c r="H47" s="118">
        <v>82150.631698969926</v>
      </c>
      <c r="I47" s="119">
        <f t="shared" si="0"/>
        <v>35390.111698969929</v>
      </c>
      <c r="J47" s="119">
        <f t="shared" si="6"/>
        <v>29150.631698969926</v>
      </c>
    </row>
    <row r="48" spans="1:10" x14ac:dyDescent="0.2">
      <c r="A48" s="117" t="s">
        <v>126</v>
      </c>
      <c r="B48" s="118">
        <v>0</v>
      </c>
      <c r="C48" s="118">
        <v>0</v>
      </c>
      <c r="D48" s="118">
        <v>0</v>
      </c>
      <c r="E48" s="118">
        <v>0</v>
      </c>
      <c r="F48" s="118">
        <v>0</v>
      </c>
      <c r="G48" s="118">
        <v>0</v>
      </c>
      <c r="H48" s="118">
        <v>0</v>
      </c>
      <c r="I48" s="119">
        <f t="shared" si="0"/>
        <v>0</v>
      </c>
      <c r="J48" s="119">
        <f t="shared" si="6"/>
        <v>0</v>
      </c>
    </row>
    <row r="49" spans="1:10" x14ac:dyDescent="0.2">
      <c r="A49" s="117" t="s">
        <v>127</v>
      </c>
      <c r="B49" s="118">
        <v>0</v>
      </c>
      <c r="C49" s="118">
        <v>0</v>
      </c>
      <c r="D49" s="118">
        <v>0</v>
      </c>
      <c r="E49" s="118">
        <v>0</v>
      </c>
      <c r="F49" s="118">
        <v>0</v>
      </c>
      <c r="G49" s="118">
        <v>0</v>
      </c>
      <c r="H49" s="118">
        <v>0</v>
      </c>
      <c r="I49" s="119">
        <f t="shared" si="0"/>
        <v>0</v>
      </c>
      <c r="J49" s="119">
        <f t="shared" si="6"/>
        <v>0</v>
      </c>
    </row>
    <row r="50" spans="1:10" x14ac:dyDescent="0.2">
      <c r="A50" s="117" t="s">
        <v>128</v>
      </c>
      <c r="B50" s="118">
        <v>0</v>
      </c>
      <c r="C50" s="118">
        <v>0</v>
      </c>
      <c r="D50" s="118">
        <v>0</v>
      </c>
      <c r="E50" s="118">
        <v>0</v>
      </c>
      <c r="F50" s="118">
        <v>0</v>
      </c>
      <c r="G50" s="118">
        <v>0</v>
      </c>
      <c r="H50" s="118">
        <v>0</v>
      </c>
      <c r="I50" s="119">
        <f t="shared" si="0"/>
        <v>0</v>
      </c>
      <c r="J50" s="119">
        <f t="shared" si="6"/>
        <v>0</v>
      </c>
    </row>
    <row r="51" spans="1:10" x14ac:dyDescent="0.2">
      <c r="A51" s="117" t="s">
        <v>129</v>
      </c>
      <c r="B51" s="118">
        <v>5300</v>
      </c>
      <c r="C51" s="118">
        <v>5061.21</v>
      </c>
      <c r="D51" s="118">
        <v>5314.74</v>
      </c>
      <c r="E51" s="118">
        <v>5127.18</v>
      </c>
      <c r="F51" s="118">
        <v>5194</v>
      </c>
      <c r="G51" s="118">
        <v>5202</v>
      </c>
      <c r="H51" s="118">
        <v>5264.3999999999987</v>
      </c>
      <c r="I51" s="119">
        <f t="shared" si="0"/>
        <v>70.399999999998727</v>
      </c>
      <c r="J51" s="119">
        <f t="shared" si="6"/>
        <v>-35.600000000001273</v>
      </c>
    </row>
    <row r="52" spans="1:10" x14ac:dyDescent="0.2">
      <c r="A52" s="117" t="s">
        <v>130</v>
      </c>
      <c r="B52" s="118">
        <v>0</v>
      </c>
      <c r="C52" s="118">
        <v>0</v>
      </c>
      <c r="D52" s="118">
        <v>0</v>
      </c>
      <c r="E52" s="118">
        <v>0</v>
      </c>
      <c r="F52" s="118">
        <v>0</v>
      </c>
      <c r="G52" s="118">
        <v>5693.85</v>
      </c>
      <c r="H52" s="118">
        <v>7209.3951045936565</v>
      </c>
      <c r="I52" s="119">
        <f t="shared" si="0"/>
        <v>7209.3951045936565</v>
      </c>
      <c r="J52" s="119">
        <f t="shared" si="6"/>
        <v>7209.3951045936565</v>
      </c>
    </row>
    <row r="53" spans="1:10" x14ac:dyDescent="0.2">
      <c r="A53" s="117" t="s">
        <v>131</v>
      </c>
      <c r="B53" s="118">
        <v>0</v>
      </c>
      <c r="C53" s="118">
        <v>0</v>
      </c>
      <c r="D53" s="118">
        <v>12213.85</v>
      </c>
      <c r="E53" s="118">
        <v>6693.85</v>
      </c>
      <c r="F53" s="118">
        <v>6693.85</v>
      </c>
      <c r="G53" s="118">
        <v>0</v>
      </c>
      <c r="H53" s="118">
        <v>0</v>
      </c>
      <c r="I53" s="119">
        <f t="shared" si="0"/>
        <v>-6693.85</v>
      </c>
      <c r="J53" s="119">
        <f t="shared" si="6"/>
        <v>0</v>
      </c>
    </row>
    <row r="54" spans="1:10" x14ac:dyDescent="0.2">
      <c r="A54" s="117" t="s">
        <v>132</v>
      </c>
      <c r="B54" s="118">
        <v>-19640.000000000004</v>
      </c>
      <c r="C54" s="118">
        <v>23612.36</v>
      </c>
      <c r="D54" s="118">
        <v>57013.799999999996</v>
      </c>
      <c r="E54" s="118">
        <v>56434.83</v>
      </c>
      <c r="F54" s="118">
        <v>67374.8</v>
      </c>
      <c r="G54" s="118">
        <v>57771.670000000006</v>
      </c>
      <c r="H54" s="118">
        <v>60252.960000000014</v>
      </c>
      <c r="I54" s="119">
        <f>H54-F54</f>
        <v>-7121.8399999999892</v>
      </c>
      <c r="J54" s="119">
        <f>H54-B54</f>
        <v>79892.960000000021</v>
      </c>
    </row>
    <row r="55" spans="1:10" ht="13.5" thickBot="1" x14ac:dyDescent="0.25">
      <c r="A55" s="120" t="s">
        <v>101</v>
      </c>
      <c r="B55" s="115">
        <f>SUM(B37:B54)</f>
        <v>672825.86807409697</v>
      </c>
      <c r="C55" s="115">
        <f t="shared" ref="C55:J55" si="7">SUM(C37:C54)</f>
        <v>744988.69</v>
      </c>
      <c r="D55" s="115">
        <f t="shared" si="7"/>
        <v>721851.30999999994</v>
      </c>
      <c r="E55" s="115">
        <f t="shared" si="7"/>
        <v>854435.11</v>
      </c>
      <c r="F55" s="115">
        <f t="shared" si="7"/>
        <v>933362.85000000009</v>
      </c>
      <c r="G55" s="115">
        <f t="shared" si="7"/>
        <v>1166982.6000000001</v>
      </c>
      <c r="H55" s="115">
        <f t="shared" si="7"/>
        <v>1170497.2491835931</v>
      </c>
      <c r="I55" s="115">
        <f t="shared" si="7"/>
        <v>237134.39918359314</v>
      </c>
      <c r="J55" s="115">
        <f t="shared" si="7"/>
        <v>497671.38110949611</v>
      </c>
    </row>
    <row r="56" spans="1:10" ht="14.25" thickTop="1" thickBot="1" x14ac:dyDescent="0.25">
      <c r="A56" s="122" t="s">
        <v>47</v>
      </c>
      <c r="B56" s="122">
        <f t="shared" ref="B56:H56" si="8">SUMPRODUCT(--($A15:$A55="Sub-Total"), B$15:B$55)</f>
        <v>2155262.3544091564</v>
      </c>
      <c r="C56" s="122">
        <f t="shared" si="8"/>
        <v>2208203.0099999998</v>
      </c>
      <c r="D56" s="122">
        <f t="shared" si="8"/>
        <v>2323118.89</v>
      </c>
      <c r="E56" s="122">
        <f t="shared" si="8"/>
        <v>2532190.83</v>
      </c>
      <c r="F56" s="122">
        <f t="shared" si="8"/>
        <v>2595120.63</v>
      </c>
      <c r="G56" s="122">
        <f t="shared" si="8"/>
        <v>2838535.3499999996</v>
      </c>
      <c r="H56" s="122">
        <f t="shared" si="8"/>
        <v>2964765.1286075152</v>
      </c>
      <c r="I56" s="122">
        <f>H56-F56</f>
        <v>369644.49860751536</v>
      </c>
      <c r="J56" s="122">
        <f t="shared" ref="J56" si="9">H56-B56</f>
        <v>809502.77419835888</v>
      </c>
    </row>
    <row r="58" spans="1:10" x14ac:dyDescent="0.2">
      <c r="A58" s="123" t="s">
        <v>90</v>
      </c>
      <c r="G58" s="124"/>
    </row>
    <row r="60" spans="1:10" ht="27.75" customHeight="1" x14ac:dyDescent="0.2">
      <c r="A60" s="141" t="s">
        <v>133</v>
      </c>
      <c r="B60" s="141"/>
      <c r="C60" s="141"/>
      <c r="D60" s="141"/>
      <c r="E60" s="141"/>
      <c r="F60" s="141"/>
      <c r="G60" s="141"/>
      <c r="H60" s="141"/>
      <c r="I60" s="141"/>
    </row>
    <row r="61" spans="1:10" ht="15" customHeight="1" x14ac:dyDescent="0.2">
      <c r="A61" s="141" t="s">
        <v>134</v>
      </c>
      <c r="B61" s="141"/>
      <c r="C61" s="141"/>
      <c r="D61" s="141"/>
      <c r="E61" s="141"/>
      <c r="F61" s="141"/>
      <c r="G61" s="141"/>
      <c r="H61" s="141"/>
      <c r="I61" s="141"/>
    </row>
    <row r="62" spans="1:10" ht="27" customHeight="1" x14ac:dyDescent="0.2">
      <c r="A62" s="141"/>
      <c r="B62" s="141"/>
      <c r="C62" s="141"/>
      <c r="D62" s="141"/>
      <c r="E62" s="141"/>
      <c r="F62" s="141"/>
      <c r="G62" s="141"/>
      <c r="H62" s="141"/>
    </row>
    <row r="64" spans="1:10" x14ac:dyDescent="0.2">
      <c r="A64" s="143"/>
      <c r="B64" s="143"/>
      <c r="C64" s="143"/>
      <c r="D64" s="143"/>
      <c r="E64" s="143"/>
      <c r="F64" s="143"/>
      <c r="G64" s="143"/>
      <c r="H64" s="143"/>
      <c r="I64" s="143"/>
    </row>
    <row r="65" spans="1:9" x14ac:dyDescent="0.2">
      <c r="A65" s="143"/>
      <c r="B65" s="143"/>
      <c r="C65" s="143"/>
      <c r="D65" s="143"/>
      <c r="E65" s="143"/>
      <c r="F65" s="143"/>
      <c r="G65" s="143"/>
      <c r="H65" s="143"/>
      <c r="I65" s="143"/>
    </row>
    <row r="67" spans="1:9" x14ac:dyDescent="0.2">
      <c r="A67" s="111"/>
    </row>
  </sheetData>
  <mergeCells count="7">
    <mergeCell ref="A64:I65"/>
    <mergeCell ref="A9:H9"/>
    <mergeCell ref="A10:H10"/>
    <mergeCell ref="A12:H12"/>
    <mergeCell ref="A60:I60"/>
    <mergeCell ref="A61:I61"/>
    <mergeCell ref="A62:H62"/>
  </mergeCells>
  <dataValidations count="1">
    <dataValidation type="list" allowBlank="1" showInputMessage="1" showErrorMessage="1" sqref="B14:J14">
      <formula1>"CGAAP, MIFRS, USGAAP, ASPE"</formula1>
    </dataValidation>
  </dataValidations>
  <pageMargins left="0.75" right="0.75" top="1" bottom="1" header="0.5" footer="0.5"/>
  <pageSetup scale="64"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7" tint="0.39997558519241921"/>
    <pageSetUpPr autoPageBreaks="0" fitToPage="1"/>
  </sheetPr>
  <dimension ref="A1:AA32"/>
  <sheetViews>
    <sheetView showGridLines="0" zoomScaleNormal="100" workbookViewId="0">
      <selection activeCell="X22" sqref="X22"/>
    </sheetView>
  </sheetViews>
  <sheetFormatPr defaultColWidth="9.28515625" defaultRowHeight="12.75" x14ac:dyDescent="0.2"/>
  <cols>
    <col min="1" max="1" width="56.7109375" style="1" customWidth="1"/>
    <col min="2" max="12" width="15.7109375" style="1" hidden="1" customWidth="1"/>
    <col min="13" max="14" width="15.7109375" style="1" customWidth="1"/>
    <col min="15" max="17" width="15.7109375" style="1" hidden="1" customWidth="1"/>
    <col min="18" max="18" width="15.7109375" style="1" customWidth="1"/>
    <col min="19" max="20" width="15.7109375" style="1" hidden="1" customWidth="1"/>
    <col min="21" max="21" width="15.7109375" style="1" customWidth="1"/>
    <col min="22" max="23" width="15.7109375" style="1" hidden="1" customWidth="1"/>
    <col min="24" max="25" width="15.7109375" style="1" customWidth="1"/>
    <col min="26" max="26" width="13.28515625" style="1" customWidth="1"/>
    <col min="27" max="16384" width="9.28515625" style="1"/>
  </cols>
  <sheetData>
    <row r="1" spans="1:27" x14ac:dyDescent="0.2">
      <c r="Y1" s="2" t="s">
        <v>0</v>
      </c>
      <c r="Z1" s="125" t="s">
        <v>150</v>
      </c>
    </row>
    <row r="2" spans="1:27" x14ac:dyDescent="0.2">
      <c r="Y2" s="2" t="s">
        <v>3</v>
      </c>
      <c r="Z2" s="82"/>
    </row>
    <row r="3" spans="1:27" x14ac:dyDescent="0.2">
      <c r="Y3" s="2" t="s">
        <v>6</v>
      </c>
      <c r="Z3" s="82"/>
    </row>
    <row r="4" spans="1:27" ht="15" x14ac:dyDescent="0.25">
      <c r="A4" s="152" t="s">
        <v>9</v>
      </c>
      <c r="B4" s="152"/>
      <c r="C4" s="152"/>
      <c r="D4" s="152"/>
      <c r="E4" s="152"/>
      <c r="F4" s="152"/>
      <c r="G4" s="152"/>
      <c r="H4" s="152"/>
      <c r="I4" s="152"/>
      <c r="J4" s="152"/>
      <c r="K4" s="152"/>
      <c r="L4" s="152"/>
      <c r="M4" s="152"/>
      <c r="N4" s="152"/>
      <c r="O4" s="152"/>
      <c r="P4" s="152"/>
      <c r="Q4" s="152"/>
      <c r="R4" s="152"/>
      <c r="S4" s="152"/>
      <c r="T4" s="152"/>
      <c r="U4" s="152"/>
      <c r="V4" s="152"/>
      <c r="W4" s="152"/>
      <c r="X4" s="152"/>
      <c r="Y4" s="2" t="s">
        <v>10</v>
      </c>
      <c r="Z4" s="82"/>
    </row>
    <row r="5" spans="1:27" x14ac:dyDescent="0.2">
      <c r="Y5" s="2" t="s">
        <v>13</v>
      </c>
      <c r="Z5" s="83"/>
    </row>
    <row r="6" spans="1:27" ht="9" customHeight="1" x14ac:dyDescent="0.2">
      <c r="Y6" s="2"/>
      <c r="Z6" s="3"/>
    </row>
    <row r="7" spans="1:27" x14ac:dyDescent="0.2">
      <c r="Y7" s="2" t="s">
        <v>18</v>
      </c>
      <c r="Z7" s="83"/>
    </row>
    <row r="8" spans="1:27" ht="9" customHeight="1" x14ac:dyDescent="0.2"/>
    <row r="9" spans="1:27" ht="17.25" customHeight="1" x14ac:dyDescent="0.25">
      <c r="A9" s="153" t="s">
        <v>135</v>
      </c>
      <c r="B9" s="153"/>
      <c r="C9" s="153"/>
      <c r="D9" s="153"/>
      <c r="E9" s="153"/>
      <c r="F9" s="153"/>
      <c r="G9" s="153"/>
      <c r="H9" s="153"/>
      <c r="I9" s="153"/>
      <c r="J9" s="153"/>
      <c r="K9" s="153"/>
      <c r="L9" s="153"/>
      <c r="M9" s="153"/>
      <c r="N9" s="153"/>
      <c r="O9" s="153"/>
      <c r="P9" s="153"/>
      <c r="Q9" s="153"/>
      <c r="R9" s="153"/>
      <c r="S9" s="153"/>
      <c r="T9" s="153"/>
      <c r="U9" s="153"/>
      <c r="V9" s="153"/>
      <c r="W9" s="153"/>
      <c r="X9" s="153"/>
      <c r="Y9" s="153"/>
      <c r="Z9" s="153"/>
    </row>
    <row r="10" spans="1:27" ht="18" x14ac:dyDescent="0.25">
      <c r="A10" s="153" t="s">
        <v>136</v>
      </c>
      <c r="B10" s="153"/>
      <c r="C10" s="153"/>
      <c r="D10" s="153"/>
      <c r="E10" s="153"/>
      <c r="F10" s="153"/>
      <c r="G10" s="153"/>
      <c r="H10" s="153"/>
      <c r="I10" s="153"/>
      <c r="J10" s="153"/>
      <c r="K10" s="153"/>
      <c r="L10" s="153"/>
      <c r="M10" s="153"/>
      <c r="N10" s="153"/>
      <c r="O10" s="153"/>
      <c r="P10" s="153"/>
      <c r="Q10" s="153"/>
      <c r="R10" s="153"/>
      <c r="S10" s="153"/>
      <c r="T10" s="153"/>
      <c r="U10" s="153"/>
      <c r="V10" s="153"/>
      <c r="W10" s="153"/>
      <c r="X10" s="153"/>
      <c r="Y10" s="153"/>
      <c r="Z10" s="153"/>
    </row>
    <row r="11" spans="1:27" ht="9" customHeight="1" thickBot="1" x14ac:dyDescent="0.25"/>
    <row r="12" spans="1:27" ht="51.75" thickBot="1" x14ac:dyDescent="0.25">
      <c r="A12" s="126"/>
      <c r="B12" s="11" t="s">
        <v>137</v>
      </c>
      <c r="C12" s="11" t="s">
        <v>138</v>
      </c>
      <c r="D12" s="11" t="s">
        <v>49</v>
      </c>
      <c r="E12" s="11" t="s">
        <v>50</v>
      </c>
      <c r="F12" s="11" t="s">
        <v>51</v>
      </c>
      <c r="G12" s="11" t="s">
        <v>52</v>
      </c>
      <c r="H12" s="11" t="s">
        <v>53</v>
      </c>
      <c r="I12" s="11" t="s">
        <v>54</v>
      </c>
      <c r="J12" s="11" t="s">
        <v>55</v>
      </c>
      <c r="K12" s="11" t="s">
        <v>56</v>
      </c>
      <c r="L12" s="11" t="s">
        <v>57</v>
      </c>
      <c r="M12" s="11" t="s">
        <v>58</v>
      </c>
      <c r="N12" s="11" t="s">
        <v>59</v>
      </c>
      <c r="O12" s="11" t="s">
        <v>60</v>
      </c>
      <c r="P12" s="11" t="s">
        <v>61</v>
      </c>
      <c r="Q12" s="11" t="s">
        <v>62</v>
      </c>
      <c r="R12" s="11" t="s">
        <v>63</v>
      </c>
      <c r="S12" s="11" t="s">
        <v>64</v>
      </c>
      <c r="T12" s="11" t="s">
        <v>65</v>
      </c>
      <c r="U12" s="11" t="s">
        <v>146</v>
      </c>
      <c r="V12" s="11" t="s">
        <v>66</v>
      </c>
      <c r="W12" s="11" t="s">
        <v>67</v>
      </c>
      <c r="X12" s="11" t="s">
        <v>147</v>
      </c>
      <c r="Y12" s="11" t="s">
        <v>148</v>
      </c>
      <c r="Z12" s="12" t="s">
        <v>149</v>
      </c>
      <c r="AA12" s="127"/>
    </row>
    <row r="13" spans="1:27" ht="14.25" x14ac:dyDescent="0.2">
      <c r="A13" s="154" t="s">
        <v>139</v>
      </c>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6"/>
    </row>
    <row r="14" spans="1:27" x14ac:dyDescent="0.2">
      <c r="A14" s="128" t="s">
        <v>140</v>
      </c>
      <c r="B14" s="129"/>
      <c r="C14" s="129"/>
      <c r="D14" s="129"/>
      <c r="E14" s="129"/>
      <c r="F14" s="129"/>
      <c r="G14" s="129"/>
      <c r="H14" s="129"/>
      <c r="I14" s="129"/>
      <c r="J14" s="129"/>
      <c r="K14" s="129"/>
      <c r="L14" s="129"/>
      <c r="M14" s="129">
        <v>6</v>
      </c>
      <c r="N14" s="129">
        <v>5</v>
      </c>
      <c r="O14" s="129">
        <v>5</v>
      </c>
      <c r="P14" s="129">
        <v>5</v>
      </c>
      <c r="Q14" s="129">
        <v>6</v>
      </c>
      <c r="R14" s="129">
        <v>5</v>
      </c>
      <c r="S14" s="129">
        <v>5</v>
      </c>
      <c r="T14" s="129">
        <v>6</v>
      </c>
      <c r="U14" s="129">
        <v>5</v>
      </c>
      <c r="V14" s="129">
        <v>6</v>
      </c>
      <c r="W14" s="129">
        <v>6</v>
      </c>
      <c r="X14" s="129">
        <v>6</v>
      </c>
      <c r="Y14" s="129">
        <v>6</v>
      </c>
      <c r="Z14" s="129">
        <v>6</v>
      </c>
    </row>
    <row r="15" spans="1:27" x14ac:dyDescent="0.2">
      <c r="A15" s="128" t="s">
        <v>141</v>
      </c>
      <c r="B15" s="129"/>
      <c r="C15" s="129"/>
      <c r="D15" s="129"/>
      <c r="E15" s="129"/>
      <c r="F15" s="129"/>
      <c r="G15" s="129"/>
      <c r="H15" s="129"/>
      <c r="I15" s="129"/>
      <c r="J15" s="129"/>
      <c r="K15" s="129"/>
      <c r="L15" s="129"/>
      <c r="M15" s="129">
        <v>13.1</v>
      </c>
      <c r="N15" s="129">
        <v>10</v>
      </c>
      <c r="O15" s="129">
        <v>11</v>
      </c>
      <c r="P15" s="129">
        <v>12</v>
      </c>
      <c r="Q15" s="129">
        <v>12</v>
      </c>
      <c r="R15" s="129">
        <v>11</v>
      </c>
      <c r="S15" s="129">
        <v>12</v>
      </c>
      <c r="T15" s="129">
        <v>12</v>
      </c>
      <c r="U15" s="129">
        <v>12</v>
      </c>
      <c r="V15" s="129">
        <v>12</v>
      </c>
      <c r="W15" s="129">
        <v>0</v>
      </c>
      <c r="X15" s="129">
        <v>12</v>
      </c>
      <c r="Y15" s="129">
        <v>12</v>
      </c>
      <c r="Z15" s="129">
        <v>12</v>
      </c>
    </row>
    <row r="16" spans="1:27" x14ac:dyDescent="0.2">
      <c r="A16" s="128" t="s">
        <v>47</v>
      </c>
      <c r="B16" s="130">
        <f t="shared" ref="B16:Z16" si="0">SUM(B14:B15)</f>
        <v>0</v>
      </c>
      <c r="C16" s="130">
        <f t="shared" si="0"/>
        <v>0</v>
      </c>
      <c r="D16" s="130">
        <f t="shared" si="0"/>
        <v>0</v>
      </c>
      <c r="E16" s="130">
        <f t="shared" si="0"/>
        <v>0</v>
      </c>
      <c r="F16" s="130">
        <f t="shared" si="0"/>
        <v>0</v>
      </c>
      <c r="G16" s="130">
        <f t="shared" si="0"/>
        <v>0</v>
      </c>
      <c r="H16" s="130">
        <f t="shared" si="0"/>
        <v>0</v>
      </c>
      <c r="I16" s="130">
        <f t="shared" si="0"/>
        <v>0</v>
      </c>
      <c r="J16" s="130">
        <f t="shared" si="0"/>
        <v>0</v>
      </c>
      <c r="K16" s="130">
        <f t="shared" si="0"/>
        <v>0</v>
      </c>
      <c r="L16" s="130">
        <f t="shared" si="0"/>
        <v>0</v>
      </c>
      <c r="M16" s="130">
        <f t="shared" si="0"/>
        <v>19.100000000000001</v>
      </c>
      <c r="N16" s="130">
        <f t="shared" si="0"/>
        <v>15</v>
      </c>
      <c r="O16" s="130">
        <f t="shared" si="0"/>
        <v>16</v>
      </c>
      <c r="P16" s="130">
        <f t="shared" si="0"/>
        <v>17</v>
      </c>
      <c r="Q16" s="130">
        <f t="shared" si="0"/>
        <v>18</v>
      </c>
      <c r="R16" s="130">
        <f t="shared" si="0"/>
        <v>16</v>
      </c>
      <c r="S16" s="130">
        <f t="shared" si="0"/>
        <v>17</v>
      </c>
      <c r="T16" s="130">
        <f t="shared" si="0"/>
        <v>18</v>
      </c>
      <c r="U16" s="130">
        <f t="shared" si="0"/>
        <v>17</v>
      </c>
      <c r="V16" s="130">
        <f t="shared" si="0"/>
        <v>18</v>
      </c>
      <c r="W16" s="130">
        <f t="shared" si="0"/>
        <v>6</v>
      </c>
      <c r="X16" s="130">
        <f t="shared" si="0"/>
        <v>18</v>
      </c>
      <c r="Y16" s="130">
        <f t="shared" si="0"/>
        <v>18</v>
      </c>
      <c r="Z16" s="130">
        <f t="shared" si="0"/>
        <v>18</v>
      </c>
    </row>
    <row r="17" spans="1:26" x14ac:dyDescent="0.2">
      <c r="A17" s="146" t="s">
        <v>142</v>
      </c>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8"/>
    </row>
    <row r="18" spans="1:26" x14ac:dyDescent="0.2">
      <c r="A18" s="128" t="s">
        <v>140</v>
      </c>
      <c r="B18" s="131"/>
      <c r="C18" s="131"/>
      <c r="D18" s="131"/>
      <c r="E18" s="131"/>
      <c r="F18" s="131"/>
      <c r="G18" s="131"/>
      <c r="H18" s="131"/>
      <c r="I18" s="131"/>
      <c r="J18" s="131"/>
      <c r="K18" s="131"/>
      <c r="L18" s="131"/>
      <c r="M18" s="131">
        <v>611905.55002991052</v>
      </c>
      <c r="N18" s="131">
        <v>538997.11</v>
      </c>
      <c r="O18" s="131">
        <v>530811.09</v>
      </c>
      <c r="P18" s="131">
        <v>574605.03999999992</v>
      </c>
      <c r="Q18" s="131">
        <v>564590.77999999991</v>
      </c>
      <c r="R18" s="131">
        <v>530811.09</v>
      </c>
      <c r="S18" s="131">
        <v>665494.02240000002</v>
      </c>
      <c r="T18" s="131">
        <v>0</v>
      </c>
      <c r="U18" s="131">
        <v>574605.03999999992</v>
      </c>
      <c r="V18" s="131">
        <v>0</v>
      </c>
      <c r="W18" s="131">
        <v>0</v>
      </c>
      <c r="X18" s="131">
        <v>564590.77999999991</v>
      </c>
      <c r="Y18" s="131">
        <v>668531.03</v>
      </c>
      <c r="Z18" s="131">
        <v>665494.02240000002</v>
      </c>
    </row>
    <row r="19" spans="1:26" x14ac:dyDescent="0.2">
      <c r="A19" s="128" t="s">
        <v>141</v>
      </c>
      <c r="B19" s="131"/>
      <c r="C19" s="131"/>
      <c r="D19" s="131"/>
      <c r="E19" s="131"/>
      <c r="F19" s="131"/>
      <c r="G19" s="131"/>
      <c r="H19" s="131"/>
      <c r="I19" s="131"/>
      <c r="J19" s="131"/>
      <c r="K19" s="131"/>
      <c r="L19" s="131"/>
      <c r="M19" s="131">
        <v>874308.69081707508</v>
      </c>
      <c r="N19" s="131">
        <v>794717.02999999991</v>
      </c>
      <c r="O19" s="131">
        <v>849768.61</v>
      </c>
      <c r="P19" s="131">
        <v>841183.75000000012</v>
      </c>
      <c r="Q19" s="131">
        <v>964936.30000000016</v>
      </c>
      <c r="R19" s="131">
        <v>849768.61</v>
      </c>
      <c r="S19" s="131">
        <v>995910.21654119028</v>
      </c>
      <c r="T19" s="131">
        <v>0</v>
      </c>
      <c r="U19" s="131">
        <v>841183.75000000012</v>
      </c>
      <c r="V19" s="131">
        <v>0</v>
      </c>
      <c r="W19" s="131">
        <v>0</v>
      </c>
      <c r="X19" s="131">
        <v>964936.30000000016</v>
      </c>
      <c r="Y19" s="131">
        <v>976670.1100000001</v>
      </c>
      <c r="Z19" s="131">
        <v>995910.21654119028</v>
      </c>
    </row>
    <row r="20" spans="1:26" x14ac:dyDescent="0.2">
      <c r="A20" s="128" t="s">
        <v>47</v>
      </c>
      <c r="B20" s="132">
        <f t="shared" ref="B20:Z20" si="1">SUM(B18:B19)</f>
        <v>0</v>
      </c>
      <c r="C20" s="132">
        <f t="shared" si="1"/>
        <v>0</v>
      </c>
      <c r="D20" s="132">
        <f t="shared" si="1"/>
        <v>0</v>
      </c>
      <c r="E20" s="132">
        <f t="shared" si="1"/>
        <v>0</v>
      </c>
      <c r="F20" s="132">
        <f t="shared" si="1"/>
        <v>0</v>
      </c>
      <c r="G20" s="132">
        <f t="shared" si="1"/>
        <v>0</v>
      </c>
      <c r="H20" s="132">
        <f t="shared" si="1"/>
        <v>0</v>
      </c>
      <c r="I20" s="132">
        <f t="shared" si="1"/>
        <v>0</v>
      </c>
      <c r="J20" s="132">
        <f t="shared" si="1"/>
        <v>0</v>
      </c>
      <c r="K20" s="132">
        <f t="shared" si="1"/>
        <v>0</v>
      </c>
      <c r="L20" s="132">
        <f t="shared" si="1"/>
        <v>0</v>
      </c>
      <c r="M20" s="132">
        <f t="shared" si="1"/>
        <v>1486214.2408469855</v>
      </c>
      <c r="N20" s="132">
        <f t="shared" si="1"/>
        <v>1333714.1399999999</v>
      </c>
      <c r="O20" s="132">
        <f t="shared" si="1"/>
        <v>1380579.7</v>
      </c>
      <c r="P20" s="132">
        <f t="shared" si="1"/>
        <v>1415788.79</v>
      </c>
      <c r="Q20" s="132">
        <f t="shared" si="1"/>
        <v>1529527.08</v>
      </c>
      <c r="R20" s="132">
        <f t="shared" si="1"/>
        <v>1380579.7</v>
      </c>
      <c r="S20" s="132">
        <f t="shared" si="1"/>
        <v>1661404.2389411903</v>
      </c>
      <c r="T20" s="132">
        <f t="shared" si="1"/>
        <v>0</v>
      </c>
      <c r="U20" s="132">
        <f t="shared" si="1"/>
        <v>1415788.79</v>
      </c>
      <c r="V20" s="132">
        <f t="shared" si="1"/>
        <v>0</v>
      </c>
      <c r="W20" s="132">
        <f t="shared" si="1"/>
        <v>0</v>
      </c>
      <c r="X20" s="132">
        <f t="shared" si="1"/>
        <v>1529527.08</v>
      </c>
      <c r="Y20" s="132">
        <f t="shared" si="1"/>
        <v>1645201.1400000001</v>
      </c>
      <c r="Z20" s="132">
        <f t="shared" si="1"/>
        <v>1661404.2389411903</v>
      </c>
    </row>
    <row r="21" spans="1:26" x14ac:dyDescent="0.2">
      <c r="A21" s="146" t="s">
        <v>143</v>
      </c>
      <c r="B21" s="147"/>
      <c r="C21" s="147"/>
      <c r="D21" s="147"/>
      <c r="E21" s="147"/>
      <c r="F21" s="147"/>
      <c r="G21" s="147"/>
      <c r="H21" s="147"/>
      <c r="I21" s="147"/>
      <c r="J21" s="147"/>
      <c r="K21" s="147"/>
      <c r="L21" s="147"/>
      <c r="M21" s="147"/>
      <c r="N21" s="147"/>
      <c r="O21" s="147"/>
      <c r="P21" s="147"/>
      <c r="Q21" s="147"/>
      <c r="R21" s="147"/>
      <c r="S21" s="147"/>
      <c r="T21" s="147"/>
      <c r="U21" s="147"/>
      <c r="V21" s="147"/>
      <c r="W21" s="147"/>
      <c r="X21" s="147"/>
      <c r="Y21" s="147"/>
      <c r="Z21" s="148"/>
    </row>
    <row r="22" spans="1:26" x14ac:dyDescent="0.2">
      <c r="A22" s="128" t="s">
        <v>140</v>
      </c>
      <c r="B22" s="131"/>
      <c r="C22" s="131"/>
      <c r="D22" s="131"/>
      <c r="E22" s="131"/>
      <c r="F22" s="131"/>
      <c r="G22" s="131"/>
      <c r="H22" s="131"/>
      <c r="I22" s="131"/>
      <c r="J22" s="131"/>
      <c r="K22" s="131"/>
      <c r="L22" s="131"/>
      <c r="M22" s="131">
        <v>130289.20723087844</v>
      </c>
      <c r="N22" s="131">
        <v>123542.46955256845</v>
      </c>
      <c r="O22" s="131">
        <v>99962.817728871436</v>
      </c>
      <c r="P22" s="131">
        <v>135695.60901721788</v>
      </c>
      <c r="Q22" s="131">
        <v>131592.17169015403</v>
      </c>
      <c r="R22" s="131">
        <v>99962.817728871436</v>
      </c>
      <c r="S22" s="131">
        <v>150441.96507413604</v>
      </c>
      <c r="T22" s="131">
        <v>0</v>
      </c>
      <c r="U22" s="131">
        <v>135695.60901721788</v>
      </c>
      <c r="V22" s="131">
        <v>0</v>
      </c>
      <c r="W22" s="131">
        <v>0</v>
      </c>
      <c r="X22" s="131">
        <v>131592.17169015403</v>
      </c>
      <c r="Y22" s="131">
        <v>146541.15254550576</v>
      </c>
      <c r="Z22" s="131">
        <v>150441.96507413604</v>
      </c>
    </row>
    <row r="23" spans="1:26" x14ac:dyDescent="0.2">
      <c r="A23" s="128" t="s">
        <v>141</v>
      </c>
      <c r="B23" s="131"/>
      <c r="C23" s="131"/>
      <c r="D23" s="131"/>
      <c r="E23" s="131"/>
      <c r="F23" s="131"/>
      <c r="G23" s="131"/>
      <c r="H23" s="131"/>
      <c r="I23" s="131"/>
      <c r="J23" s="131"/>
      <c r="K23" s="131"/>
      <c r="L23" s="131"/>
      <c r="M23" s="131">
        <v>197428.0029828453</v>
      </c>
      <c r="N23" s="131">
        <v>182155.53044743155</v>
      </c>
      <c r="O23" s="131">
        <v>160029.18227112858</v>
      </c>
      <c r="P23" s="131">
        <v>198649.39098278212</v>
      </c>
      <c r="Q23" s="131">
        <v>224902.82830984597</v>
      </c>
      <c r="R23" s="131">
        <v>160029.18227112858</v>
      </c>
      <c r="S23" s="131">
        <v>230564.98133327352</v>
      </c>
      <c r="T23" s="131">
        <v>0</v>
      </c>
      <c r="U23" s="131">
        <v>198649.39098278212</v>
      </c>
      <c r="V23" s="131">
        <v>0</v>
      </c>
      <c r="W23" s="131">
        <v>0</v>
      </c>
      <c r="X23" s="131">
        <v>224902.82830984597</v>
      </c>
      <c r="Y23" s="131">
        <v>214084.84745449424</v>
      </c>
      <c r="Z23" s="131">
        <v>230564.98133327352</v>
      </c>
    </row>
    <row r="24" spans="1:26" x14ac:dyDescent="0.2">
      <c r="A24" s="128" t="s">
        <v>47</v>
      </c>
      <c r="B24" s="132">
        <f>SUM(B22:B23)</f>
        <v>0</v>
      </c>
      <c r="C24" s="132">
        <f t="shared" ref="C24:Z24" si="2">SUM(C22:C23)</f>
        <v>0</v>
      </c>
      <c r="D24" s="132">
        <f t="shared" si="2"/>
        <v>0</v>
      </c>
      <c r="E24" s="132">
        <f t="shared" si="2"/>
        <v>0</v>
      </c>
      <c r="F24" s="132">
        <f t="shared" si="2"/>
        <v>0</v>
      </c>
      <c r="G24" s="132">
        <f t="shared" si="2"/>
        <v>0</v>
      </c>
      <c r="H24" s="132">
        <f t="shared" si="2"/>
        <v>0</v>
      </c>
      <c r="I24" s="132">
        <f t="shared" si="2"/>
        <v>0</v>
      </c>
      <c r="J24" s="132">
        <f t="shared" si="2"/>
        <v>0</v>
      </c>
      <c r="K24" s="132">
        <f t="shared" si="2"/>
        <v>0</v>
      </c>
      <c r="L24" s="132">
        <f t="shared" si="2"/>
        <v>0</v>
      </c>
      <c r="M24" s="132">
        <f t="shared" si="2"/>
        <v>327717.21021372371</v>
      </c>
      <c r="N24" s="132">
        <f t="shared" si="2"/>
        <v>305698</v>
      </c>
      <c r="O24" s="132">
        <f t="shared" si="2"/>
        <v>259992</v>
      </c>
      <c r="P24" s="132">
        <f t="shared" si="2"/>
        <v>334345</v>
      </c>
      <c r="Q24" s="132">
        <f t="shared" si="2"/>
        <v>356495</v>
      </c>
      <c r="R24" s="132">
        <f t="shared" si="2"/>
        <v>259992</v>
      </c>
      <c r="S24" s="132">
        <f t="shared" si="2"/>
        <v>381006.94640740956</v>
      </c>
      <c r="T24" s="132">
        <f t="shared" si="2"/>
        <v>0</v>
      </c>
      <c r="U24" s="132">
        <f t="shared" si="2"/>
        <v>334345</v>
      </c>
      <c r="V24" s="132">
        <f t="shared" si="2"/>
        <v>0</v>
      </c>
      <c r="W24" s="132">
        <f t="shared" si="2"/>
        <v>0</v>
      </c>
      <c r="X24" s="132">
        <f t="shared" si="2"/>
        <v>356495</v>
      </c>
      <c r="Y24" s="132">
        <f t="shared" si="2"/>
        <v>360626</v>
      </c>
      <c r="Z24" s="132">
        <f t="shared" si="2"/>
        <v>381006.94640740956</v>
      </c>
    </row>
    <row r="25" spans="1:26" x14ac:dyDescent="0.2">
      <c r="A25" s="146" t="s">
        <v>144</v>
      </c>
      <c r="B25" s="147"/>
      <c r="C25" s="147"/>
      <c r="D25" s="147"/>
      <c r="E25" s="147"/>
      <c r="F25" s="147"/>
      <c r="G25" s="147"/>
      <c r="H25" s="147"/>
      <c r="I25" s="147"/>
      <c r="J25" s="147"/>
      <c r="K25" s="147"/>
      <c r="L25" s="147"/>
      <c r="M25" s="147"/>
      <c r="N25" s="147"/>
      <c r="O25" s="147"/>
      <c r="P25" s="147"/>
      <c r="Q25" s="147"/>
      <c r="R25" s="147"/>
      <c r="S25" s="147"/>
      <c r="T25" s="147"/>
      <c r="U25" s="147"/>
      <c r="V25" s="147"/>
      <c r="W25" s="147"/>
      <c r="X25" s="147"/>
      <c r="Y25" s="147"/>
      <c r="Z25" s="148"/>
    </row>
    <row r="26" spans="1:26" x14ac:dyDescent="0.2">
      <c r="A26" s="128" t="s">
        <v>140</v>
      </c>
      <c r="B26" s="132">
        <f t="shared" ref="B26:Z28" si="3">B18+B22</f>
        <v>0</v>
      </c>
      <c r="C26" s="132">
        <f t="shared" si="3"/>
        <v>0</v>
      </c>
      <c r="D26" s="132">
        <f t="shared" si="3"/>
        <v>0</v>
      </c>
      <c r="E26" s="132">
        <f t="shared" si="3"/>
        <v>0</v>
      </c>
      <c r="F26" s="132">
        <f t="shared" si="3"/>
        <v>0</v>
      </c>
      <c r="G26" s="132">
        <f t="shared" si="3"/>
        <v>0</v>
      </c>
      <c r="H26" s="132">
        <f t="shared" si="3"/>
        <v>0</v>
      </c>
      <c r="I26" s="132">
        <f t="shared" si="3"/>
        <v>0</v>
      </c>
      <c r="J26" s="132">
        <f t="shared" si="3"/>
        <v>0</v>
      </c>
      <c r="K26" s="132">
        <f t="shared" si="3"/>
        <v>0</v>
      </c>
      <c r="L26" s="132">
        <f t="shared" si="3"/>
        <v>0</v>
      </c>
      <c r="M26" s="132">
        <f t="shared" si="3"/>
        <v>742194.75726078893</v>
      </c>
      <c r="N26" s="132">
        <f t="shared" si="3"/>
        <v>662539.5795525685</v>
      </c>
      <c r="O26" s="132">
        <f t="shared" si="3"/>
        <v>630773.90772887145</v>
      </c>
      <c r="P26" s="132">
        <f t="shared" si="3"/>
        <v>710300.6490172178</v>
      </c>
      <c r="Q26" s="132">
        <f t="shared" si="3"/>
        <v>696182.95169015392</v>
      </c>
      <c r="R26" s="132">
        <f t="shared" si="3"/>
        <v>630773.90772887145</v>
      </c>
      <c r="S26" s="132">
        <f t="shared" si="3"/>
        <v>815935.98747413605</v>
      </c>
      <c r="T26" s="132">
        <f t="shared" si="3"/>
        <v>0</v>
      </c>
      <c r="U26" s="132">
        <f t="shared" si="3"/>
        <v>710300.6490172178</v>
      </c>
      <c r="V26" s="132">
        <f t="shared" si="3"/>
        <v>0</v>
      </c>
      <c r="W26" s="132">
        <f t="shared" si="3"/>
        <v>0</v>
      </c>
      <c r="X26" s="132">
        <f t="shared" si="3"/>
        <v>696182.95169015392</v>
      </c>
      <c r="Y26" s="132">
        <f t="shared" si="3"/>
        <v>815072.18254550581</v>
      </c>
      <c r="Z26" s="132">
        <f t="shared" si="3"/>
        <v>815935.98747413605</v>
      </c>
    </row>
    <row r="27" spans="1:26" x14ac:dyDescent="0.2">
      <c r="A27" s="128" t="s">
        <v>141</v>
      </c>
      <c r="B27" s="132">
        <f t="shared" si="3"/>
        <v>0</v>
      </c>
      <c r="C27" s="132">
        <f t="shared" si="3"/>
        <v>0</v>
      </c>
      <c r="D27" s="132">
        <f t="shared" si="3"/>
        <v>0</v>
      </c>
      <c r="E27" s="132">
        <f t="shared" si="3"/>
        <v>0</v>
      </c>
      <c r="F27" s="132">
        <f t="shared" si="3"/>
        <v>0</v>
      </c>
      <c r="G27" s="132">
        <f t="shared" si="3"/>
        <v>0</v>
      </c>
      <c r="H27" s="132">
        <f t="shared" si="3"/>
        <v>0</v>
      </c>
      <c r="I27" s="132">
        <f t="shared" si="3"/>
        <v>0</v>
      </c>
      <c r="J27" s="132">
        <f t="shared" si="3"/>
        <v>0</v>
      </c>
      <c r="K27" s="132">
        <f t="shared" si="3"/>
        <v>0</v>
      </c>
      <c r="L27" s="132">
        <f t="shared" si="3"/>
        <v>0</v>
      </c>
      <c r="M27" s="132">
        <f t="shared" si="3"/>
        <v>1071736.6937999204</v>
      </c>
      <c r="N27" s="132">
        <f t="shared" si="3"/>
        <v>976872.5604474314</v>
      </c>
      <c r="O27" s="132">
        <f t="shared" si="3"/>
        <v>1009797.7922711286</v>
      </c>
      <c r="P27" s="132">
        <f t="shared" si="3"/>
        <v>1039833.1409827822</v>
      </c>
      <c r="Q27" s="132">
        <f t="shared" si="3"/>
        <v>1189839.1283098462</v>
      </c>
      <c r="R27" s="132">
        <f t="shared" si="3"/>
        <v>1009797.7922711286</v>
      </c>
      <c r="S27" s="132">
        <f t="shared" si="3"/>
        <v>1226475.1978744639</v>
      </c>
      <c r="T27" s="132">
        <f t="shared" si="3"/>
        <v>0</v>
      </c>
      <c r="U27" s="132">
        <f t="shared" si="3"/>
        <v>1039833.1409827822</v>
      </c>
      <c r="V27" s="132">
        <f t="shared" si="3"/>
        <v>0</v>
      </c>
      <c r="W27" s="132">
        <f t="shared" si="3"/>
        <v>0</v>
      </c>
      <c r="X27" s="132">
        <f t="shared" si="3"/>
        <v>1189839.1283098462</v>
      </c>
      <c r="Y27" s="132">
        <f t="shared" si="3"/>
        <v>1190754.9574544944</v>
      </c>
      <c r="Z27" s="132">
        <f t="shared" si="3"/>
        <v>1226475.1978744639</v>
      </c>
    </row>
    <row r="28" spans="1:26" x14ac:dyDescent="0.2">
      <c r="A28" s="128" t="s">
        <v>47</v>
      </c>
      <c r="B28" s="132">
        <f t="shared" si="3"/>
        <v>0</v>
      </c>
      <c r="C28" s="132">
        <f t="shared" si="3"/>
        <v>0</v>
      </c>
      <c r="D28" s="132">
        <f t="shared" si="3"/>
        <v>0</v>
      </c>
      <c r="E28" s="132">
        <f t="shared" si="3"/>
        <v>0</v>
      </c>
      <c r="F28" s="132">
        <f t="shared" si="3"/>
        <v>0</v>
      </c>
      <c r="G28" s="132">
        <f t="shared" si="3"/>
        <v>0</v>
      </c>
      <c r="H28" s="132">
        <f t="shared" si="3"/>
        <v>0</v>
      </c>
      <c r="I28" s="132">
        <f t="shared" si="3"/>
        <v>0</v>
      </c>
      <c r="J28" s="132">
        <f t="shared" si="3"/>
        <v>0</v>
      </c>
      <c r="K28" s="132">
        <f t="shared" si="3"/>
        <v>0</v>
      </c>
      <c r="L28" s="132">
        <f t="shared" si="3"/>
        <v>0</v>
      </c>
      <c r="M28" s="132">
        <f t="shared" si="3"/>
        <v>1813931.4510607091</v>
      </c>
      <c r="N28" s="132">
        <f t="shared" si="3"/>
        <v>1639412.14</v>
      </c>
      <c r="O28" s="132">
        <f t="shared" si="3"/>
        <v>1640571.7</v>
      </c>
      <c r="P28" s="132">
        <f t="shared" si="3"/>
        <v>1750133.79</v>
      </c>
      <c r="Q28" s="132">
        <f t="shared" si="3"/>
        <v>1886022.08</v>
      </c>
      <c r="R28" s="132">
        <f t="shared" si="3"/>
        <v>1640571.7</v>
      </c>
      <c r="S28" s="132">
        <f t="shared" si="3"/>
        <v>2042411.1853485999</v>
      </c>
      <c r="T28" s="132">
        <f t="shared" si="3"/>
        <v>0</v>
      </c>
      <c r="U28" s="132">
        <f t="shared" si="3"/>
        <v>1750133.79</v>
      </c>
      <c r="V28" s="132">
        <f t="shared" si="3"/>
        <v>0</v>
      </c>
      <c r="W28" s="132">
        <f t="shared" si="3"/>
        <v>0</v>
      </c>
      <c r="X28" s="132">
        <f t="shared" si="3"/>
        <v>1886022.08</v>
      </c>
      <c r="Y28" s="132">
        <f t="shared" si="3"/>
        <v>2005827.1400000001</v>
      </c>
      <c r="Z28" s="132">
        <f t="shared" si="3"/>
        <v>2042411.1853485999</v>
      </c>
    </row>
    <row r="30" spans="1:26" ht="19.5" customHeight="1" x14ac:dyDescent="0.2">
      <c r="A30" s="149" t="s">
        <v>68</v>
      </c>
      <c r="B30" s="149"/>
      <c r="C30" s="149"/>
      <c r="D30" s="149"/>
      <c r="E30" s="149"/>
      <c r="F30" s="149"/>
      <c r="G30" s="149"/>
      <c r="H30" s="149"/>
      <c r="I30" s="149"/>
      <c r="J30" s="149"/>
      <c r="K30" s="149"/>
      <c r="L30" s="149"/>
      <c r="M30" s="149"/>
      <c r="N30" s="149"/>
      <c r="O30" s="149"/>
      <c r="P30" s="149"/>
      <c r="Q30" s="149"/>
      <c r="R30" s="149"/>
      <c r="S30" s="149"/>
      <c r="T30" s="149"/>
      <c r="U30" s="149"/>
      <c r="V30" s="149"/>
      <c r="W30" s="149"/>
      <c r="X30" s="149"/>
      <c r="Y30" s="149"/>
      <c r="Z30" s="149"/>
    </row>
    <row r="31" spans="1:26" ht="14.25" x14ac:dyDescent="0.2">
      <c r="A31" s="150" t="s">
        <v>145</v>
      </c>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row>
    <row r="32" spans="1:26" ht="29.25" customHeight="1" x14ac:dyDescent="0.2">
      <c r="A32" s="151"/>
      <c r="B32" s="151"/>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1"/>
    </row>
  </sheetData>
  <mergeCells count="10">
    <mergeCell ref="A25:Z25"/>
    <mergeCell ref="A30:Z30"/>
    <mergeCell ref="A31:Z31"/>
    <mergeCell ref="A32:Z32"/>
    <mergeCell ref="A4:X4"/>
    <mergeCell ref="A9:Z9"/>
    <mergeCell ref="A10:Z10"/>
    <mergeCell ref="A13:Z13"/>
    <mergeCell ref="A17:Z17"/>
    <mergeCell ref="A21:Z21"/>
  </mergeCells>
  <dataValidations count="1">
    <dataValidation allowBlank="1" showInputMessage="1" showErrorMessage="1" promptTitle="Date Format" prompt="E.g:  &quot;August 1, 2011&quot;" sqref="Z7"/>
  </dataValidations>
  <printOptions horizontalCentered="1" headings="1" gridLines="1"/>
  <pageMargins left="0.74803149606299202" right="0.74803149606299202" top="0.98425196850393704" bottom="0.98425196850393704" header="0.511811023622047" footer="0.511811023622047"/>
  <pageSetup paperSize="17" scale="44" orientation="landscape"/>
  <headerFooter alignWithMargins="0"/>
</worksheet>
</file>

<file path=docProps/app.xml><?xml version="1.0" encoding="utf-8"?>
<Properties xmlns="http://schemas.openxmlformats.org/officeDocument/2006/extended-properties" xmlns:vt="http://schemas.openxmlformats.org/officeDocument/2006/docPropsVTypes">
  <TitlesOfParts>
    <vt:vector size="8" baseType="lpstr">
      <vt:lpstr>App.2-JA_OM&amp;A_Summary_Analys</vt:lpstr>
      <vt:lpstr>App.2-JB_OM&amp;A_Cost _Drivers</vt:lpstr>
      <vt:lpstr>App.2-JC_OMA Programs</vt:lpstr>
      <vt:lpstr>App.2-K_Employee Costs</vt:lpstr>
      <vt:lpstr>'App.2-JA_OM&amp;A_Summary_Analys'!Print_Area</vt:lpstr>
      <vt:lpstr>'App.2-JB_OM&amp;A_Cost _Drivers'!Print_Area</vt:lpstr>
      <vt:lpstr>'App.2-JC_OMA Programs'!Print_Area</vt:lpstr>
      <vt:lpstr>'App.2-K_Employee Costs'!Print_Area</vt:lpstr>
    </vt:vector>
  </TitlesOfParts>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file>