
<file path=[Content_Types].xml><?xml version="1.0" encoding="utf-8"?>
<Types xmlns="http://schemas.openxmlformats.org/package/2006/content-type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NRPortbl\CM\DSTEVENS\"/>
    </mc:Choice>
  </mc:AlternateContent>
  <bookViews>
    <workbookView xWindow="0" yWindow="0" windowWidth="28800" windowHeight="11370"/>
  </bookViews>
  <sheets>
    <sheet name="App.2-JA_OM&amp;A_Summary_Analys" sheetId="1" r:id="rId1"/>
    <sheet name="App.2-JB_OM&amp;A_Cost _Drivers" sheetId="2" r:id="rId2"/>
    <sheet name="App.2-JC_OMA Programs" sheetId="3" r:id="rId3"/>
    <sheet name="App.2-K_Employee Costs"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#REF!</definedName>
    <definedName name="CRLF">[1]Z1.ModelVariables!$C$10</definedName>
    <definedName name="CustomerAdministration">[5]lists!$Z$1:$Z$36</definedName>
    <definedName name="EBNUMBER">'[4]LDC Info'!$E$16</definedName>
    <definedName name="Fixed_Charges">[5]lists!$I$1:$I$212</definedName>
    <definedName name="histdate">[6]Financials!$E$76</definedName>
    <definedName name="Incr2000">#REF!</definedName>
    <definedName name="Last_Rebasing_Year">'[3]0.1 LDC Info'!$E$27</definedName>
    <definedName name="LDC_LIST">[7]lists!$AM$1:$AM$80</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'App.2-JA_OM&amp;A_Summary_Analys'!$A$1:$AX$41</definedName>
    <definedName name="_xlnm.Print_Area" localSheetId="1">'App.2-JB_OM&amp;A_Cost _Drivers'!$A$1:$G$49</definedName>
    <definedName name="_xlnm.Print_Area" localSheetId="2">'App.2-JC_OMA Programs'!$A$1:$I$61</definedName>
    <definedName name="_xlnm.Print_Area" localSheetId="3">'App.2-K_Employee Costs'!$A$1:$Z$31</definedName>
    <definedName name="print_end">#REF!</definedName>
    <definedName name="Rate_Class">[5]lists!$A$2:$A$105</definedName>
    <definedName name="RATE_CLASSES">[5]lists!$A$1:$A$104</definedName>
    <definedName name="ratedescription">[8]hidden1!$D$1:$D$122</definedName>
    <definedName name="RebaseYear">'[4]LDC Info'!$E$28</definedName>
    <definedName name="RebaseYear_1">'[9]LDC Info'!$E$24</definedName>
    <definedName name="RMpilsVer">[1]Z1.ModelVariables!$C$13</definedName>
    <definedName name="RMversion">[10]Z1.ModelVariables!$C$13</definedName>
    <definedName name="SALBENF">#REF!</definedName>
    <definedName name="salreg">#REF!</definedName>
    <definedName name="SALREGF">#REF!</definedName>
    <definedName name="TEMPA">#REF!</definedName>
    <definedName name="Test_Year">'[3]0.1 LDC Info'!$E$25</definedName>
    <definedName name="TestYear">'[4]LDC Info'!$E$24</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[6]Financials!$A$1</definedName>
    <definedName name="utitliy1">[11]Financials!$A$1</definedName>
    <definedName name="valuevx">42.314159</definedName>
    <definedName name="WAGBENF">#REF!</definedName>
    <definedName name="wagdob">#REF!</definedName>
    <definedName name="wagdobf">#REF!</definedName>
    <definedName name="wagreg">#REF!</definedName>
    <definedName name="wagregf">#REF!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8" i="4" l="1"/>
  <c r="Y27" i="4"/>
  <c r="Q27" i="4"/>
  <c r="L27" i="4"/>
  <c r="K27" i="4"/>
  <c r="J27" i="4"/>
  <c r="I27" i="4"/>
  <c r="H27" i="4"/>
  <c r="G27" i="4"/>
  <c r="F27" i="4"/>
  <c r="E27" i="4"/>
  <c r="D27" i="4"/>
  <c r="C27" i="4"/>
  <c r="B27" i="4"/>
  <c r="W26" i="4"/>
  <c r="S26" i="4"/>
  <c r="O26" i="4"/>
  <c r="N26" i="4"/>
  <c r="L26" i="4"/>
  <c r="K26" i="4"/>
  <c r="J26" i="4"/>
  <c r="I26" i="4"/>
  <c r="H26" i="4"/>
  <c r="G26" i="4"/>
  <c r="F26" i="4"/>
  <c r="E26" i="4"/>
  <c r="D26" i="4"/>
  <c r="C26" i="4"/>
  <c r="B26" i="4"/>
  <c r="X24" i="4"/>
  <c r="W24" i="4"/>
  <c r="S24" i="4"/>
  <c r="P24" i="4"/>
  <c r="O24" i="4"/>
  <c r="L24" i="4"/>
  <c r="K24" i="4"/>
  <c r="J24" i="4"/>
  <c r="I24" i="4"/>
  <c r="H24" i="4"/>
  <c r="G24" i="4"/>
  <c r="F24" i="4"/>
  <c r="E24" i="4"/>
  <c r="D24" i="4"/>
  <c r="C24" i="4"/>
  <c r="B24" i="4"/>
  <c r="T24" i="4"/>
  <c r="Y24" i="4"/>
  <c r="V24" i="4"/>
  <c r="U24" i="4"/>
  <c r="Q24" i="4"/>
  <c r="N24" i="4"/>
  <c r="M24" i="4"/>
  <c r="Y20" i="4"/>
  <c r="Y28" i="4" s="1"/>
  <c r="Q20" i="4"/>
  <c r="M20" i="4"/>
  <c r="L20" i="4"/>
  <c r="L28" i="4" s="1"/>
  <c r="K20" i="4"/>
  <c r="K28" i="4" s="1"/>
  <c r="J20" i="4"/>
  <c r="J28" i="4" s="1"/>
  <c r="I20" i="4"/>
  <c r="I28" i="4" s="1"/>
  <c r="H20" i="4"/>
  <c r="H28" i="4" s="1"/>
  <c r="G20" i="4"/>
  <c r="G28" i="4" s="1"/>
  <c r="F20" i="4"/>
  <c r="F28" i="4" s="1"/>
  <c r="E20" i="4"/>
  <c r="E28" i="4" s="1"/>
  <c r="D20" i="4"/>
  <c r="D28" i="4" s="1"/>
  <c r="C20" i="4"/>
  <c r="C28" i="4" s="1"/>
  <c r="B20" i="4"/>
  <c r="B28" i="4" s="1"/>
  <c r="Z27" i="4"/>
  <c r="X27" i="4"/>
  <c r="W27" i="4"/>
  <c r="V27" i="4"/>
  <c r="U27" i="4"/>
  <c r="T27" i="4"/>
  <c r="S27" i="4"/>
  <c r="R27" i="4"/>
  <c r="P27" i="4"/>
  <c r="O27" i="4"/>
  <c r="N27" i="4"/>
  <c r="M27" i="4"/>
  <c r="Y26" i="4"/>
  <c r="W20" i="4"/>
  <c r="W28" i="4" s="1"/>
  <c r="U26" i="4"/>
  <c r="S20" i="4"/>
  <c r="Q26" i="4"/>
  <c r="O20" i="4"/>
  <c r="M26" i="4"/>
  <c r="Z16" i="4"/>
  <c r="V16" i="4"/>
  <c r="R16" i="4"/>
  <c r="N16" i="4"/>
  <c r="L16" i="4"/>
  <c r="K16" i="4"/>
  <c r="J16" i="4"/>
  <c r="I16" i="4"/>
  <c r="H16" i="4"/>
  <c r="G16" i="4"/>
  <c r="F16" i="4"/>
  <c r="E16" i="4"/>
  <c r="D16" i="4"/>
  <c r="C16" i="4"/>
  <c r="B16" i="4"/>
  <c r="Y16" i="4"/>
  <c r="X16" i="4"/>
  <c r="U16" i="4"/>
  <c r="T16" i="4"/>
  <c r="Q16" i="4"/>
  <c r="P16" i="4"/>
  <c r="M16" i="4"/>
  <c r="J54" i="3"/>
  <c r="I53" i="3"/>
  <c r="J53" i="3"/>
  <c r="J52" i="3"/>
  <c r="I51" i="3"/>
  <c r="J51" i="3"/>
  <c r="J50" i="3"/>
  <c r="I50" i="3"/>
  <c r="I49" i="3"/>
  <c r="J49" i="3"/>
  <c r="J46" i="3"/>
  <c r="I45" i="3"/>
  <c r="J45" i="3"/>
  <c r="J44" i="3"/>
  <c r="I43" i="3"/>
  <c r="J43" i="3"/>
  <c r="J42" i="3"/>
  <c r="I42" i="3"/>
  <c r="I41" i="3"/>
  <c r="J41" i="3"/>
  <c r="J38" i="3"/>
  <c r="D55" i="3"/>
  <c r="I37" i="3"/>
  <c r="E55" i="3"/>
  <c r="J34" i="3"/>
  <c r="I32" i="3"/>
  <c r="J32" i="3"/>
  <c r="J31" i="3"/>
  <c r="I30" i="3"/>
  <c r="J30" i="3"/>
  <c r="I29" i="3"/>
  <c r="I28" i="3"/>
  <c r="J28" i="3"/>
  <c r="I27" i="3"/>
  <c r="J26" i="3"/>
  <c r="D35" i="3"/>
  <c r="D56" i="3" s="1"/>
  <c r="I25" i="3"/>
  <c r="J25" i="3"/>
  <c r="J24" i="3"/>
  <c r="I24" i="3"/>
  <c r="J23" i="3"/>
  <c r="I22" i="3"/>
  <c r="J22" i="3"/>
  <c r="C35" i="3"/>
  <c r="F19" i="3"/>
  <c r="J18" i="3"/>
  <c r="I17" i="3"/>
  <c r="J17" i="3"/>
  <c r="G19" i="3"/>
  <c r="D19" i="3"/>
  <c r="I13" i="3"/>
  <c r="J13" i="3"/>
  <c r="A40" i="2"/>
  <c r="B40" i="2"/>
  <c r="C15" i="2" s="1"/>
  <c r="C40" i="2" s="1"/>
  <c r="D15" i="2" s="1"/>
  <c r="D40" i="2" s="1"/>
  <c r="E15" i="2" s="1"/>
  <c r="E40" i="2" s="1"/>
  <c r="F15" i="2" s="1"/>
  <c r="F40" i="2" s="1"/>
  <c r="G15" i="2" s="1"/>
  <c r="G40" i="2" s="1"/>
  <c r="A15" i="2"/>
  <c r="A11" i="2"/>
  <c r="AK35" i="1"/>
  <c r="AC35" i="1"/>
  <c r="X35" i="1"/>
  <c r="X36" i="1" s="1"/>
  <c r="AT34" i="1"/>
  <c r="AQ34" i="1"/>
  <c r="AO34" i="1"/>
  <c r="AN34" i="1"/>
  <c r="AK34" i="1"/>
  <c r="AI34" i="1"/>
  <c r="AH34" i="1"/>
  <c r="AG34" i="1"/>
  <c r="AF34" i="1"/>
  <c r="AE34" i="1"/>
  <c r="AD34" i="1"/>
  <c r="AC34" i="1"/>
  <c r="AB34" i="1"/>
  <c r="AA34" i="1"/>
  <c r="Z34" i="1"/>
  <c r="Y34" i="1"/>
  <c r="X34" i="1"/>
  <c r="W34" i="1"/>
  <c r="AU33" i="1"/>
  <c r="AR33" i="1"/>
  <c r="AQ33" i="1"/>
  <c r="AP33" i="1"/>
  <c r="AN33" i="1"/>
  <c r="AK33" i="1"/>
  <c r="AH33" i="1"/>
  <c r="AG33" i="1"/>
  <c r="AF33" i="1"/>
  <c r="AE33" i="1"/>
  <c r="AD33" i="1"/>
  <c r="AC33" i="1"/>
  <c r="AB33" i="1"/>
  <c r="AA33" i="1"/>
  <c r="Z33" i="1"/>
  <c r="Y33" i="1"/>
  <c r="X33" i="1"/>
  <c r="W33" i="1"/>
  <c r="AQ32" i="1"/>
  <c r="AO32" i="1"/>
  <c r="AN32" i="1"/>
  <c r="AK32" i="1"/>
  <c r="AJ32" i="1"/>
  <c r="AI32" i="1"/>
  <c r="AG32" i="1"/>
  <c r="AF32" i="1"/>
  <c r="AF35" i="1" s="1"/>
  <c r="AE32" i="1"/>
  <c r="AD32" i="1"/>
  <c r="AC32" i="1"/>
  <c r="AB32" i="1"/>
  <c r="AA32" i="1"/>
  <c r="Z32" i="1"/>
  <c r="Y32" i="1"/>
  <c r="X32" i="1"/>
  <c r="W32" i="1"/>
  <c r="AQ31" i="1"/>
  <c r="AP31" i="1"/>
  <c r="AN31" i="1"/>
  <c r="AN35" i="1" s="1"/>
  <c r="AK31" i="1"/>
  <c r="AH31" i="1"/>
  <c r="AG31" i="1"/>
  <c r="AF31" i="1"/>
  <c r="AE31" i="1"/>
  <c r="AD31" i="1"/>
  <c r="AD35" i="1" s="1"/>
  <c r="AD36" i="1" s="1"/>
  <c r="AC31" i="1"/>
  <c r="AB31" i="1"/>
  <c r="AA31" i="1"/>
  <c r="Z31" i="1"/>
  <c r="Z35" i="1" s="1"/>
  <c r="Z36" i="1" s="1"/>
  <c r="Y31" i="1"/>
  <c r="Y35" i="1" s="1"/>
  <c r="X31" i="1"/>
  <c r="W31" i="1"/>
  <c r="AU30" i="1"/>
  <c r="AQ30" i="1"/>
  <c r="AP30" i="1"/>
  <c r="AP35" i="1" s="1"/>
  <c r="AO30" i="1"/>
  <c r="AO35" i="1" s="1"/>
  <c r="AO36" i="1" s="1"/>
  <c r="AN30" i="1"/>
  <c r="AK30" i="1"/>
  <c r="AG30" i="1"/>
  <c r="AF30" i="1"/>
  <c r="AE30" i="1"/>
  <c r="AE35" i="1" s="1"/>
  <c r="AD30" i="1"/>
  <c r="AC30" i="1"/>
  <c r="AB30" i="1"/>
  <c r="AA30" i="1"/>
  <c r="AA35" i="1" s="1"/>
  <c r="AA36" i="1" s="1"/>
  <c r="Z30" i="1"/>
  <c r="Y30" i="1"/>
  <c r="X30" i="1"/>
  <c r="W30" i="1"/>
  <c r="W35" i="1" s="1"/>
  <c r="AU29" i="1"/>
  <c r="AT29" i="1"/>
  <c r="AS29" i="1"/>
  <c r="AP29" i="1"/>
  <c r="V26" i="1"/>
  <c r="F25" i="1"/>
  <c r="E25" i="1"/>
  <c r="M23" i="1"/>
  <c r="C23" i="1"/>
  <c r="R22" i="1"/>
  <c r="P22" i="1"/>
  <c r="N22" i="1"/>
  <c r="N25" i="1" s="1"/>
  <c r="M22" i="1"/>
  <c r="L22" i="1"/>
  <c r="I22" i="1"/>
  <c r="H22" i="1"/>
  <c r="H25" i="1" s="1"/>
  <c r="G22" i="1"/>
  <c r="F22" i="1"/>
  <c r="E22" i="1"/>
  <c r="AA18" i="1" s="1"/>
  <c r="AA20" i="1" s="1"/>
  <c r="D22" i="1"/>
  <c r="C22" i="1"/>
  <c r="B22" i="1"/>
  <c r="W18" i="1" s="1"/>
  <c r="W20" i="1" s="1"/>
  <c r="AU34" i="1"/>
  <c r="AP34" i="1"/>
  <c r="AL34" i="1"/>
  <c r="AJ34" i="1"/>
  <c r="AI17" i="1"/>
  <c r="AD20" i="1"/>
  <c r="AT33" i="1"/>
  <c r="AS33" i="1"/>
  <c r="AO33" i="1"/>
  <c r="AL33" i="1"/>
  <c r="AI33" i="1"/>
  <c r="AT32" i="1"/>
  <c r="AP32" i="1"/>
  <c r="AR18" i="1"/>
  <c r="AL18" i="1"/>
  <c r="AL20" i="1" s="1"/>
  <c r="AD18" i="1"/>
  <c r="AC18" i="1"/>
  <c r="X18" i="1"/>
  <c r="X20" i="1" s="1"/>
  <c r="AW17" i="1"/>
  <c r="AU17" i="1"/>
  <c r="AV17" i="1" s="1"/>
  <c r="AX17" i="1" s="1"/>
  <c r="AT17" i="1"/>
  <c r="AS17" i="1"/>
  <c r="AR17" i="1"/>
  <c r="AP17" i="1"/>
  <c r="AO17" i="1"/>
  <c r="AQ17" i="1" s="1"/>
  <c r="AM17" i="1"/>
  <c r="AL17" i="1"/>
  <c r="AN17" i="1" s="1"/>
  <c r="AK17" i="1"/>
  <c r="AJ17" i="1"/>
  <c r="AG17" i="1"/>
  <c r="AH17" i="1" s="1"/>
  <c r="AF17" i="1"/>
  <c r="AD17" i="1"/>
  <c r="AC17" i="1"/>
  <c r="AA17" i="1"/>
  <c r="Z17" i="1"/>
  <c r="AB17" i="1" s="1"/>
  <c r="Y17" i="1"/>
  <c r="X17" i="1"/>
  <c r="W17" i="1"/>
  <c r="R17" i="1"/>
  <c r="E17" i="1"/>
  <c r="C17" i="1"/>
  <c r="AW16" i="1"/>
  <c r="AU16" i="1"/>
  <c r="AV16" i="1" s="1"/>
  <c r="AX16" i="1" s="1"/>
  <c r="AS16" i="1"/>
  <c r="AR16" i="1"/>
  <c r="AT16" i="1" s="1"/>
  <c r="AQ16" i="1"/>
  <c r="AP16" i="1"/>
  <c r="AO16" i="1"/>
  <c r="AM16" i="1"/>
  <c r="AN16" i="1" s="1"/>
  <c r="AL16" i="1"/>
  <c r="AJ16" i="1"/>
  <c r="AI16" i="1"/>
  <c r="AG16" i="1"/>
  <c r="AF16" i="1"/>
  <c r="AH16" i="1" s="1"/>
  <c r="AE16" i="1"/>
  <c r="AD16" i="1"/>
  <c r="AC16" i="1"/>
  <c r="AA16" i="1"/>
  <c r="AB16" i="1" s="1"/>
  <c r="Z16" i="1"/>
  <c r="X16" i="1"/>
  <c r="W16" i="1"/>
  <c r="Y16" i="1" s="1"/>
  <c r="P16" i="1"/>
  <c r="N16" i="1"/>
  <c r="M16" i="1"/>
  <c r="M17" i="1" s="1"/>
  <c r="L16" i="1"/>
  <c r="I16" i="1"/>
  <c r="H16" i="1"/>
  <c r="G16" i="1"/>
  <c r="F16" i="1"/>
  <c r="G17" i="1" s="1"/>
  <c r="E16" i="1"/>
  <c r="D16" i="1"/>
  <c r="C16" i="1"/>
  <c r="B16" i="1"/>
  <c r="AW15" i="1"/>
  <c r="AU15" i="1"/>
  <c r="AV15" i="1" s="1"/>
  <c r="AX15" i="1" s="1"/>
  <c r="AT15" i="1"/>
  <c r="AS15" i="1"/>
  <c r="AR15" i="1"/>
  <c r="AP15" i="1"/>
  <c r="AO15" i="1"/>
  <c r="AQ15" i="1" s="1"/>
  <c r="AM15" i="1"/>
  <c r="AL15" i="1"/>
  <c r="AN15" i="1" s="1"/>
  <c r="AH15" i="1"/>
  <c r="AG15" i="1"/>
  <c r="AF15" i="1"/>
  <c r="AD15" i="1"/>
  <c r="AC15" i="1"/>
  <c r="AE15" i="1" s="1"/>
  <c r="AA15" i="1"/>
  <c r="Z15" i="1"/>
  <c r="AB15" i="1" s="1"/>
  <c r="Y15" i="1"/>
  <c r="X15" i="1"/>
  <c r="W15" i="1"/>
  <c r="AU31" i="1"/>
  <c r="AU14" i="1"/>
  <c r="AV14" i="1" s="1"/>
  <c r="AS31" i="1"/>
  <c r="AO31" i="1"/>
  <c r="AS14" i="1"/>
  <c r="AR14" i="1"/>
  <c r="AT14" i="1" s="1"/>
  <c r="AP14" i="1"/>
  <c r="AO14" i="1"/>
  <c r="AQ14" i="1" s="1"/>
  <c r="AL14" i="1"/>
  <c r="AI14" i="1"/>
  <c r="AG14" i="1"/>
  <c r="AF14" i="1"/>
  <c r="AD14" i="1"/>
  <c r="AC14" i="1"/>
  <c r="AE14" i="1" s="1"/>
  <c r="AB14" i="1"/>
  <c r="AA14" i="1"/>
  <c r="Z14" i="1"/>
  <c r="X14" i="1"/>
  <c r="Y14" i="1" s="1"/>
  <c r="W14" i="1"/>
  <c r="S16" i="1"/>
  <c r="S18" i="1" s="1"/>
  <c r="R16" i="1"/>
  <c r="S17" i="1" s="1"/>
  <c r="O16" i="1"/>
  <c r="O17" i="1" s="1"/>
  <c r="AU13" i="1"/>
  <c r="AV13" i="1" s="1"/>
  <c r="AS13" i="1"/>
  <c r="AR13" i="1"/>
  <c r="AP13" i="1"/>
  <c r="AO13" i="1"/>
  <c r="AQ13" i="1" s="1"/>
  <c r="AM13" i="1"/>
  <c r="AN13" i="1" s="1"/>
  <c r="AL13" i="1"/>
  <c r="AG13" i="1"/>
  <c r="AF13" i="1"/>
  <c r="AH13" i="1" s="1"/>
  <c r="AD13" i="1"/>
  <c r="AC13" i="1"/>
  <c r="AE13" i="1" s="1"/>
  <c r="AB13" i="1"/>
  <c r="AA13" i="1"/>
  <c r="Z13" i="1"/>
  <c r="X13" i="1"/>
  <c r="Y13" i="1" s="1"/>
  <c r="W13" i="1"/>
  <c r="AX12" i="1"/>
  <c r="AW12" i="1"/>
  <c r="AV12" i="1"/>
  <c r="AU12" i="1"/>
  <c r="AT12" i="1"/>
  <c r="AS12" i="1"/>
  <c r="AR12" i="1"/>
  <c r="AQ12" i="1"/>
  <c r="AO12" i="1"/>
  <c r="AN12" i="1"/>
  <c r="AM12" i="1"/>
  <c r="AK12" i="1"/>
  <c r="AJ12" i="1"/>
  <c r="AI12" i="1"/>
  <c r="AH12" i="1"/>
  <c r="AG12" i="1"/>
  <c r="AF12" i="1"/>
  <c r="AE12" i="1"/>
  <c r="AC12" i="1"/>
  <c r="AB12" i="1"/>
  <c r="AA12" i="1"/>
  <c r="Y12" i="1"/>
  <c r="X12" i="1"/>
  <c r="W12" i="1"/>
  <c r="S12" i="1"/>
  <c r="R12" i="1"/>
  <c r="Q12" i="1"/>
  <c r="P12" i="1"/>
  <c r="N12" i="1"/>
  <c r="M12" i="1"/>
  <c r="L12" i="1"/>
  <c r="J12" i="1"/>
  <c r="I12" i="1"/>
  <c r="H12" i="1"/>
  <c r="F12" i="1"/>
  <c r="E12" i="1"/>
  <c r="D12" i="1"/>
  <c r="B12" i="1"/>
  <c r="W29" i="1" s="1"/>
  <c r="T3" i="1"/>
  <c r="T2" i="1"/>
  <c r="T1" i="1"/>
  <c r="AP12" i="1" s="1"/>
  <c r="S1" i="1"/>
  <c r="AX14" i="1" l="1"/>
  <c r="AH30" i="1"/>
  <c r="J16" i="1"/>
  <c r="AR30" i="1"/>
  <c r="AS30" i="1"/>
  <c r="AS35" i="1" s="1"/>
  <c r="AS36" i="1" s="1"/>
  <c r="Q16" i="1"/>
  <c r="Q17" i="1" s="1"/>
  <c r="AR20" i="1"/>
  <c r="D25" i="1"/>
  <c r="E26" i="1" s="1"/>
  <c r="Z18" i="1"/>
  <c r="AU35" i="1"/>
  <c r="J39" i="3"/>
  <c r="I39" i="3"/>
  <c r="AJ30" i="1"/>
  <c r="K16" i="1"/>
  <c r="K17" i="1" s="1"/>
  <c r="AI31" i="1"/>
  <c r="AJ31" i="1"/>
  <c r="Y18" i="1"/>
  <c r="Y20" i="1" s="1"/>
  <c r="AF18" i="1"/>
  <c r="AA21" i="1"/>
  <c r="AA22" i="1" s="1"/>
  <c r="I25" i="1"/>
  <c r="I26" i="1" s="1"/>
  <c r="I23" i="1"/>
  <c r="AI30" i="1"/>
  <c r="AT31" i="1"/>
  <c r="B35" i="3"/>
  <c r="F35" i="3"/>
  <c r="F56" i="3" s="1"/>
  <c r="G35" i="3"/>
  <c r="G56" i="3" s="1"/>
  <c r="B55" i="3"/>
  <c r="B56" i="3" s="1"/>
  <c r="F55" i="3"/>
  <c r="J37" i="3"/>
  <c r="I38" i="3"/>
  <c r="I55" i="3" s="1"/>
  <c r="I54" i="3"/>
  <c r="AI13" i="1"/>
  <c r="AK13" i="1" s="1"/>
  <c r="AM30" i="1"/>
  <c r="AL30" i="1"/>
  <c r="AL35" i="1" s="1"/>
  <c r="AL36" i="1" s="1"/>
  <c r="AJ14" i="1"/>
  <c r="AK14" i="1" s="1"/>
  <c r="AM31" i="1"/>
  <c r="AL31" i="1"/>
  <c r="AM14" i="1"/>
  <c r="AN14" i="1" s="1"/>
  <c r="AG18" i="1"/>
  <c r="AG20" i="1" s="1"/>
  <c r="AG21" i="1" s="1"/>
  <c r="AG22" i="1" s="1"/>
  <c r="AD21" i="1"/>
  <c r="AD22" i="1" s="1"/>
  <c r="R25" i="1"/>
  <c r="R26" i="1" s="1"/>
  <c r="R23" i="1"/>
  <c r="AU18" i="1"/>
  <c r="H19" i="3"/>
  <c r="I16" i="3"/>
  <c r="H56" i="3"/>
  <c r="J16" i="3"/>
  <c r="J19" i="3" s="1"/>
  <c r="J33" i="3"/>
  <c r="I33" i="3"/>
  <c r="C55" i="3"/>
  <c r="J47" i="3"/>
  <c r="I47" i="3"/>
  <c r="P26" i="4"/>
  <c r="P20" i="4"/>
  <c r="P28" i="4" s="1"/>
  <c r="T26" i="4"/>
  <c r="T20" i="4"/>
  <c r="T28" i="4" s="1"/>
  <c r="X26" i="4"/>
  <c r="X20" i="4"/>
  <c r="X28" i="4" s="1"/>
  <c r="AJ13" i="1"/>
  <c r="AT13" i="1"/>
  <c r="AW13" i="1"/>
  <c r="AX13" i="1" s="1"/>
  <c r="AH14" i="1"/>
  <c r="AW14" i="1"/>
  <c r="I17" i="1"/>
  <c r="AK16" i="1"/>
  <c r="AE17" i="1"/>
  <c r="AC20" i="1"/>
  <c r="AE18" i="1"/>
  <c r="AE20" i="1" s="1"/>
  <c r="AO18" i="1"/>
  <c r="AH32" i="1"/>
  <c r="J22" i="1"/>
  <c r="AI15" i="1"/>
  <c r="AR32" i="1"/>
  <c r="Q22" i="1"/>
  <c r="AS32" i="1"/>
  <c r="AR34" i="1"/>
  <c r="AS34" i="1"/>
  <c r="M25" i="1"/>
  <c r="M26" i="1" s="1"/>
  <c r="AM18" i="1"/>
  <c r="E23" i="1"/>
  <c r="AT30" i="1"/>
  <c r="AT35" i="1" s="1"/>
  <c r="AF36" i="1"/>
  <c r="C19" i="3"/>
  <c r="C56" i="3" s="1"/>
  <c r="I26" i="3"/>
  <c r="J27" i="3"/>
  <c r="J29" i="3"/>
  <c r="I46" i="3"/>
  <c r="H55" i="3"/>
  <c r="Q28" i="4"/>
  <c r="AJ33" i="1"/>
  <c r="K22" i="1"/>
  <c r="P25" i="1"/>
  <c r="B25" i="1"/>
  <c r="I21" i="3"/>
  <c r="G55" i="3"/>
  <c r="O16" i="4"/>
  <c r="S16" i="4"/>
  <c r="W16" i="4"/>
  <c r="N20" i="4"/>
  <c r="N28" i="4" s="1"/>
  <c r="R20" i="4"/>
  <c r="R28" i="4" s="1"/>
  <c r="V20" i="4"/>
  <c r="V28" i="4" s="1"/>
  <c r="Z20" i="4"/>
  <c r="Z28" i="4" s="1"/>
  <c r="R24" i="4"/>
  <c r="R26" i="4"/>
  <c r="Z24" i="4"/>
  <c r="Z26" i="4"/>
  <c r="C12" i="1"/>
  <c r="X29" i="1" s="1"/>
  <c r="G12" i="1"/>
  <c r="K12" i="1"/>
  <c r="O12" i="1"/>
  <c r="Z12" i="1"/>
  <c r="AD12" i="1"/>
  <c r="AL12" i="1"/>
  <c r="AJ15" i="1"/>
  <c r="AL32" i="1"/>
  <c r="AM32" i="1"/>
  <c r="S22" i="1"/>
  <c r="C25" i="1"/>
  <c r="C26" i="1" s="1"/>
  <c r="G25" i="1"/>
  <c r="G26" i="1" s="1"/>
  <c r="L25" i="1"/>
  <c r="AG35" i="1"/>
  <c r="AG36" i="1" s="1"/>
  <c r="AB35" i="1"/>
  <c r="AC36" i="1" s="1"/>
  <c r="AR31" i="1"/>
  <c r="AU32" i="1"/>
  <c r="AM33" i="1"/>
  <c r="AM34" i="1"/>
  <c r="B19" i="3"/>
  <c r="J21" i="3"/>
  <c r="I34" i="3"/>
  <c r="H35" i="3"/>
  <c r="I40" i="3"/>
  <c r="J40" i="3"/>
  <c r="I44" i="3"/>
  <c r="I48" i="3"/>
  <c r="J48" i="3"/>
  <c r="I52" i="3"/>
  <c r="O28" i="4"/>
  <c r="S28" i="4"/>
  <c r="U20" i="4"/>
  <c r="U28" i="4" s="1"/>
  <c r="V26" i="4"/>
  <c r="O22" i="1"/>
  <c r="G23" i="1"/>
  <c r="AQ35" i="1"/>
  <c r="E56" i="3"/>
  <c r="I18" i="3"/>
  <c r="E19" i="3"/>
  <c r="E35" i="3"/>
  <c r="I23" i="3"/>
  <c r="I31" i="3"/>
  <c r="O23" i="1" l="1"/>
  <c r="O25" i="1"/>
  <c r="O26" i="1" s="1"/>
  <c r="AP18" i="1"/>
  <c r="AP20" i="1" s="1"/>
  <c r="I35" i="3"/>
  <c r="Q25" i="1"/>
  <c r="Q26" i="1" s="1"/>
  <c r="Q23" i="1"/>
  <c r="AS18" i="1"/>
  <c r="AV18" i="1" s="1"/>
  <c r="I56" i="3"/>
  <c r="J56" i="3"/>
  <c r="J35" i="3"/>
  <c r="S23" i="1"/>
  <c r="S24" i="1"/>
  <c r="AW18" i="1"/>
  <c r="AW20" i="1" s="1"/>
  <c r="S25" i="1"/>
  <c r="S26" i="1" s="1"/>
  <c r="AT36" i="1"/>
  <c r="AO20" i="1"/>
  <c r="I19" i="3"/>
  <c r="AM35" i="1"/>
  <c r="AU36" i="1"/>
  <c r="AR35" i="1"/>
  <c r="AR36" i="1" s="1"/>
  <c r="AK15" i="1"/>
  <c r="J55" i="3"/>
  <c r="AI35" i="1"/>
  <c r="AI36" i="1" s="1"/>
  <c r="AF20" i="1"/>
  <c r="AH18" i="1"/>
  <c r="AH20" i="1" s="1"/>
  <c r="K23" i="1"/>
  <c r="AJ18" i="1"/>
  <c r="AJ20" i="1" s="1"/>
  <c r="AJ21" i="1" s="1"/>
  <c r="AJ22" i="1" s="1"/>
  <c r="K25" i="1"/>
  <c r="K26" i="1" s="1"/>
  <c r="AM20" i="1"/>
  <c r="AM21" i="1" s="1"/>
  <c r="AM22" i="1" s="1"/>
  <c r="AN18" i="1"/>
  <c r="AN20" i="1" s="1"/>
  <c r="J25" i="1"/>
  <c r="AI18" i="1"/>
  <c r="AU20" i="1"/>
  <c r="AJ35" i="1"/>
  <c r="AJ36" i="1" s="1"/>
  <c r="Z20" i="1"/>
  <c r="AB18" i="1"/>
  <c r="AB20" i="1" s="1"/>
  <c r="AH35" i="1"/>
  <c r="AV20" i="1" l="1"/>
  <c r="AX18" i="1"/>
  <c r="AX20" i="1" s="1"/>
  <c r="AM36" i="1"/>
  <c r="AP36" i="1"/>
  <c r="AP21" i="1"/>
  <c r="AP22" i="1" s="1"/>
  <c r="AI20" i="1"/>
  <c r="AK18" i="1"/>
  <c r="AK20" i="1" s="1"/>
  <c r="AQ18" i="1"/>
  <c r="AQ20" i="1" s="1"/>
  <c r="AS20" i="1"/>
  <c r="AT18" i="1"/>
  <c r="AT20" i="1" s="1"/>
  <c r="AX25" i="1"/>
  <c r="AW21" i="1"/>
  <c r="AW22" i="1" s="1"/>
  <c r="AS26" i="1" l="1"/>
  <c r="AS21" i="1"/>
  <c r="AS22" i="1" s="1"/>
  <c r="AS24" i="1" s="1"/>
  <c r="AS23" i="1"/>
  <c r="AU21" i="1"/>
  <c r="AU22" i="1" s="1"/>
</calcChain>
</file>

<file path=xl/sharedStrings.xml><?xml version="1.0" encoding="utf-8"?>
<sst xmlns="http://schemas.openxmlformats.org/spreadsheetml/2006/main" count="240" uniqueCount="155">
  <si>
    <t>File Number:</t>
  </si>
  <si>
    <t>Last Rebasing Year</t>
  </si>
  <si>
    <t>Column</t>
  </si>
  <si>
    <t>Exhibit:</t>
  </si>
  <si>
    <t>B</t>
  </si>
  <si>
    <t>ae</t>
  </si>
  <si>
    <t>Tab:</t>
  </si>
  <si>
    <t>D</t>
  </si>
  <si>
    <t>ah</t>
  </si>
  <si>
    <t>TO BE UPDATED AT THE DRAFT RATE ORDER STAGE</t>
  </si>
  <si>
    <t>Schedule:</t>
  </si>
  <si>
    <t>G</t>
  </si>
  <si>
    <t>ak</t>
  </si>
  <si>
    <t>Page:</t>
  </si>
  <si>
    <t>J</t>
  </si>
  <si>
    <t>an</t>
  </si>
  <si>
    <t>M</t>
  </si>
  <si>
    <t>aq</t>
  </si>
  <si>
    <t>Date:</t>
  </si>
  <si>
    <t>P</t>
  </si>
  <si>
    <t>at</t>
  </si>
  <si>
    <t>S</t>
  </si>
  <si>
    <t>aw</t>
  </si>
  <si>
    <t>Appendix 2-JA</t>
  </si>
  <si>
    <t>V</t>
  </si>
  <si>
    <t>az</t>
  </si>
  <si>
    <r>
      <t xml:space="preserve">Summary of </t>
    </r>
    <r>
      <rPr>
        <b/>
        <u/>
        <sz val="14"/>
        <color indexed="10"/>
        <rFont val="Arial"/>
        <family val="2"/>
      </rPr>
      <t>Recoverable</t>
    </r>
    <r>
      <rPr>
        <b/>
        <sz val="14"/>
        <rFont val="Arial"/>
        <family val="2"/>
      </rPr>
      <t xml:space="preserve"> OM&amp;A Expenses</t>
    </r>
  </si>
  <si>
    <t>Reporting Basis</t>
  </si>
  <si>
    <t>Operations</t>
  </si>
  <si>
    <t xml:space="preserve">Maintenance </t>
  </si>
  <si>
    <t>Maintenance</t>
  </si>
  <si>
    <t xml:space="preserve">Billing and Collecting </t>
  </si>
  <si>
    <t>SubTotal</t>
  </si>
  <si>
    <t xml:space="preserve">Community Relations </t>
  </si>
  <si>
    <t>%Change (year over year)</t>
  </si>
  <si>
    <t xml:space="preserve">Administrative and General </t>
  </si>
  <si>
    <t>%Change (Test Year vs 
Last Rebasing Year - Actual)</t>
  </si>
  <si>
    <t xml:space="preserve">Total OM&amp;A Expenses </t>
  </si>
  <si>
    <t>Billing and Collecting</t>
  </si>
  <si>
    <t>Adjustments for Total non-recoverable items (from Appendices 2-JA and 2-JB)</t>
  </si>
  <si>
    <t>Community Relations</t>
  </si>
  <si>
    <t xml:space="preserve">Total Recoverable OM&amp;A Expenses </t>
  </si>
  <si>
    <t>Administrative and General</t>
  </si>
  <si>
    <t xml:space="preserve">Variance from previous year </t>
  </si>
  <si>
    <t xml:space="preserve">Percent change (year over year) </t>
  </si>
  <si>
    <t xml:space="preserve">Percent Change:                                                    Test year vs. Most Current Actual </t>
  </si>
  <si>
    <t>Simple average of % variance for all years</t>
  </si>
  <si>
    <t>Total</t>
  </si>
  <si>
    <t>Compound Annual Growth Rate for all years</t>
  </si>
  <si>
    <t>Last Rebasing Year (2011 Board Approved)</t>
  </si>
  <si>
    <t>Last Rebasing Year (2011 Actuals)</t>
  </si>
  <si>
    <t>2011 Actuals</t>
  </si>
  <si>
    <t>Last Rebasing Year (2012 Board Approved)</t>
  </si>
  <si>
    <t>Last Rebasing Year (2012 Actuals)</t>
  </si>
  <si>
    <t>2012 Actuals</t>
  </si>
  <si>
    <t>Last Rebasing Year (2013 Board Approved)</t>
  </si>
  <si>
    <t>Last Rebasing Year (2013 Actuals)</t>
  </si>
  <si>
    <t>2013 Actuals</t>
  </si>
  <si>
    <t>Last Rebasing Year (2014 Board Approved)</t>
  </si>
  <si>
    <t>Last Rebasing Year (2014 Actuals)</t>
  </si>
  <si>
    <t>2014 Actuals</t>
  </si>
  <si>
    <t>Last Rebasing Year (2015 Board Approved)</t>
  </si>
  <si>
    <t>Last Rebasing Year (2015 Actuals)</t>
  </si>
  <si>
    <t>2015 Actuals</t>
  </si>
  <si>
    <t>Last Rebasing Year (2016 Board Approved)</t>
  </si>
  <si>
    <t>Last Rebasing Year (2016 Actuals)</t>
  </si>
  <si>
    <t>Last Rebasing Year (2017 Board Approved)</t>
  </si>
  <si>
    <t>Last Rebasing Year (2017 Actuals)</t>
  </si>
  <si>
    <t>Note:</t>
  </si>
  <si>
    <t>1     Historical actuals going back to the last cost of service application are required to be entered by the applicant.</t>
  </si>
  <si>
    <t>2     Recoverable OM&amp;A that is included on these tables should be identical to the recoverable OM&amp;A that is shown for the corresponding periods on Appendix 2-JB.</t>
  </si>
  <si>
    <t>Appendix 2-JB</t>
  </si>
  <si>
    <t>OM&amp;A</t>
  </si>
  <si>
    <t>Wage increase</t>
  </si>
  <si>
    <t>Inflation</t>
  </si>
  <si>
    <t>New staff</t>
  </si>
  <si>
    <t>Locate costs</t>
  </si>
  <si>
    <t>Cyber security</t>
  </si>
  <si>
    <t>Utilismart contract</t>
  </si>
  <si>
    <t>CHEC</t>
  </si>
  <si>
    <t>2014 Cost of Service Settlement Agreement</t>
  </si>
  <si>
    <t>Capitalized labour</t>
  </si>
  <si>
    <t>Transformer St. Mtce</t>
  </si>
  <si>
    <t>Tree trimming</t>
  </si>
  <si>
    <t>Underground services</t>
  </si>
  <si>
    <t>Regulatory costs</t>
  </si>
  <si>
    <t>Severance</t>
  </si>
  <si>
    <t>Micro-grid study</t>
  </si>
  <si>
    <t>Temporary staff</t>
  </si>
  <si>
    <r>
      <t xml:space="preserve">etc. </t>
    </r>
    <r>
      <rPr>
        <sz val="10"/>
        <color rgb="FFFF0000"/>
        <rFont val="Arial"/>
        <family val="2"/>
      </rPr>
      <t>(Insert additional rows as needed)</t>
    </r>
  </si>
  <si>
    <t>Notes:</t>
  </si>
  <si>
    <t>For each year, a detailed explanation for each cost driver and associated amount is requied in Exhibit 4.</t>
  </si>
  <si>
    <t>Opening Balance for "Last Rebasing Year" (cell B15) should be equal to the Board-Approved amount. For purposes of assessing incremental cost drivers, the closing balance for each year becomes the opening balance for the next year.</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</si>
  <si>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</si>
  <si>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Appendix 2-JC</t>
  </si>
  <si>
    <t>OM&amp;A Programs Table</t>
  </si>
  <si>
    <t>Programs</t>
  </si>
  <si>
    <t>Customer Service</t>
  </si>
  <si>
    <t>Customer Service, Mailing Costs, Billing  and  Collections</t>
  </si>
  <si>
    <t>Bad Debts</t>
  </si>
  <si>
    <t>Monthly Billing ( net of savings)</t>
  </si>
  <si>
    <t>Sub-Total</t>
  </si>
  <si>
    <t>Service Locates</t>
  </si>
  <si>
    <t>Municipal Transformer Station -operating and maintenance costs</t>
  </si>
  <si>
    <t xml:space="preserve">Meters maintenance </t>
  </si>
  <si>
    <t>Distribution sub-stations and protection and control</t>
  </si>
  <si>
    <t>Asset management &amp; maintenance department</t>
  </si>
  <si>
    <t>Overhead lines</t>
  </si>
  <si>
    <t>Underground Lines</t>
  </si>
  <si>
    <t xml:space="preserve"> 24/7 Control room operations and load dispatch activities</t>
  </si>
  <si>
    <t>Operations &amp; engineering ,Inspection drafting &amp; design construction services</t>
  </si>
  <si>
    <t>Distribution Transformers</t>
  </si>
  <si>
    <t>Underground conduit</t>
  </si>
  <si>
    <t>Poles Towers &amp; Fixtures</t>
  </si>
  <si>
    <t xml:space="preserve">Fleet costs </t>
  </si>
  <si>
    <t>Operational Effectiveness &amp; Communication</t>
  </si>
  <si>
    <t>Health &amp; Safety Costs</t>
  </si>
  <si>
    <t>Executive, Financial , Legal, Professional and Insurance Services</t>
  </si>
  <si>
    <t>Post employment costs</t>
  </si>
  <si>
    <t>Procurement and Materials Management</t>
  </si>
  <si>
    <t>Office building  &amp; security costs</t>
  </si>
  <si>
    <t xml:space="preserve">IT, software, telecommunications </t>
  </si>
  <si>
    <t>Internal Labour &amp; Benefit Costs - attributed to capital work</t>
  </si>
  <si>
    <t>Administrative services recovered from affiliates</t>
  </si>
  <si>
    <t>Collection charges recovered from customers</t>
  </si>
  <si>
    <t xml:space="preserve">Regulatory &amp; Compliance </t>
  </si>
  <si>
    <t xml:space="preserve">Metering Compliance </t>
  </si>
  <si>
    <t>Smart Meter data management program</t>
  </si>
  <si>
    <t>Capitalization Policy Change ( Effective Jan  1 , 2013)</t>
  </si>
  <si>
    <t>ESA Fees</t>
  </si>
  <si>
    <t>LEAP</t>
  </si>
  <si>
    <t>Donations</t>
  </si>
  <si>
    <t>Other</t>
  </si>
  <si>
    <t>1   Please provide a breakdown of the major components of each OM&amp;A Program undertaken in each year.  Please ensure that all Programs below the materiality threshold are included in the miscellaneous line.  Add more Programs as required.</t>
  </si>
  <si>
    <t>2   The applicant should group projects appropriately and avoid presentations that result in classification of significant components of the OM&amp;A budget in the miscellaneous category</t>
  </si>
  <si>
    <t>Appendix 2-K</t>
  </si>
  <si>
    <t>Employee Costs</t>
  </si>
  <si>
    <t>Last Rebasing Year (2010 Board Approved)</t>
  </si>
  <si>
    <t>Last Rebasing Year (2010 Actuals)</t>
  </si>
  <si>
    <r>
      <t>Number of Employees (FTEs including Part-Time)</t>
    </r>
    <r>
      <rPr>
        <b/>
        <vertAlign val="superscript"/>
        <sz val="10"/>
        <rFont val="Arial"/>
        <family val="2"/>
      </rPr>
      <t>1</t>
    </r>
  </si>
  <si>
    <t>Management (including executive)</t>
  </si>
  <si>
    <t>Non-Management (union and non-union)</t>
  </si>
  <si>
    <t>Total Salary and Wages including ovetime and incentive pay</t>
  </si>
  <si>
    <t>Total Benefits (Current + Accrued)</t>
  </si>
  <si>
    <t>Total Compensation (Salary, Wages, &amp; Benefits)</t>
  </si>
  <si>
    <r>
      <t>1</t>
    </r>
    <r>
      <rPr>
        <b/>
        <sz val="10"/>
        <rFont val="Arial"/>
        <family val="2"/>
      </rPr>
      <t xml:space="preserve"> </t>
    </r>
    <r>
      <rPr>
        <sz val="10"/>
        <rFont val="Arial"/>
        <family val="2"/>
      </rPr>
      <t>If an applicant wishes to use headcount, it must also file the same schedule on an FTE basis.</t>
    </r>
  </si>
  <si>
    <t>2016 Actuals</t>
  </si>
  <si>
    <t>2017 Actuals</t>
  </si>
  <si>
    <t>2018 Bridge Year</t>
  </si>
  <si>
    <t>2019 Test Year</t>
  </si>
  <si>
    <t>EB-2018-0056</t>
  </si>
  <si>
    <t>Last Rebasing Year (2014 Board-Approved)</t>
  </si>
  <si>
    <t>Continuous Cost Increases</t>
  </si>
  <si>
    <t>Variable Costs</t>
  </si>
  <si>
    <t>One-time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</si>
</sst>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quot;$&quot;* #,##0_-;_-&quot;$&quot;* &quot;-&quot;??_-;_-@_-"/>
    <numFmt numFmtId="165" formatCode="0.0%"/>
    <numFmt numFmtId="166" formatCode="_-* #,##0_-;\-* #,##0_-;_-* &quot;-&quot;??_-;_-@_-"/>
  </numFmts>
  <fonts count="18" x14ac:knownFonts="1">
    <font>
      <sz val="10"/>
      <name val="Arial"/>
    </font>
    <font>
      <sz val="11"/>
      <color theme="1"/>
      <name val="Calibri"/>
      <family val="2"/>
      <scheme val="minor"/>
    </font>
    <font>
      <b/>
      <sz val="10"/>
      <name val="Arial"/>
      <family val="2"/>
    </font>
    <font>
      <sz val="8"/>
      <name val="Arial"/>
      <family val="2"/>
    </font>
    <font>
      <sz val="10"/>
      <color theme="0"/>
      <name val="Arial"/>
      <family val="2"/>
    </font>
    <font>
      <sz val="10"/>
      <name val="Arial"/>
      <family val="2"/>
    </font>
    <font>
      <b/>
      <sz val="11"/>
      <color rgb="FFFF0000"/>
      <name val="Arial"/>
      <family val="2"/>
    </font>
    <font>
      <b/>
      <sz val="14"/>
      <name val="Arial"/>
      <family val="2"/>
    </font>
    <font>
      <b/>
      <u/>
      <sz val="14"/>
      <color indexed="10"/>
      <name val="Arial"/>
      <family val="2"/>
    </font>
    <font>
      <sz val="9"/>
      <name val="Arial"/>
      <family val="2"/>
    </font>
    <font>
      <b/>
      <sz val="9"/>
      <name val="Arial"/>
      <family val="2"/>
    </font>
    <font>
      <sz val="9"/>
      <color theme="1"/>
      <name val="Arial"/>
      <family val="2"/>
    </font>
    <font>
      <b/>
      <i/>
      <sz val="9"/>
      <color rgb="FFFF0000"/>
      <name val="Arial"/>
      <family val="2"/>
    </font>
    <font>
      <b/>
      <sz val="9"/>
      <color theme="1"/>
      <name val="Arial"/>
      <family val="2"/>
    </font>
    <font>
      <sz val="10"/>
      <color rgb="FFFF0000"/>
      <name val="Arial"/>
      <family val="2"/>
    </font>
    <font>
      <b/>
      <u/>
      <sz val="10"/>
      <name val="Arial"/>
      <family val="2"/>
    </font>
    <font>
      <b/>
      <i/>
      <sz val="10"/>
      <name val="Arial"/>
      <family val="2"/>
    </font>
    <font>
      <b/>
      <vertAlign val="superscript"/>
      <sz val="10"/>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lightDown">
        <bgColor theme="0" tint="-0.249977111117893"/>
      </patternFill>
    </fill>
    <fill>
      <patternFill patternType="solid">
        <fgColor theme="0" tint="-0.34998626667073579"/>
        <bgColor indexed="64"/>
      </patternFill>
    </fill>
    <fill>
      <patternFill patternType="solid">
        <fgColor theme="0"/>
        <bgColor theme="0"/>
      </patternFill>
    </fill>
    <fill>
      <patternFill patternType="solid">
        <fgColor theme="0"/>
        <bgColor indexed="64"/>
      </patternFill>
    </fill>
    <fill>
      <patternFill patternType="solid">
        <fgColor indexed="22"/>
        <bgColor indexed="64"/>
      </patternFill>
    </fill>
  </fills>
  <borders count="39">
    <border>
      <left/>
      <right/>
      <top/>
      <bottom/>
      <diagonal/>
    </border>
    <border>
      <left/>
      <right/>
      <top/>
      <bottom style="thin">
        <color theme="0"/>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s>
  <cellStyleXfs count="6">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cellStyleXfs>
  <cellXfs count="157">
    <xf numFmtId="0" fontId="0" fillId="0" borderId="0" xfId="0"/>
    <xf numFmtId="0" fontId="0" fillId="0" borderId="0" xfId="0" applyProtection="1"/>
    <xf numFmtId="0" fontId="2" fillId="0" borderId="0" xfId="0" applyFont="1" applyAlignment="1" applyProtection="1">
      <alignment horizontal="left"/>
    </xf>
    <xf numFmtId="0" fontId="3" fillId="0" borderId="0" xfId="0" applyFont="1" applyAlignment="1" applyProtection="1">
      <alignment horizontal="right" vertical="top"/>
    </xf>
    <xf numFmtId="0" fontId="4" fillId="0" borderId="0" xfId="0" applyFont="1" applyProtection="1"/>
    <xf numFmtId="0" fontId="3" fillId="2" borderId="1" xfId="0" applyFont="1" applyFill="1" applyBorder="1" applyAlignment="1" applyProtection="1">
      <alignment horizontal="right" vertical="top"/>
    </xf>
    <xf numFmtId="0" fontId="6" fillId="0" borderId="0" xfId="4" applyFont="1" applyProtection="1"/>
    <xf numFmtId="0" fontId="3" fillId="2" borderId="0" xfId="0" applyFont="1" applyFill="1" applyAlignment="1" applyProtection="1">
      <alignment horizontal="right" vertical="top"/>
    </xf>
    <xf numFmtId="0" fontId="2" fillId="0" borderId="0" xfId="0" applyFont="1" applyAlignment="1" applyProtection="1">
      <alignment horizontal="center"/>
    </xf>
    <xf numFmtId="0" fontId="0" fillId="0" borderId="0" xfId="0" applyFill="1" applyBorder="1" applyProtection="1"/>
    <xf numFmtId="0" fontId="9" fillId="0" borderId="3" xfId="4" applyFont="1" applyFill="1" applyBorder="1" applyAlignment="1" applyProtection="1">
      <alignment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11" fillId="0" borderId="6" xfId="5" applyFont="1" applyBorder="1" applyAlignment="1" applyProtection="1">
      <alignment horizontal="center" vertical="center" wrapText="1"/>
    </xf>
    <xf numFmtId="0" fontId="11" fillId="0" borderId="7" xfId="5" applyFont="1" applyBorder="1" applyAlignment="1" applyProtection="1">
      <alignment horizontal="center" vertical="center" wrapText="1"/>
    </xf>
    <xf numFmtId="0" fontId="12" fillId="0" borderId="6" xfId="4" applyFont="1" applyFill="1" applyBorder="1" applyAlignment="1" applyProtection="1">
      <alignment vertical="center" wrapText="1"/>
    </xf>
    <xf numFmtId="0" fontId="2" fillId="3" borderId="4" xfId="0" applyFont="1" applyFill="1" applyBorder="1" applyAlignment="1" applyProtection="1">
      <alignment horizontal="center" vertical="top" wrapText="1"/>
      <protection locked="0"/>
    </xf>
    <xf numFmtId="0" fontId="2" fillId="3" borderId="5" xfId="0" applyFont="1" applyFill="1" applyBorder="1" applyAlignment="1" applyProtection="1">
      <alignment horizontal="center" vertical="top" wrapText="1"/>
      <protection locked="0"/>
    </xf>
    <xf numFmtId="0" fontId="10" fillId="0" borderId="0" xfId="4" applyFont="1" applyFill="1" applyBorder="1" applyAlignment="1" applyProtection="1">
      <alignment horizontal="center" vertical="center" wrapText="1"/>
    </xf>
    <xf numFmtId="0" fontId="13" fillId="0" borderId="8" xfId="5" applyFont="1" applyBorder="1" applyAlignment="1" applyProtection="1">
      <alignment vertical="center" wrapText="1"/>
    </xf>
    <xf numFmtId="164" fontId="13" fillId="0" borderId="9" xfId="5" applyNumberFormat="1" applyFont="1" applyBorder="1" applyAlignment="1" applyProtection="1">
      <alignment vertical="center" wrapText="1"/>
    </xf>
    <xf numFmtId="0" fontId="9" fillId="0" borderId="10" xfId="4" applyFont="1" applyBorder="1" applyAlignment="1" applyProtection="1">
      <alignment vertical="center" wrapText="1"/>
    </xf>
    <xf numFmtId="164" fontId="9" fillId="4" borderId="11" xfId="2" applyNumberFormat="1" applyFont="1" applyFill="1" applyBorder="1" applyAlignment="1" applyProtection="1">
      <alignment vertical="center" wrapText="1"/>
      <protection locked="0"/>
    </xf>
    <xf numFmtId="164" fontId="9" fillId="4" borderId="11" xfId="2" applyNumberFormat="1" applyFont="1" applyFill="1" applyBorder="1" applyAlignment="1" applyProtection="1">
      <alignment vertical="center" wrapText="1"/>
    </xf>
    <xf numFmtId="3" fontId="9" fillId="0" borderId="0" xfId="4" applyNumberFormat="1" applyFont="1" applyFill="1" applyBorder="1" applyAlignment="1" applyProtection="1">
      <alignment vertical="center" wrapText="1"/>
    </xf>
    <xf numFmtId="0" fontId="13" fillId="0" borderId="12" xfId="5" applyFont="1" applyBorder="1" applyAlignment="1" applyProtection="1">
      <alignment vertical="center" wrapText="1"/>
    </xf>
    <xf numFmtId="164" fontId="13" fillId="0" borderId="13" xfId="5" applyNumberFormat="1" applyFont="1" applyBorder="1" applyAlignment="1" applyProtection="1">
      <alignment vertical="center" wrapText="1"/>
    </xf>
    <xf numFmtId="0" fontId="9" fillId="0" borderId="12" xfId="4" applyFont="1" applyBorder="1" applyAlignment="1" applyProtection="1">
      <alignment vertical="center" wrapText="1"/>
    </xf>
    <xf numFmtId="164" fontId="9" fillId="4" borderId="14" xfId="2" applyNumberFormat="1" applyFont="1" applyFill="1" applyBorder="1" applyAlignment="1" applyProtection="1">
      <alignment vertical="center" wrapText="1"/>
      <protection locked="0"/>
    </xf>
    <xf numFmtId="164" fontId="9" fillId="4" borderId="14" xfId="2" applyNumberFormat="1" applyFont="1" applyFill="1" applyBorder="1" applyAlignment="1" applyProtection="1">
      <alignment vertical="center" wrapText="1"/>
    </xf>
    <xf numFmtId="0" fontId="10" fillId="0" borderId="12" xfId="4" applyFont="1" applyBorder="1" applyAlignment="1" applyProtection="1">
      <alignment vertical="center" wrapText="1"/>
    </xf>
    <xf numFmtId="164" fontId="10" fillId="0" borderId="14" xfId="2" applyNumberFormat="1" applyFont="1" applyBorder="1" applyAlignment="1" applyProtection="1">
      <alignment vertical="center" wrapText="1"/>
    </xf>
    <xf numFmtId="164" fontId="10" fillId="0" borderId="15" xfId="2" applyNumberFormat="1" applyFont="1" applyBorder="1" applyAlignment="1" applyProtection="1">
      <alignment vertical="center" wrapText="1"/>
    </xf>
    <xf numFmtId="3" fontId="10" fillId="0" borderId="0" xfId="1" applyNumberFormat="1" applyFont="1" applyFill="1" applyBorder="1" applyAlignment="1" applyProtection="1">
      <alignment vertical="center" wrapText="1"/>
    </xf>
    <xf numFmtId="165" fontId="9" fillId="4" borderId="14" xfId="3" applyNumberFormat="1" applyFont="1" applyFill="1" applyBorder="1" applyAlignment="1" applyProtection="1">
      <alignment vertical="center" wrapText="1"/>
    </xf>
    <xf numFmtId="165" fontId="9" fillId="0" borderId="14" xfId="3" applyNumberFormat="1" applyFont="1" applyBorder="1" applyAlignment="1" applyProtection="1">
      <alignment vertical="center" wrapText="1"/>
    </xf>
    <xf numFmtId="165" fontId="9" fillId="0" borderId="15" xfId="3" applyNumberFormat="1" applyFont="1" applyBorder="1" applyAlignment="1" applyProtection="1">
      <alignment vertical="center" wrapText="1"/>
    </xf>
    <xf numFmtId="3" fontId="9" fillId="0" borderId="0" xfId="3" applyNumberFormat="1" applyFont="1" applyFill="1" applyBorder="1" applyAlignment="1" applyProtection="1">
      <alignment vertical="center" wrapText="1"/>
    </xf>
    <xf numFmtId="165" fontId="9" fillId="0" borderId="16" xfId="3" applyNumberFormat="1" applyFont="1" applyBorder="1" applyAlignment="1" applyProtection="1">
      <alignment vertical="center" wrapText="1"/>
    </xf>
    <xf numFmtId="165" fontId="9" fillId="0" borderId="17" xfId="3" applyNumberFormat="1" applyFont="1" applyBorder="1" applyAlignment="1" applyProtection="1">
      <alignment vertical="center" wrapText="1"/>
    </xf>
    <xf numFmtId="165" fontId="9" fillId="0" borderId="13" xfId="3" applyNumberFormat="1" applyFont="1" applyBorder="1" applyAlignment="1" applyProtection="1">
      <alignment vertical="center" wrapText="1"/>
    </xf>
    <xf numFmtId="0" fontId="13" fillId="0" borderId="13" xfId="5" applyFont="1" applyBorder="1" applyAlignment="1" applyProtection="1">
      <alignment vertical="center" wrapText="1"/>
    </xf>
    <xf numFmtId="0" fontId="13" fillId="5" borderId="18" xfId="5" applyFont="1" applyFill="1" applyBorder="1" applyAlignment="1" applyProtection="1">
      <alignment vertical="center" wrapText="1"/>
    </xf>
    <xf numFmtId="0" fontId="13" fillId="0" borderId="18" xfId="5" applyFont="1" applyBorder="1" applyAlignment="1" applyProtection="1">
      <alignment vertical="center" wrapText="1"/>
    </xf>
    <xf numFmtId="0" fontId="13" fillId="0" borderId="18" xfId="5" applyFont="1" applyFill="1" applyBorder="1" applyAlignment="1" applyProtection="1">
      <alignment vertical="center" wrapText="1"/>
    </xf>
    <xf numFmtId="164" fontId="11" fillId="0" borderId="14" xfId="2" applyNumberFormat="1" applyFont="1" applyFill="1" applyBorder="1" applyAlignment="1" applyProtection="1">
      <alignment vertical="center" wrapText="1"/>
    </xf>
    <xf numFmtId="0" fontId="13" fillId="0" borderId="19" xfId="5" applyFont="1" applyFill="1" applyBorder="1" applyAlignment="1" applyProtection="1">
      <alignment vertical="center" wrapText="1"/>
    </xf>
    <xf numFmtId="0" fontId="13" fillId="5" borderId="0" xfId="5" applyFont="1" applyFill="1" applyBorder="1" applyAlignment="1" applyProtection="1">
      <alignment vertical="center" wrapText="1"/>
    </xf>
    <xf numFmtId="0" fontId="13" fillId="0" borderId="0" xfId="5" applyFont="1" applyBorder="1" applyAlignment="1" applyProtection="1">
      <alignment vertical="center" wrapText="1"/>
    </xf>
    <xf numFmtId="0" fontId="13" fillId="0" borderId="0" xfId="5" applyFont="1" applyFill="1" applyBorder="1" applyAlignment="1" applyProtection="1">
      <alignment vertical="center" wrapText="1"/>
    </xf>
    <xf numFmtId="9" fontId="11" fillId="0" borderId="14" xfId="3" applyFont="1" applyFill="1" applyBorder="1" applyAlignment="1" applyProtection="1">
      <alignment vertical="center" wrapText="1"/>
    </xf>
    <xf numFmtId="0" fontId="13" fillId="0" borderId="20" xfId="5" applyFont="1" applyFill="1" applyBorder="1" applyAlignment="1" applyProtection="1">
      <alignment vertical="center" wrapText="1"/>
    </xf>
    <xf numFmtId="165" fontId="9" fillId="6" borderId="14" xfId="3" applyNumberFormat="1" applyFont="1" applyFill="1" applyBorder="1" applyAlignment="1" applyProtection="1">
      <alignment vertical="center" wrapText="1"/>
    </xf>
    <xf numFmtId="0" fontId="13" fillId="5" borderId="21" xfId="5" applyFont="1" applyFill="1" applyBorder="1" applyAlignment="1" applyProtection="1">
      <alignment vertical="center" wrapText="1"/>
    </xf>
    <xf numFmtId="0" fontId="13" fillId="0" borderId="21" xfId="5" applyFont="1" applyBorder="1" applyAlignment="1" applyProtection="1">
      <alignment vertical="center" wrapText="1"/>
    </xf>
    <xf numFmtId="0" fontId="13" fillId="0" borderId="21" xfId="5" applyFont="1" applyFill="1" applyBorder="1" applyAlignment="1" applyProtection="1">
      <alignment vertical="center" wrapText="1"/>
    </xf>
    <xf numFmtId="10" fontId="11" fillId="0" borderId="14" xfId="5" applyNumberFormat="1" applyFont="1" applyFill="1" applyBorder="1" applyAlignment="1" applyProtection="1">
      <alignment vertical="center" wrapText="1"/>
    </xf>
    <xf numFmtId="0" fontId="13" fillId="0" borderId="9" xfId="5" applyFont="1" applyFill="1" applyBorder="1" applyAlignment="1" applyProtection="1">
      <alignment vertical="center" wrapText="1"/>
    </xf>
    <xf numFmtId="165" fontId="11" fillId="0" borderId="14" xfId="3" applyNumberFormat="1" applyFont="1" applyFill="1" applyBorder="1" applyAlignment="1" applyProtection="1">
      <alignment vertical="center" wrapText="1"/>
    </xf>
    <xf numFmtId="0" fontId="9" fillId="0" borderId="22" xfId="4" applyFont="1" applyBorder="1" applyAlignment="1" applyProtection="1">
      <alignment vertical="center" wrapText="1"/>
    </xf>
    <xf numFmtId="165" fontId="9" fillId="0" borderId="23" xfId="3" applyNumberFormat="1" applyFont="1" applyBorder="1" applyAlignment="1" applyProtection="1">
      <alignment vertical="center" wrapText="1"/>
    </xf>
    <xf numFmtId="0" fontId="13" fillId="0" borderId="22" xfId="5" applyFont="1" applyBorder="1" applyAlignment="1" applyProtection="1">
      <alignment vertical="center" wrapText="1"/>
    </xf>
    <xf numFmtId="0" fontId="13" fillId="0" borderId="2" xfId="5" applyFont="1" applyBorder="1" applyAlignment="1" applyProtection="1">
      <alignment vertical="center" wrapText="1"/>
    </xf>
    <xf numFmtId="0" fontId="13" fillId="0" borderId="2" xfId="5" applyFont="1" applyFill="1" applyBorder="1" applyAlignment="1" applyProtection="1">
      <alignment vertical="center" wrapText="1"/>
    </xf>
    <xf numFmtId="10" fontId="11" fillId="0" borderId="24" xfId="5" applyNumberFormat="1" applyFont="1" applyFill="1" applyBorder="1" applyAlignment="1" applyProtection="1">
      <alignment vertical="center" wrapText="1"/>
    </xf>
    <xf numFmtId="0" fontId="13" fillId="0" borderId="25" xfId="5" applyFont="1" applyFill="1" applyBorder="1" applyAlignment="1" applyProtection="1">
      <alignment vertical="center" wrapText="1"/>
    </xf>
    <xf numFmtId="0" fontId="5" fillId="0" borderId="0" xfId="4" applyAlignment="1" applyProtection="1">
      <alignment vertical="center" wrapText="1"/>
    </xf>
    <xf numFmtId="166" fontId="5" fillId="0" borderId="0" xfId="1" applyNumberFormat="1" applyFont="1" applyAlignment="1" applyProtection="1">
      <alignment vertical="center" wrapText="1"/>
    </xf>
    <xf numFmtId="166" fontId="3" fillId="0" borderId="0" xfId="1" applyNumberFormat="1" applyFont="1" applyAlignment="1" applyProtection="1">
      <alignment vertical="center" wrapText="1"/>
    </xf>
    <xf numFmtId="0" fontId="0" fillId="0" borderId="0" xfId="0" applyFill="1" applyBorder="1" applyAlignment="1" applyProtection="1">
      <alignment vertical="center" wrapText="1"/>
    </xf>
    <xf numFmtId="0" fontId="0" fillId="0" borderId="0" xfId="0" applyAlignment="1" applyProtection="1">
      <alignment vertical="center" wrapText="1"/>
    </xf>
    <xf numFmtId="0" fontId="9" fillId="0" borderId="10" xfId="4" applyFont="1" applyFill="1" applyBorder="1" applyAlignment="1" applyProtection="1">
      <alignment vertical="center" wrapText="1"/>
    </xf>
    <xf numFmtId="0" fontId="10" fillId="0" borderId="11" xfId="4" applyFont="1" applyFill="1" applyBorder="1" applyAlignment="1" applyProtection="1">
      <alignment horizontal="center" vertical="center" wrapText="1"/>
    </xf>
    <xf numFmtId="164" fontId="9" fillId="0" borderId="14" xfId="2" applyNumberFormat="1" applyFont="1" applyBorder="1" applyAlignment="1" applyProtection="1">
      <alignment vertical="center" wrapText="1"/>
    </xf>
    <xf numFmtId="0" fontId="2" fillId="0" borderId="0" xfId="0" applyFont="1" applyAlignment="1" applyProtection="1">
      <alignment vertical="center" wrapText="1"/>
    </xf>
    <xf numFmtId="0" fontId="0" fillId="0" borderId="0" xfId="0" applyFill="1" applyProtection="1"/>
    <xf numFmtId="0" fontId="5" fillId="0" borderId="0" xfId="0" applyFont="1" applyAlignment="1" applyProtection="1">
      <alignment vertical="top" wrapText="1"/>
    </xf>
    <xf numFmtId="0" fontId="5" fillId="0" borderId="0" xfId="0" applyFont="1" applyAlignment="1" applyProtection="1">
      <alignment horizontal="left" vertical="top"/>
    </xf>
    <xf numFmtId="0" fontId="5" fillId="0" borderId="0" xfId="0" applyFont="1" applyProtection="1"/>
    <xf numFmtId="0" fontId="0" fillId="0" borderId="0" xfId="0" applyProtection="1">
      <protection locked="0"/>
    </xf>
    <xf numFmtId="0" fontId="2" fillId="0" borderId="0" xfId="0" applyFont="1" applyAlignment="1" applyProtection="1">
      <alignment horizontal="left"/>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0" fillId="0" borderId="0" xfId="0" applyFill="1" applyProtection="1">
      <protection locked="0"/>
    </xf>
    <xf numFmtId="0" fontId="2" fillId="0" borderId="10" xfId="0" applyFont="1" applyBorder="1" applyAlignment="1" applyProtection="1">
      <alignment vertical="center"/>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12" fillId="0" borderId="6" xfId="4" applyFont="1" applyFill="1" applyBorder="1" applyAlignment="1" applyProtection="1">
      <alignment vertical="center" wrapText="1"/>
      <protection locked="0"/>
    </xf>
    <xf numFmtId="0" fontId="12" fillId="0" borderId="0" xfId="4" applyFont="1" applyFill="1" applyBorder="1" applyAlignment="1" applyProtection="1">
      <alignment vertical="center" wrapText="1"/>
      <protection locked="0"/>
    </xf>
    <xf numFmtId="0" fontId="2" fillId="0" borderId="26" xfId="0" applyFont="1" applyBorder="1" applyProtection="1">
      <protection locked="0"/>
    </xf>
    <xf numFmtId="164" fontId="0" fillId="2" borderId="27" xfId="2" applyNumberFormat="1" applyFont="1" applyFill="1" applyBorder="1" applyProtection="1">
      <protection locked="0"/>
    </xf>
    <xf numFmtId="164" fontId="0" fillId="0" borderId="13" xfId="2" applyNumberFormat="1" applyFont="1" applyBorder="1" applyProtection="1">
      <protection locked="0"/>
    </xf>
    <xf numFmtId="0" fontId="0" fillId="2" borderId="12" xfId="0" applyFill="1" applyBorder="1" applyProtection="1">
      <protection locked="0"/>
    </xf>
    <xf numFmtId="164" fontId="0" fillId="2" borderId="28" xfId="2" applyNumberFormat="1" applyFont="1" applyFill="1" applyBorder="1" applyProtection="1">
      <protection locked="0"/>
    </xf>
    <xf numFmtId="164" fontId="0" fillId="2" borderId="14" xfId="2" applyNumberFormat="1" applyFont="1" applyFill="1" applyBorder="1" applyProtection="1">
      <protection locked="0"/>
    </xf>
    <xf numFmtId="164" fontId="5" fillId="2" borderId="14" xfId="2" applyNumberFormat="1" applyFont="1" applyFill="1" applyBorder="1" applyProtection="1">
      <protection locked="0"/>
    </xf>
    <xf numFmtId="0" fontId="5" fillId="2" borderId="12" xfId="0" applyFont="1" applyFill="1" applyBorder="1" applyProtection="1">
      <protection locked="0"/>
    </xf>
    <xf numFmtId="164" fontId="0" fillId="2" borderId="15" xfId="2" applyNumberFormat="1" applyFont="1" applyFill="1" applyBorder="1" applyProtection="1">
      <protection locked="0"/>
    </xf>
    <xf numFmtId="0" fontId="0" fillId="2" borderId="29" xfId="0" applyFill="1" applyBorder="1" applyProtection="1">
      <protection locked="0"/>
    </xf>
    <xf numFmtId="164" fontId="0" fillId="2" borderId="30" xfId="2" applyNumberFormat="1" applyFont="1" applyFill="1" applyBorder="1" applyProtection="1">
      <protection locked="0"/>
    </xf>
    <xf numFmtId="164" fontId="0" fillId="2" borderId="31" xfId="2" applyNumberFormat="1" applyFont="1" applyFill="1" applyBorder="1" applyProtection="1">
      <protection locked="0"/>
    </xf>
    <xf numFmtId="164" fontId="0" fillId="2" borderId="32" xfId="2" applyNumberFormat="1" applyFont="1" applyFill="1" applyBorder="1" applyProtection="1">
      <protection locked="0"/>
    </xf>
    <xf numFmtId="0" fontId="2" fillId="0" borderId="33" xfId="0" applyFont="1" applyBorder="1" applyProtection="1">
      <protection locked="0"/>
    </xf>
    <xf numFmtId="164" fontId="0" fillId="0" borderId="34" xfId="2" applyNumberFormat="1" applyFont="1" applyBorder="1" applyProtection="1">
      <protection locked="0"/>
    </xf>
    <xf numFmtId="164" fontId="0" fillId="0" borderId="35" xfId="2" applyNumberFormat="1" applyFont="1" applyBorder="1" applyProtection="1">
      <protection locked="0"/>
    </xf>
    <xf numFmtId="164" fontId="0" fillId="0" borderId="36" xfId="2" applyNumberFormat="1" applyFont="1" applyBorder="1" applyProtection="1">
      <protection locked="0"/>
    </xf>
    <xf numFmtId="0" fontId="15" fillId="0" borderId="0" xfId="0" applyFont="1" applyAlignment="1" applyProtection="1">
      <alignment horizontal="right"/>
      <protection locked="0"/>
    </xf>
    <xf numFmtId="0" fontId="0" fillId="0" borderId="0" xfId="0" applyAlignment="1" applyProtection="1">
      <alignment horizontal="right"/>
      <protection locked="0"/>
    </xf>
    <xf numFmtId="0" fontId="2" fillId="0" borderId="0" xfId="0" applyFont="1" applyAlignment="1" applyProtection="1">
      <alignment horizontal="right"/>
      <protection locked="0"/>
    </xf>
    <xf numFmtId="0" fontId="2" fillId="0" borderId="0" xfId="0" applyFont="1" applyAlignment="1" applyProtection="1">
      <alignment horizontal="right" vertical="top"/>
      <protection locked="0"/>
    </xf>
    <xf numFmtId="0" fontId="2" fillId="0" borderId="0" xfId="0" applyFont="1" applyProtection="1">
      <protection locked="0"/>
    </xf>
    <xf numFmtId="0" fontId="7" fillId="0" borderId="0" xfId="0" applyFont="1" applyAlignment="1" applyProtection="1">
      <protection locked="0"/>
    </xf>
    <xf numFmtId="0" fontId="2" fillId="0" borderId="37" xfId="0" applyFont="1" applyFill="1" applyBorder="1" applyProtection="1">
      <protection locked="0"/>
    </xf>
    <xf numFmtId="0" fontId="2" fillId="2" borderId="13" xfId="0" applyFont="1" applyFill="1" applyBorder="1" applyProtection="1">
      <protection locked="0"/>
    </xf>
    <xf numFmtId="3" fontId="0" fillId="0" borderId="14" xfId="0" applyNumberFormat="1" applyFill="1" applyBorder="1" applyProtection="1">
      <protection locked="0"/>
    </xf>
    <xf numFmtId="3" fontId="0" fillId="0" borderId="14" xfId="2" applyNumberFormat="1" applyFont="1" applyFill="1" applyBorder="1" applyProtection="1">
      <protection locked="0"/>
    </xf>
    <xf numFmtId="0" fontId="5" fillId="2" borderId="13" xfId="0" applyFont="1" applyFill="1" applyBorder="1" applyProtection="1">
      <protection locked="0"/>
    </xf>
    <xf numFmtId="3" fontId="0" fillId="2" borderId="30" xfId="2" applyNumberFormat="1" applyFont="1" applyFill="1" applyBorder="1" applyProtection="1">
      <protection locked="0"/>
    </xf>
    <xf numFmtId="3" fontId="0" fillId="7" borderId="14" xfId="2" applyNumberFormat="1" applyFont="1" applyFill="1" applyBorder="1" applyProtection="1">
      <protection locked="0"/>
    </xf>
    <xf numFmtId="0" fontId="2" fillId="0" borderId="13" xfId="0" applyFont="1" applyFill="1" applyBorder="1" applyProtection="1">
      <protection locked="0"/>
    </xf>
    <xf numFmtId="0" fontId="2" fillId="2" borderId="13" xfId="0" applyFont="1" applyFill="1" applyBorder="1" applyAlignment="1" applyProtection="1">
      <alignment wrapText="1"/>
      <protection locked="0"/>
    </xf>
    <xf numFmtId="3" fontId="2" fillId="0" borderId="34" xfId="0" applyNumberFormat="1" applyFont="1" applyFill="1" applyBorder="1" applyProtection="1">
      <protection locked="0"/>
    </xf>
    <xf numFmtId="0" fontId="16" fillId="0" borderId="0" xfId="0" applyFont="1" applyAlignment="1" applyProtection="1">
      <alignment horizontal="left" vertical="top"/>
      <protection locked="0"/>
    </xf>
    <xf numFmtId="0" fontId="5" fillId="0" borderId="0" xfId="0" applyFont="1" applyProtection="1">
      <protection locked="0"/>
    </xf>
    <xf numFmtId="0" fontId="3" fillId="0" borderId="0" xfId="4" applyFont="1" applyAlignment="1" applyProtection="1">
      <alignment horizontal="right" vertical="top"/>
    </xf>
    <xf numFmtId="0" fontId="0" fillId="0" borderId="6" xfId="0" applyBorder="1" applyProtection="1"/>
    <xf numFmtId="0" fontId="0" fillId="0" borderId="0" xfId="0" applyAlignment="1" applyProtection="1">
      <alignment horizontal="center" vertical="center" wrapText="1"/>
    </xf>
    <xf numFmtId="0" fontId="0" fillId="0" borderId="14" xfId="0" applyBorder="1" applyProtection="1"/>
    <xf numFmtId="166" fontId="5" fillId="2" borderId="14" xfId="1" applyNumberFormat="1" applyFill="1" applyBorder="1" applyProtection="1">
      <protection locked="0"/>
    </xf>
    <xf numFmtId="166" fontId="5" fillId="0" borderId="14" xfId="1" applyNumberFormat="1" applyBorder="1" applyProtection="1"/>
    <xf numFmtId="164" fontId="5" fillId="2" borderId="14" xfId="2" applyNumberFormat="1" applyFill="1" applyBorder="1" applyProtection="1">
      <protection locked="0"/>
    </xf>
    <xf numFmtId="164" fontId="5" fillId="0" borderId="14" xfId="2" applyNumberFormat="1" applyBorder="1" applyProtection="1"/>
    <xf numFmtId="0" fontId="5" fillId="0" borderId="0" xfId="0" applyFont="1" applyAlignment="1" applyProtection="1">
      <alignment horizontal="left" vertical="top"/>
    </xf>
    <xf numFmtId="0" fontId="5" fillId="0" borderId="0" xfId="0" applyFont="1" applyAlignment="1" applyProtection="1">
      <alignment horizontal="left" vertical="top" wrapText="1"/>
    </xf>
    <xf numFmtId="0" fontId="0" fillId="0" borderId="2" xfId="0" applyBorder="1" applyAlignment="1" applyProtection="1">
      <alignment horizontal="center"/>
    </xf>
    <xf numFmtId="0" fontId="10" fillId="0" borderId="0" xfId="4" applyFont="1" applyFill="1" applyBorder="1" applyAlignment="1" applyProtection="1">
      <alignment horizontal="center" vertical="center" wrapText="1"/>
    </xf>
    <xf numFmtId="0" fontId="5" fillId="0" borderId="0" xfId="0" applyFont="1" applyFill="1" applyAlignment="1" applyProtection="1">
      <alignment horizontal="left" vertical="top" wrapText="1"/>
    </xf>
    <xf numFmtId="0" fontId="7" fillId="0" borderId="0" xfId="0" applyFont="1" applyAlignment="1" applyProtection="1">
      <alignment horizontal="center" vertical="center"/>
    </xf>
    <xf numFmtId="0" fontId="2" fillId="0" borderId="2" xfId="0" applyFont="1" applyBorder="1" applyAlignment="1" applyProtection="1">
      <alignment horizontal="center"/>
    </xf>
    <xf numFmtId="0" fontId="7" fillId="0" borderId="0" xfId="0" applyFont="1" applyAlignment="1" applyProtection="1">
      <alignment horizontal="center"/>
      <protection locked="0"/>
    </xf>
    <xf numFmtId="0" fontId="5"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 fillId="0" borderId="0" xfId="0" applyFont="1" applyAlignment="1" applyProtection="1">
      <alignment horizontal="left" wrapText="1"/>
      <protection locked="0"/>
    </xf>
    <xf numFmtId="0" fontId="7" fillId="0" borderId="0" xfId="0" applyFont="1" applyAlignment="1" applyProtection="1">
      <alignment horizontal="center" vertical="top"/>
      <protection locked="0"/>
    </xf>
    <xf numFmtId="0" fontId="0" fillId="0" borderId="0" xfId="0" applyAlignment="1" applyProtection="1">
      <alignment horizontal="left" wrapText="1"/>
      <protection locked="0"/>
    </xf>
    <xf numFmtId="0" fontId="2" fillId="8" borderId="16" xfId="0" applyFont="1" applyFill="1" applyBorder="1" applyAlignment="1" applyProtection="1">
      <alignment horizontal="left"/>
    </xf>
    <xf numFmtId="0" fontId="2" fillId="8" borderId="17" xfId="0" applyFont="1" applyFill="1" applyBorder="1" applyAlignment="1" applyProtection="1">
      <alignment horizontal="left"/>
    </xf>
    <xf numFmtId="0" fontId="2" fillId="8" borderId="13" xfId="0" applyFont="1" applyFill="1" applyBorder="1" applyAlignment="1" applyProtection="1">
      <alignment horizontal="left"/>
    </xf>
    <xf numFmtId="0" fontId="2" fillId="0" borderId="0" xfId="0" applyFont="1" applyFill="1" applyBorder="1" applyAlignment="1" applyProtection="1">
      <alignment horizontal="left" vertical="top"/>
    </xf>
    <xf numFmtId="0" fontId="17" fillId="0" borderId="0" xfId="0" applyFont="1" applyFill="1" applyBorder="1" applyAlignment="1" applyProtection="1">
      <alignment horizontal="left"/>
    </xf>
    <xf numFmtId="0" fontId="5" fillId="0" borderId="0" xfId="0" quotePrefix="1" applyFont="1" applyAlignment="1" applyProtection="1">
      <alignment horizontal="left" vertical="top" wrapText="1"/>
    </xf>
    <xf numFmtId="0" fontId="6" fillId="0" borderId="0" xfId="4" applyFont="1" applyAlignment="1" applyProtection="1">
      <alignment horizontal="left"/>
    </xf>
    <xf numFmtId="0" fontId="7" fillId="0" borderId="0" xfId="0" applyFont="1" applyAlignment="1" applyProtection="1">
      <alignment horizontal="center"/>
    </xf>
    <xf numFmtId="0" fontId="2" fillId="8" borderId="38" xfId="0" applyFont="1" applyFill="1" applyBorder="1" applyAlignment="1" applyProtection="1">
      <alignment horizontal="left"/>
    </xf>
    <xf numFmtId="0" fontId="2" fillId="8" borderId="21" xfId="0" applyFont="1" applyFill="1" applyBorder="1" applyAlignment="1" applyProtection="1">
      <alignment horizontal="left"/>
    </xf>
    <xf numFmtId="0" fontId="2" fillId="8" borderId="9" xfId="0" applyFont="1" applyFill="1" applyBorder="1" applyAlignment="1" applyProtection="1">
      <alignment horizontal="left"/>
    </xf>
  </cellXfs>
  <cellStyles count="6">
    <cellStyle name="Comma" xfId="1" builtinId="3"/>
    <cellStyle name="Currency" xfId="2" builtinId="4"/>
    <cellStyle name="Normal" xfId="0" builtinId="0"/>
    <cellStyle name="Normal 2" xfId="4"/>
    <cellStyle name="Normal 3" xfId="5"/>
    <cellStyle name="Percent" xfId="3" builtinId="5"/>
  </cellStyles>
  <dxfs count="20">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bgColor theme="6" tint="0.79998168889431442"/>
        </patternFill>
      </fill>
    </dxf>
    <dxf>
      <fill>
        <patternFill patternType="solid">
          <fgColor rgb="FFCCFFCC"/>
          <bgColor theme="6" tint="0.79998168889431442"/>
        </patternFill>
      </fill>
    </dxf>
    <dxf>
      <fill>
        <patternFill patternType="solid">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externalLinks/externalLink4.xml" Type="http://schemas.openxmlformats.org/officeDocument/2006/relationships/externalLink" Id="rId8"></Relationship><Relationship Target="externalLinks/externalLink9.xml" Type="http://schemas.openxmlformats.org/officeDocument/2006/relationships/externalLink" Id="rId13"></Relationship><Relationship Target="sharedStrings.xml" Type="http://schemas.openxmlformats.org/officeDocument/2006/relationships/sharedStrings" Id="rId18"></Relationship><Relationship Target="worksheets/sheet3.xml" Type="http://schemas.openxmlformats.org/officeDocument/2006/relationships/worksheet" Id="rId3"></Relationship><Relationship Target="externalLinks/externalLink3.xml" Type="http://schemas.openxmlformats.org/officeDocument/2006/relationships/externalLink" Id="rId7"></Relationship><Relationship Target="externalLinks/externalLink8.xml" Type="http://schemas.openxmlformats.org/officeDocument/2006/relationships/externalLink" Id="rId12"></Relationship><Relationship Target="styles.xml" Type="http://schemas.openxmlformats.org/officeDocument/2006/relationships/styles" Id="rId17"></Relationship><Relationship Target="worksheets/sheet2.xml" Type="http://schemas.openxmlformats.org/officeDocument/2006/relationships/worksheet" Id="rId2"></Relationship><Relationship Target="theme/theme1.xml" Type="http://schemas.openxmlformats.org/officeDocument/2006/relationships/theme" Id="rId16"></Relationship><Relationship Target="worksheets/sheet1.xml" Type="http://schemas.openxmlformats.org/officeDocument/2006/relationships/worksheet" Id="rId1"></Relationship><Relationship Target="externalLinks/externalLink2.xml" Type="http://schemas.openxmlformats.org/officeDocument/2006/relationships/externalLink" Id="rId6"></Relationship><Relationship Target="externalLinks/externalLink7.xml" Type="http://schemas.openxmlformats.org/officeDocument/2006/relationships/externalLink" Id="rId11"></Relationship><Relationship Target="externalLinks/externalLink1.xml" Type="http://schemas.openxmlformats.org/officeDocument/2006/relationships/externalLink" Id="rId5"></Relationship><Relationship Target="externalLinks/externalLink11.xml" Type="http://schemas.openxmlformats.org/officeDocument/2006/relationships/externalLink" Id="rId15"></Relationship><Relationship Target="externalLinks/externalLink6.xml" Type="http://schemas.openxmlformats.org/officeDocument/2006/relationships/externalLink" Id="rId10"></Relationship><Relationship Target="calcChain.xml" Type="http://schemas.openxmlformats.org/officeDocument/2006/relationships/calcChain" Id="rId19"></Relationship><Relationship Target="worksheets/sheet4.xml" Type="http://schemas.openxmlformats.org/officeDocument/2006/relationships/worksheet" Id="rId4"></Relationship><Relationship Target="externalLinks/externalLink5.xml" Type="http://schemas.openxmlformats.org/officeDocument/2006/relationships/externalLink" Id="rId9"></Relationship><Relationship Target="externalLinks/externalLink10.xml" Type="http://schemas.openxmlformats.org/officeDocument/2006/relationships/externalLink" Id="rId14"></Relationship></Relationships>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0.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1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3.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4.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5.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6.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7.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8.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9.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16">
          <cell r="E16" t="str">
            <v>EB-2018-0056</v>
          </cell>
        </row>
        <row r="24">
          <cell r="E24">
            <v>2019</v>
          </cell>
        </row>
        <row r="26">
          <cell r="E26">
            <v>2018</v>
          </cell>
        </row>
        <row r="28">
          <cell r="E28">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7" tint="0.39997558519241921"/>
    <pageSetUpPr fitToPage="1"/>
  </sheetPr>
  <dimension ref="A1:AX114"/>
  <sheetViews>
    <sheetView showGridLines="0" tabSelected="1" topLeftCell="A19" zoomScale="90" zoomScaleNormal="90" workbookViewId="0">
      <selection activeCell="M15" sqref="M15"/>
    </sheetView>
  </sheetViews>
  <sheetFormatPr defaultColWidth="9.28515625" defaultRowHeight="12.75" x14ac:dyDescent="0.2"/>
  <cols>
    <col min="1" max="1" width="29" style="1" customWidth="1"/>
    <col min="2" max="2" width="17.28515625" style="1" customWidth="1"/>
    <col min="3" max="16" width="15" style="1" customWidth="1"/>
    <col min="17" max="17" width="13.28515625" style="1" customWidth="1"/>
    <col min="18" max="19" width="12.7109375" style="1" customWidth="1"/>
    <col min="20" max="20" width="13.28515625" style="1" bestFit="1" customWidth="1"/>
    <col min="21" max="21" width="11.28515625" style="1" bestFit="1" customWidth="1"/>
    <col min="22" max="22" width="16.140625" style="1" customWidth="1"/>
    <col min="23" max="50" width="13.28515625" style="1" customWidth="1"/>
    <col min="51" max="16384" width="9.28515625" style="1"/>
  </cols>
  <sheetData>
    <row r="1" spans="1:50" x14ac:dyDescent="0.2">
      <c r="R1" s="2" t="s">
        <v>0</v>
      </c>
      <c r="S1" s="3" t="str">
        <f>EBNUMBER</f>
        <v>EB-2018-0056</v>
      </c>
      <c r="T1" s="4">
        <f>'[4]LDC Info'!$E$28</f>
        <v>2014</v>
      </c>
      <c r="U1" s="4" t="inlineStr">
        <is>
          <t/>
        </is>
      </c>
      <c r="V1" s="4" t="inlineStr">
        <is>
          <t/>
        </is>
      </c>
      <c r="W1" s="4"/>
    </row>
    <row r="2" spans="1:50" x14ac:dyDescent="0.2">
      <c r="R2" s="2" t="s">
        <v>3</v>
      </c>
      <c r="S2" s="5"/>
      <c r="T2" s="4">
        <f>TestYear</f>
        <v>2019</v>
      </c>
      <c r="U2" s="4">
        <v>2010</v>
      </c>
      <c r="V2" s="4" t="inlineStr">
        <is>
          <t/>
        </is>
      </c>
      <c r="W2" s="4" t="inlineStr">
        <is>
          <t/>
        </is>
      </c>
    </row>
    <row r="3" spans="1:50" x14ac:dyDescent="0.2">
      <c r="R3" s="2" t="s">
        <v>6</v>
      </c>
      <c r="S3" s="5"/>
      <c r="T3" s="4">
        <f>'[4]LDC Info'!$E$28</f>
        <v>2014</v>
      </c>
      <c r="U3" s="4">
        <v>2011</v>
      </c>
      <c r="V3" s="4" t="inlineStr">
        <is>
          <t/>
        </is>
      </c>
      <c r="W3" s="4" t="inlineStr">
        <is>
          <t/>
        </is>
      </c>
    </row>
    <row r="4" spans="1:50" ht="15" x14ac:dyDescent="0.25">
      <c r="A4" s="6" t="s">
        <v>9</v>
      </c>
      <c r="R4" s="2" t="s">
        <v>10</v>
      </c>
      <c r="S4" s="5"/>
      <c r="T4" s="4"/>
      <c r="U4" s="4">
        <v>2012</v>
      </c>
      <c r="V4" s="4" t="inlineStr">
        <is>
          <t/>
        </is>
      </c>
      <c r="W4" s="4" t="inlineStr">
        <is>
          <t/>
        </is>
      </c>
    </row>
    <row r="5" spans="1:50" x14ac:dyDescent="0.2">
      <c r="R5" s="2" t="s">
        <v>13</v>
      </c>
      <c r="S5" s="7"/>
      <c r="T5" s="4"/>
      <c r="U5" s="4">
        <v>2013</v>
      </c>
      <c r="V5" s="4" t="inlineStr">
        <is>
          <t/>
        </is>
      </c>
      <c r="W5" s="4" t="inlineStr">
        <is>
          <t/>
        </is>
      </c>
    </row>
    <row r="6" spans="1:50" x14ac:dyDescent="0.2">
      <c r="R6" s="2"/>
      <c r="S6" s="3"/>
      <c r="T6" s="4"/>
      <c r="U6" s="4">
        <v>2014</v>
      </c>
      <c r="V6" s="4" t="inlineStr">
        <is>
          <t/>
        </is>
      </c>
      <c r="W6" s="4" t="inlineStr">
        <is>
          <t/>
        </is>
      </c>
    </row>
    <row r="7" spans="1:50" x14ac:dyDescent="0.2">
      <c r="R7" s="2" t="s">
        <v>18</v>
      </c>
      <c r="S7" s="7"/>
      <c r="T7" s="4"/>
      <c r="U7" s="4">
        <v>2015</v>
      </c>
      <c r="V7" s="4" t="inlineStr">
        <is>
          <t/>
        </is>
      </c>
      <c r="W7" s="4" t="inlineStr">
        <is>
          <t/>
        </is>
      </c>
    </row>
    <row r="8" spans="1:50" x14ac:dyDescent="0.2">
      <c r="T8" s="4"/>
      <c r="U8" s="4">
        <v>2016</v>
      </c>
      <c r="V8" s="4" t="inlineStr">
        <is>
          <t/>
        </is>
      </c>
      <c r="W8" s="4" t="inlineStr">
        <is>
          <t/>
        </is>
      </c>
    </row>
    <row r="9" spans="1:50" ht="18" x14ac:dyDescent="0.2">
      <c r="A9" s="138" t="s">
        <v>23</v>
      </c>
      <c r="B9" s="138"/>
      <c r="C9" s="138"/>
      <c r="D9" s="138"/>
      <c r="E9" s="138"/>
      <c r="F9" s="138"/>
      <c r="G9" s="138"/>
      <c r="H9" s="138"/>
      <c r="I9" s="138"/>
      <c r="J9" s="138"/>
      <c r="K9" s="138"/>
      <c r="L9" s="138"/>
      <c r="M9" s="138"/>
      <c r="N9" s="138"/>
      <c r="O9" s="138"/>
      <c r="P9" s="138"/>
      <c r="Q9" s="138"/>
      <c r="R9" s="138"/>
      <c r="S9" s="138"/>
      <c r="T9" s="4"/>
      <c r="U9" s="4">
        <v>2017</v>
      </c>
      <c r="V9" s="4" t="inlineStr">
        <is>
          <t/>
        </is>
      </c>
      <c r="W9" s="4" t="inlineStr">
        <is>
          <t/>
        </is>
      </c>
    </row>
    <row r="10" spans="1:50" ht="34.5" customHeight="1" x14ac:dyDescent="0.2">
      <c r="A10" s="138" t="s">
        <v>26</v>
      </c>
      <c r="B10" s="138"/>
      <c r="C10" s="138"/>
      <c r="D10" s="138"/>
      <c r="E10" s="138"/>
      <c r="F10" s="138"/>
      <c r="G10" s="138"/>
      <c r="H10" s="138"/>
      <c r="I10" s="138"/>
      <c r="J10" s="138"/>
      <c r="K10" s="138"/>
      <c r="L10" s="138"/>
      <c r="M10" s="138"/>
      <c r="N10" s="138"/>
      <c r="O10" s="138"/>
      <c r="P10" s="138"/>
      <c r="Q10" s="138"/>
      <c r="R10" s="138"/>
      <c r="S10" s="138"/>
      <c r="T10" s="4"/>
      <c r="U10" s="4"/>
      <c r="V10" s="4"/>
      <c r="W10" s="4"/>
    </row>
    <row r="11" spans="1:50" ht="13.5" thickBot="1" x14ac:dyDescent="0.25">
      <c r="B11" s="139">
        <v>2010</v>
      </c>
      <c r="C11" s="139"/>
      <c r="D11" s="139">
        <v>2011</v>
      </c>
      <c r="E11" s="139"/>
      <c r="F11" s="139">
        <v>2012</v>
      </c>
      <c r="G11" s="139"/>
      <c r="H11" s="139">
        <v>2013</v>
      </c>
      <c r="I11" s="139"/>
      <c r="J11" s="139">
        <v>2014</v>
      </c>
      <c r="K11" s="139"/>
      <c r="L11" s="139">
        <v>2015</v>
      </c>
      <c r="M11" s="139"/>
      <c r="N11" s="139">
        <v>2016</v>
      </c>
      <c r="O11" s="139"/>
      <c r="P11" s="139">
        <v>2017</v>
      </c>
      <c r="Q11" s="139"/>
      <c r="R11" s="8">
        <v>2018</v>
      </c>
      <c r="S11" s="8">
        <v>2019</v>
      </c>
      <c r="T11" s="9"/>
      <c r="U11" s="9"/>
      <c r="W11" s="135">
        <v>2010</v>
      </c>
      <c r="X11" s="135"/>
      <c r="Y11" s="135"/>
      <c r="Z11" s="135">
        <v>2011</v>
      </c>
      <c r="AA11" s="135"/>
      <c r="AB11" s="135"/>
      <c r="AC11" s="135">
        <v>2012</v>
      </c>
      <c r="AD11" s="135"/>
      <c r="AE11" s="135"/>
      <c r="AF11" s="135">
        <v>2013</v>
      </c>
      <c r="AG11" s="135"/>
      <c r="AH11" s="135"/>
      <c r="AI11" s="135">
        <v>2014</v>
      </c>
      <c r="AJ11" s="135"/>
      <c r="AK11" s="135"/>
      <c r="AL11" s="135">
        <v>2015</v>
      </c>
      <c r="AM11" s="135"/>
      <c r="AN11" s="135"/>
      <c r="AO11" s="135">
        <v>2016</v>
      </c>
      <c r="AP11" s="135"/>
      <c r="AQ11" s="135"/>
      <c r="AR11" s="135">
        <v>2017</v>
      </c>
      <c r="AS11" s="135"/>
      <c r="AT11" s="135"/>
      <c r="AU11" s="135">
        <v>2018</v>
      </c>
      <c r="AV11" s="135"/>
      <c r="AW11" s="135">
        <v>2019</v>
      </c>
      <c r="AX11" s="135"/>
    </row>
    <row r="12" spans="1:50" ht="51.75" thickBot="1" x14ac:dyDescent="0.25">
      <c r="A12" s="10"/>
      <c r="B12" s="11" t="str">
        <f>CONCATENATE(B11," ",IF($T1=B11,"Last Rebasing Year ","")," Board Approved")</f>
        <v>2010  Board Approved</v>
      </c>
      <c r="C12" s="11" t="str">
        <f>CONCATENATE(B11," ",IF($T1=B11,"Last Rebasing Year ","")," Actuals")</f>
        <v>2010  Actuals</v>
      </c>
      <c r="D12" s="11" t="str">
        <f>CONCATENATE(D11," ",IF($T1=D11,"Last Rebasing Year ","")," Board Approved")</f>
        <v>2011  Board Approved</v>
      </c>
      <c r="E12" s="11" t="str">
        <f>CONCATENATE(D11," ",IF($T1=D11,"Last Rebasing Year ","")," Actuals")</f>
        <v>2011  Actuals</v>
      </c>
      <c r="F12" s="11" t="str">
        <f>CONCATENATE(F11," ",IF($T1=F11,"Last Rebasing Year ","")," Board Approved")</f>
        <v>2012  Board Approved</v>
      </c>
      <c r="G12" s="11" t="str">
        <f>CONCATENATE(F11," ",IF($T1=F11,"Last Rebasing Year ","")," Actuals")</f>
        <v>2012  Actuals</v>
      </c>
      <c r="H12" s="11" t="str">
        <f>CONCATENATE(H11," ",IF($T1=H11,"Last Rebasing Year ","")," Board Approved")</f>
        <v>2013  Board Approved</v>
      </c>
      <c r="I12" s="11" t="str">
        <f>CONCATENATE(H11," ",IF($T1=H11,"Last Rebasing Year ","")," Actuals")</f>
        <v>2013  Actuals</v>
      </c>
      <c r="J12" s="11" t="str">
        <f>CONCATENATE(J11," ",IF($T1=J11,"Last Rebasing Year ","")," Board Approved")</f>
        <v>2014 Last Rebasing Year  Board Approved</v>
      </c>
      <c r="K12" s="11" t="str">
        <f>CONCATENATE(J11," ",IF($T1=J11,"Last Rebasing Year ","")," Actuals")</f>
        <v>2014 Last Rebasing Year  Actuals</v>
      </c>
      <c r="L12" s="11" t="str">
        <f>CONCATENATE(L11," ",IF($T1=L11,"Last Rebasing Year ","")," Board Approved")</f>
        <v>2015  Board Approved</v>
      </c>
      <c r="M12" s="11" t="str">
        <f>CONCATENATE(L11," ",IF($T1=L11,"Last Rebasing Year ","")," Actuals")</f>
        <v>2015  Actuals</v>
      </c>
      <c r="N12" s="11" t="str">
        <f>CONCATENATE(N11," ",IF($T1=N11,"Last Rebasing Year ","")," Board Approved")</f>
        <v>2016  Board Approved</v>
      </c>
      <c r="O12" s="11" t="str">
        <f>CONCATENATE(N11," ",IF($T1=N11,"Last Rebasing Year ","")," Actuals")</f>
        <v>2016  Actuals</v>
      </c>
      <c r="P12" s="11" t="str">
        <f>CONCATENATE(P11," ",IF($T1=P11,"Last Rebasing Year ","")," Board Approved")</f>
        <v>2017  Board Approved</v>
      </c>
      <c r="Q12" s="11" t="str">
        <f>CONCATENATE(P11," ",IF($T1=P11,"Last Rebasing Year ","")," Actuals")</f>
        <v>2017  Actuals</v>
      </c>
      <c r="R12" s="11" t="str">
        <f>BridgeYear &amp; " Bridge Year"</f>
        <v>2018 Bridge Year</v>
      </c>
      <c r="S12" s="12" t="str">
        <f>TestYear &amp; " Test Year"</f>
        <v>2019 Test Year</v>
      </c>
      <c r="T12" s="136"/>
      <c r="U12" s="136"/>
      <c r="V12" s="13"/>
      <c r="W12" s="14" t="str">
        <f>CONCATENATE(IF($T1=W11,"Last Rebasing Year ",""),,W11," Board Approved")</f>
        <v>2010 Board Approved</v>
      </c>
      <c r="X12" s="14" t="str">
        <f>CONCATENATE(IF($T1=W11,"Last Rebasing Year ",""),W11," Actuals")</f>
        <v>2010 Actuals</v>
      </c>
      <c r="Y12" s="14" t="str">
        <f>CONCATENATE("Variance ",W11," Board Approved - ",W11," Actuals")</f>
        <v>Variance 2010 Board Approved - 2010 Actuals</v>
      </c>
      <c r="Z12" s="14" t="str">
        <f>CONCATENATE(IF($T1=Z11,"Last Rebasing Year ",""),,Z11," Board Approved")</f>
        <v>2011 Board Approved</v>
      </c>
      <c r="AA12" s="14" t="str">
        <f>CONCATENATE(IF($T1=Z11,"Last Rebasing Year ",""),Z11," Actuals")</f>
        <v>2011 Actuals</v>
      </c>
      <c r="AB12" s="14" t="str">
        <f>CONCATENATE("Variance ",Z11," Board Approved - ",Z11," Actuals")</f>
        <v>Variance 2011 Board Approved - 2011 Actuals</v>
      </c>
      <c r="AC12" s="14" t="str">
        <f>CONCATENATE(IF($T1=AC11,"Last Rebasing Year",""),,AC11," Board Approved")</f>
        <v>2012 Board Approved</v>
      </c>
      <c r="AD12" s="14" t="str">
        <f>CONCATENATE(IF($T1=AC11,"Last Rebasing Year ",""),AC11," Actuals")</f>
        <v>2012 Actuals</v>
      </c>
      <c r="AE12" s="14" t="str">
        <f>CONCATENATE("Variance ",AC11," Board Approved - ",AC11," Actuals")</f>
        <v>Variance 2012 Board Approved - 2012 Actuals</v>
      </c>
      <c r="AF12" s="14" t="str">
        <f>CONCATENATE(IF($T1=AF11,"Last Rebasing Year ",""),,AF11," Board Approved")</f>
        <v>2013 Board Approved</v>
      </c>
      <c r="AG12" s="14" t="str">
        <f>CONCATENATE(IF($T1=AF11,"Last Rebasing Year ",""),AF11," Actuals")</f>
        <v>2013 Actuals</v>
      </c>
      <c r="AH12" s="14" t="str">
        <f>CONCATENATE("Variance ",AF11," Board Approved - ",AF11," Actuals")</f>
        <v>Variance 2013 Board Approved - 2013 Actuals</v>
      </c>
      <c r="AI12" s="14" t="str">
        <f>CONCATENATE(IF($T1=AI11,"Last Rebasing Year ",""),,AI11," Board Approved")</f>
        <v>Last Rebasing Year 2014 Board Approved</v>
      </c>
      <c r="AJ12" s="14" t="str">
        <f>CONCATENATE(IF($T1=AI11,"Last Rebasing Year ",""),AI11," Actuals")</f>
        <v>Last Rebasing Year 2014 Actuals</v>
      </c>
      <c r="AK12" s="14" t="str">
        <f>CONCATENATE("Variance ",AI11," Board Approved - ",AI11," Actuals")</f>
        <v>Variance 2014 Board Approved - 2014 Actuals</v>
      </c>
      <c r="AL12" s="14" t="str">
        <f>CONCATENATE(IF($T1=AL11,"Last Rebasing Year ",""),,AL11," Board Approved")</f>
        <v>2015 Board Approved</v>
      </c>
      <c r="AM12" s="14" t="str">
        <f>CONCATENATE(IF($T1=AL11,"Last Rebasing Year ",""),AL11," Actuals")</f>
        <v>2015 Actuals</v>
      </c>
      <c r="AN12" s="14" t="str">
        <f>CONCATENATE("Variance ",AL11," Board Approved - ",AL11," Actuals")</f>
        <v>Variance 2015 Board Approved - 2015 Actuals</v>
      </c>
      <c r="AO12" s="14" t="str">
        <f>CONCATENATE(IF($T1=AO11,"Last Rebasing Year ",""),,AO11," Board Approved")</f>
        <v>2016 Board Approved</v>
      </c>
      <c r="AP12" s="14" t="str">
        <f>CONCATENATE(IF($T1=AO11,"Last Rebasing Year ",""),AO11," Actuals")</f>
        <v>2016 Actuals</v>
      </c>
      <c r="AQ12" s="14" t="str">
        <f>CONCATENATE("Variance ",AO11," Board Approved - ",AO11," Actuals")</f>
        <v>Variance 2016 Board Approved - 2016 Actuals</v>
      </c>
      <c r="AR12" s="14" t="str">
        <f>CONCATENATE(IF($T1=AR11,"Last Rebasing Year ",""),,AR11," Board Approved")</f>
        <v>2017 Board Approved</v>
      </c>
      <c r="AS12" s="14" t="str">
        <f>CONCATENATE(IF($T1=AR11,"Last Rebasing Year ",""),AR11," Actuals")</f>
        <v>2017 Actuals</v>
      </c>
      <c r="AT12" s="14" t="str">
        <f>CONCATENATE("Variance ",AR11," Board Approved - ",AR11," Actuals")</f>
        <v>Variance 2017 Board Approved - 2017 Actuals</v>
      </c>
      <c r="AU12" s="14" t="str">
        <f>CONCATENATE(AU11," Bridge Year")</f>
        <v>2018 Bridge Year</v>
      </c>
      <c r="AV12" s="14" t="str">
        <f>CONCATENATE("Variance ",AU11," Bridge vs. ",AU11-1," Actuals")</f>
        <v>Variance 2018 Bridge vs. 2017 Actuals</v>
      </c>
      <c r="AW12" s="14" t="str">
        <f>CONCATENATE(AW11," Test Year")</f>
        <v>2019 Test Year</v>
      </c>
      <c r="AX12" s="14" t="str">
        <f>CONCATENATE("Variance ",AW11," Test vs. ",AW11-1," Bridge")</f>
        <v>Variance 2019 Test vs. 2018 Bridge</v>
      </c>
    </row>
    <row r="13" spans="1:50" ht="13.5" thickBot="1" x14ac:dyDescent="0.25">
      <c r="A13" s="15" t="s">
        <v>27</v>
      </c>
      <c r="B13" s="16"/>
      <c r="C13" s="16"/>
      <c r="D13" s="16"/>
      <c r="E13" s="16"/>
      <c r="F13" s="16"/>
      <c r="G13" s="16"/>
      <c r="H13" s="16"/>
      <c r="I13" s="16"/>
      <c r="J13" s="16"/>
      <c r="K13" s="16"/>
      <c r="L13" s="16"/>
      <c r="M13" s="16"/>
      <c r="N13" s="16"/>
      <c r="O13" s="16"/>
      <c r="P13" s="16"/>
      <c r="Q13" s="16"/>
      <c r="R13" s="16"/>
      <c r="S13" s="17"/>
      <c r="T13" s="18"/>
      <c r="U13" s="18"/>
      <c r="V13" s="19" t="s">
        <v>28</v>
      </c>
      <c r="W13" s="20">
        <f>B14</f>
        <v>0</v>
      </c>
      <c r="X13" s="20">
        <f>C14</f>
        <v>0</v>
      </c>
      <c r="Y13" s="20">
        <f t="shared" ref="Y13:Y18" si="0">W13-X13</f>
        <v>0</v>
      </c>
      <c r="Z13" s="20">
        <f>D14</f>
        <v>0</v>
      </c>
      <c r="AA13" s="20">
        <f>E14</f>
        <v>0</v>
      </c>
      <c r="AB13" s="20">
        <f t="shared" ref="AB13:AB18" si="1">Z13-AA13</f>
        <v>0</v>
      </c>
      <c r="AC13" s="20">
        <f>F14</f>
        <v>0</v>
      </c>
      <c r="AD13" s="20">
        <f>G14</f>
        <v>0</v>
      </c>
      <c r="AE13" s="20">
        <f t="shared" ref="AE13:AE18" si="2">AC13-AD13</f>
        <v>0</v>
      </c>
      <c r="AF13" s="20">
        <f>H14</f>
        <v>0</v>
      </c>
      <c r="AG13" s="20">
        <f>I14</f>
        <v>0</v>
      </c>
      <c r="AH13" s="20">
        <f t="shared" ref="AH13:AH18" si="3">AF13-AG13</f>
        <v>0</v>
      </c>
      <c r="AI13" s="20">
        <f>J14</f>
        <v>532044.4731186768</v>
      </c>
      <c r="AJ13" s="20">
        <f>K14</f>
        <v>491399.67</v>
      </c>
      <c r="AK13" s="20">
        <f t="shared" ref="AK13:AK18" si="4">AI13-AJ13</f>
        <v>40644.80311867682</v>
      </c>
      <c r="AL13" s="20">
        <f>L14</f>
        <v>0</v>
      </c>
      <c r="AM13" s="20">
        <f>M14</f>
        <v>548539.79999999993</v>
      </c>
      <c r="AN13" s="20">
        <f t="shared" ref="AN13:AN18" si="5">AL13-AM13</f>
        <v>-548539.79999999993</v>
      </c>
      <c r="AO13" s="20">
        <f>N14</f>
        <v>0</v>
      </c>
      <c r="AP13" s="20">
        <f>O14</f>
        <v>654294.7699999999</v>
      </c>
      <c r="AQ13" s="20">
        <f t="shared" ref="AQ13:AQ18" si="6">AO13-AP13</f>
        <v>-654294.7699999999</v>
      </c>
      <c r="AR13" s="20">
        <f>P14</f>
        <v>0</v>
      </c>
      <c r="AS13" s="20">
        <f>Q14</f>
        <v>673867.34</v>
      </c>
      <c r="AT13" s="20">
        <f t="shared" ref="AT13:AT18" si="7">AR13-AS13</f>
        <v>-673867.34</v>
      </c>
      <c r="AU13" s="20">
        <f>R14</f>
        <v>658882.70000000007</v>
      </c>
      <c r="AV13" s="20">
        <f>AU13-AS13</f>
        <v>-14984.639999999898</v>
      </c>
      <c r="AW13" s="20">
        <f>S14</f>
        <v>711610.17701706884</v>
      </c>
      <c r="AX13" s="20">
        <f t="shared" ref="AX13:AX18" si="8">AV13-AW13</f>
        <v>-726594.81701706874</v>
      </c>
    </row>
    <row r="14" spans="1:50" ht="13.5" thickBot="1" x14ac:dyDescent="0.25">
      <c r="A14" s="21" t="s">
        <v>28</v>
      </c>
      <c r="B14" s="22"/>
      <c r="C14" s="22"/>
      <c r="D14" s="23"/>
      <c r="E14" s="22"/>
      <c r="F14" s="23"/>
      <c r="G14" s="22"/>
      <c r="H14" s="23"/>
      <c r="I14" s="22"/>
      <c r="J14" s="22">
        <v>532044.4731186768</v>
      </c>
      <c r="K14" s="22">
        <v>491399.67</v>
      </c>
      <c r="L14" s="23"/>
      <c r="M14" s="22">
        <v>548539.79999999993</v>
      </c>
      <c r="N14" s="23"/>
      <c r="O14" s="22">
        <v>654294.7699999999</v>
      </c>
      <c r="P14" s="23"/>
      <c r="Q14" s="22">
        <v>673867.34</v>
      </c>
      <c r="R14" s="22">
        <v>658882.70000000007</v>
      </c>
      <c r="S14" s="22">
        <v>711610.17701706884</v>
      </c>
      <c r="T14" s="24"/>
      <c r="U14" s="24"/>
      <c r="V14" s="25" t="s">
        <v>29</v>
      </c>
      <c r="W14" s="20">
        <f>B15</f>
        <v>0</v>
      </c>
      <c r="X14" s="20">
        <f>C15</f>
        <v>0</v>
      </c>
      <c r="Y14" s="20">
        <f t="shared" si="0"/>
        <v>0</v>
      </c>
      <c r="Z14" s="20">
        <f>D15</f>
        <v>0</v>
      </c>
      <c r="AA14" s="20">
        <f>E15</f>
        <v>0</v>
      </c>
      <c r="AB14" s="20">
        <f t="shared" si="1"/>
        <v>0</v>
      </c>
      <c r="AC14" s="20">
        <f>F15</f>
        <v>0</v>
      </c>
      <c r="AD14" s="20">
        <f>G15</f>
        <v>0</v>
      </c>
      <c r="AE14" s="20">
        <f t="shared" si="2"/>
        <v>0</v>
      </c>
      <c r="AF14" s="26">
        <f>H15</f>
        <v>0</v>
      </c>
      <c r="AG14" s="26">
        <f>I15</f>
        <v>0</v>
      </c>
      <c r="AH14" s="20">
        <f t="shared" si="3"/>
        <v>0</v>
      </c>
      <c r="AI14" s="26">
        <f>J15</f>
        <v>416132.46238946723</v>
      </c>
      <c r="AJ14" s="26">
        <f>K15</f>
        <v>412258.79000000004</v>
      </c>
      <c r="AK14" s="20">
        <f t="shared" si="4"/>
        <v>3873.6723894671886</v>
      </c>
      <c r="AL14" s="26">
        <f>L15</f>
        <v>0</v>
      </c>
      <c r="AM14" s="26">
        <f>M15</f>
        <v>451578.1</v>
      </c>
      <c r="AN14" s="20">
        <f t="shared" si="5"/>
        <v>-451578.1</v>
      </c>
      <c r="AO14" s="26">
        <f>N15</f>
        <v>0</v>
      </c>
      <c r="AP14" s="26">
        <f>O15</f>
        <v>476273.29999999993</v>
      </c>
      <c r="AQ14" s="20">
        <f t="shared" si="6"/>
        <v>-476273.29999999993</v>
      </c>
      <c r="AR14" s="26">
        <f>P15</f>
        <v>0</v>
      </c>
      <c r="AS14" s="26">
        <f>Q15</f>
        <v>414736.52</v>
      </c>
      <c r="AT14" s="20">
        <f t="shared" si="7"/>
        <v>-414736.52</v>
      </c>
      <c r="AU14" s="26">
        <f>R15</f>
        <v>447002.52999999997</v>
      </c>
      <c r="AV14" s="20">
        <f t="shared" ref="AV14:AV18" si="9">AU14-AS14</f>
        <v>32266.009999999951</v>
      </c>
      <c r="AW14" s="26">
        <f>S15</f>
        <v>449790.28194628464</v>
      </c>
      <c r="AX14" s="20">
        <f t="shared" si="8"/>
        <v>-417524.27194628469</v>
      </c>
    </row>
    <row r="15" spans="1:50" ht="24" x14ac:dyDescent="0.2">
      <c r="A15" s="27" t="s">
        <v>30</v>
      </c>
      <c r="B15" s="28"/>
      <c r="C15" s="28"/>
      <c r="D15" s="29"/>
      <c r="E15" s="28"/>
      <c r="F15" s="29"/>
      <c r="G15" s="28"/>
      <c r="H15" s="29"/>
      <c r="I15" s="28"/>
      <c r="J15" s="22">
        <v>416132.46238946723</v>
      </c>
      <c r="K15" s="22">
        <v>412258.79000000004</v>
      </c>
      <c r="L15" s="29"/>
      <c r="M15" s="22">
        <v>451578.1</v>
      </c>
      <c r="N15" s="29"/>
      <c r="O15" s="22">
        <v>476273.29999999993</v>
      </c>
      <c r="P15" s="29"/>
      <c r="Q15" s="22">
        <v>414736.52</v>
      </c>
      <c r="R15" s="22">
        <v>447002.52999999997</v>
      </c>
      <c r="S15" s="22">
        <v>449790.28194628464</v>
      </c>
      <c r="T15" s="24"/>
      <c r="U15" s="24"/>
      <c r="V15" s="25" t="s">
        <v>31</v>
      </c>
      <c r="W15" s="20">
        <f t="shared" ref="W15:X18" si="10">B19</f>
        <v>0</v>
      </c>
      <c r="X15" s="20">
        <f t="shared" si="10"/>
        <v>0</v>
      </c>
      <c r="Y15" s="20">
        <f t="shared" si="0"/>
        <v>0</v>
      </c>
      <c r="Z15" s="20">
        <f t="shared" ref="Z15:AA18" si="11">D19</f>
        <v>0</v>
      </c>
      <c r="AA15" s="20">
        <f t="shared" si="11"/>
        <v>0</v>
      </c>
      <c r="AB15" s="20">
        <f t="shared" si="1"/>
        <v>0</v>
      </c>
      <c r="AC15" s="20">
        <f t="shared" ref="AC15:AD18" si="12">F19</f>
        <v>0</v>
      </c>
      <c r="AD15" s="20">
        <f t="shared" si="12"/>
        <v>0</v>
      </c>
      <c r="AE15" s="20">
        <f t="shared" si="2"/>
        <v>0</v>
      </c>
      <c r="AF15" s="26">
        <f t="shared" ref="AF15:AG18" si="13">H19</f>
        <v>0</v>
      </c>
      <c r="AG15" s="26">
        <f t="shared" si="13"/>
        <v>0</v>
      </c>
      <c r="AH15" s="20">
        <f t="shared" si="3"/>
        <v>0</v>
      </c>
      <c r="AI15" s="26">
        <f t="shared" ref="AI15:AJ18" si="14">J19</f>
        <v>534259.55082691566</v>
      </c>
      <c r="AJ15" s="26">
        <f t="shared" si="14"/>
        <v>559555.86</v>
      </c>
      <c r="AK15" s="20">
        <f t="shared" si="4"/>
        <v>-25296.30917308433</v>
      </c>
      <c r="AL15" s="26">
        <f t="shared" ref="AL15:AM18" si="15">L19</f>
        <v>0</v>
      </c>
      <c r="AM15" s="26">
        <f t="shared" si="15"/>
        <v>601149.68000000005</v>
      </c>
      <c r="AN15" s="20">
        <f t="shared" si="5"/>
        <v>-601149.68000000005</v>
      </c>
      <c r="AO15" s="26">
        <f t="shared" ref="AO15:AP18" si="16">N19</f>
        <v>0</v>
      </c>
      <c r="AP15" s="26">
        <f t="shared" si="16"/>
        <v>547187.65</v>
      </c>
      <c r="AQ15" s="20">
        <f t="shared" si="6"/>
        <v>-547187.65</v>
      </c>
      <c r="AR15" s="26">
        <f t="shared" ref="AR15:AS18" si="17">P19</f>
        <v>0</v>
      </c>
      <c r="AS15" s="26">
        <f t="shared" si="17"/>
        <v>573153.92000000004</v>
      </c>
      <c r="AT15" s="20">
        <f t="shared" si="7"/>
        <v>-573153.92000000004</v>
      </c>
      <c r="AU15" s="26">
        <f>R19</f>
        <v>565667.52</v>
      </c>
      <c r="AV15" s="20">
        <f t="shared" si="9"/>
        <v>-7486.4000000000233</v>
      </c>
      <c r="AW15" s="26">
        <f>S19</f>
        <v>632867.42046056862</v>
      </c>
      <c r="AX15" s="20">
        <f t="shared" si="8"/>
        <v>-640353.82046056865</v>
      </c>
    </row>
    <row r="16" spans="1:50" ht="24" x14ac:dyDescent="0.2">
      <c r="A16" s="30" t="s">
        <v>32</v>
      </c>
      <c r="B16" s="31">
        <f>SUM(B14:B15)</f>
        <v>0</v>
      </c>
      <c r="C16" s="31">
        <f t="shared" ref="C16:S16" si="18">SUM(C14:C15)</f>
        <v>0</v>
      </c>
      <c r="D16" s="31">
        <f t="shared" si="18"/>
        <v>0</v>
      </c>
      <c r="E16" s="31">
        <f t="shared" si="18"/>
        <v>0</v>
      </c>
      <c r="F16" s="31">
        <f t="shared" si="18"/>
        <v>0</v>
      </c>
      <c r="G16" s="31">
        <f t="shared" si="18"/>
        <v>0</v>
      </c>
      <c r="H16" s="31">
        <f t="shared" si="18"/>
        <v>0</v>
      </c>
      <c r="I16" s="31">
        <f t="shared" si="18"/>
        <v>0</v>
      </c>
      <c r="J16" s="31">
        <f t="shared" si="18"/>
        <v>948176.93550814409</v>
      </c>
      <c r="K16" s="31">
        <f t="shared" si="18"/>
        <v>903658.46</v>
      </c>
      <c r="L16" s="31">
        <f t="shared" si="18"/>
        <v>0</v>
      </c>
      <c r="M16" s="31">
        <f t="shared" si="18"/>
        <v>1000117.8999999999</v>
      </c>
      <c r="N16" s="31">
        <f t="shared" si="18"/>
        <v>0</v>
      </c>
      <c r="O16" s="31">
        <f t="shared" si="18"/>
        <v>1130568.0699999998</v>
      </c>
      <c r="P16" s="31">
        <f t="shared" si="18"/>
        <v>0</v>
      </c>
      <c r="Q16" s="31">
        <f t="shared" si="18"/>
        <v>1088603.8599999999</v>
      </c>
      <c r="R16" s="31">
        <f t="shared" si="18"/>
        <v>1105885.23</v>
      </c>
      <c r="S16" s="32">
        <f t="shared" si="18"/>
        <v>1161400.4589633534</v>
      </c>
      <c r="T16" s="33"/>
      <c r="U16" s="33"/>
      <c r="V16" s="25" t="s">
        <v>33</v>
      </c>
      <c r="W16" s="20">
        <f t="shared" si="10"/>
        <v>0</v>
      </c>
      <c r="X16" s="20">
        <f t="shared" si="10"/>
        <v>0</v>
      </c>
      <c r="Y16" s="20">
        <f t="shared" si="0"/>
        <v>0</v>
      </c>
      <c r="Z16" s="20">
        <f t="shared" si="11"/>
        <v>0</v>
      </c>
      <c r="AA16" s="20">
        <f t="shared" si="11"/>
        <v>0</v>
      </c>
      <c r="AB16" s="20">
        <f t="shared" si="1"/>
        <v>0</v>
      </c>
      <c r="AC16" s="20">
        <f t="shared" si="12"/>
        <v>0</v>
      </c>
      <c r="AD16" s="20">
        <f t="shared" si="12"/>
        <v>0</v>
      </c>
      <c r="AE16" s="20">
        <f t="shared" si="2"/>
        <v>0</v>
      </c>
      <c r="AF16" s="26">
        <f t="shared" si="13"/>
        <v>0</v>
      </c>
      <c r="AG16" s="26">
        <f t="shared" si="13"/>
        <v>0</v>
      </c>
      <c r="AH16" s="20">
        <f t="shared" si="3"/>
        <v>0</v>
      </c>
      <c r="AI16" s="26">
        <f t="shared" si="14"/>
        <v>17800</v>
      </c>
      <c r="AJ16" s="26">
        <f t="shared" si="14"/>
        <v>578</v>
      </c>
      <c r="AK16" s="20">
        <f t="shared" si="4"/>
        <v>17222</v>
      </c>
      <c r="AL16" s="26">
        <f t="shared" si="15"/>
        <v>0</v>
      </c>
      <c r="AM16" s="26">
        <f t="shared" si="15"/>
        <v>757.65</v>
      </c>
      <c r="AN16" s="20">
        <f t="shared" si="5"/>
        <v>-757.65</v>
      </c>
      <c r="AO16" s="26">
        <f t="shared" si="16"/>
        <v>0</v>
      </c>
      <c r="AP16" s="26">
        <f t="shared" si="16"/>
        <v>9700</v>
      </c>
      <c r="AQ16" s="20">
        <f t="shared" si="6"/>
        <v>-9700</v>
      </c>
      <c r="AR16" s="26">
        <f t="shared" si="17"/>
        <v>0</v>
      </c>
      <c r="AS16" s="26">
        <f t="shared" si="17"/>
        <v>4161.21</v>
      </c>
      <c r="AT16" s="20">
        <f t="shared" si="7"/>
        <v>-4161.21</v>
      </c>
      <c r="AU16" s="26">
        <f>R20</f>
        <v>9477.34</v>
      </c>
      <c r="AV16" s="20">
        <f t="shared" si="9"/>
        <v>5316.13</v>
      </c>
      <c r="AW16" s="26">
        <f>S20</f>
        <v>11484.753561720259</v>
      </c>
      <c r="AX16" s="20">
        <f t="shared" si="8"/>
        <v>-6168.6235617202592</v>
      </c>
    </row>
    <row r="17" spans="1:50" ht="24" x14ac:dyDescent="0.2">
      <c r="A17" s="27" t="s">
        <v>34</v>
      </c>
      <c r="B17" s="34"/>
      <c r="C17" s="35" t="str">
        <f>IF(ISERROR((C16-B16)/B16), "", (C16-B16)/B16)</f>
        <v/>
      </c>
      <c r="D17" s="34"/>
      <c r="E17" s="35" t="str">
        <f>IF(ISERROR((E16-D16)/D16), "", (E16-D16)/D16)</f>
        <v/>
      </c>
      <c r="F17" s="34"/>
      <c r="G17" s="35" t="str">
        <f>IF(ISERROR((G16-F16)/F16), "", (G16-F16)/F16)</f>
        <v/>
      </c>
      <c r="H17" s="34"/>
      <c r="I17" s="35" t="str">
        <f>IF(ISERROR((I16-H16)/H16), "", (I16-H16)/H16)</f>
        <v/>
      </c>
      <c r="J17" s="34"/>
      <c r="K17" s="35">
        <f>IF(ISERROR((K16-J16)/J16), "", (K16-J16)/J16)</f>
        <v>-4.6951654106926699E-2</v>
      </c>
      <c r="L17" s="34"/>
      <c r="M17" s="35" t="str">
        <f>IF(ISERROR((M16-L16)/L16), "", (M16-L16)/L16)</f>
        <v/>
      </c>
      <c r="N17" s="34"/>
      <c r="O17" s="35" t="str">
        <f>IF(ISERROR((O16-N16)/N16), "", (O16-N16)/N16)</f>
        <v/>
      </c>
      <c r="P17" s="34"/>
      <c r="Q17" s="35" t="str">
        <f>IF(ISERROR((Q16-P16)/P16), "", (Q16-P16)/P16)</f>
        <v/>
      </c>
      <c r="R17" s="35" t="str">
        <f>IF(ISERROR((R16-#REF!)/#REF!), "", (R16-#REF!)/#REF!)</f>
        <v/>
      </c>
      <c r="S17" s="36">
        <f>IF(ISERROR((S16-R16)/R16), "", (S16-R16)/R16)</f>
        <v>5.0199810484270087E-2</v>
      </c>
      <c r="T17" s="37"/>
      <c r="U17" s="37"/>
      <c r="V17" s="25" t="s">
        <v>35</v>
      </c>
      <c r="W17" s="20">
        <f t="shared" si="10"/>
        <v>0</v>
      </c>
      <c r="X17" s="20">
        <f t="shared" si="10"/>
        <v>0</v>
      </c>
      <c r="Y17" s="20">
        <f t="shared" si="0"/>
        <v>0</v>
      </c>
      <c r="Z17" s="20">
        <f t="shared" si="11"/>
        <v>0</v>
      </c>
      <c r="AA17" s="20">
        <f t="shared" si="11"/>
        <v>0</v>
      </c>
      <c r="AB17" s="20">
        <f t="shared" si="1"/>
        <v>0</v>
      </c>
      <c r="AC17" s="20">
        <f t="shared" si="12"/>
        <v>0</v>
      </c>
      <c r="AD17" s="20">
        <f t="shared" si="12"/>
        <v>0</v>
      </c>
      <c r="AE17" s="20">
        <f t="shared" si="2"/>
        <v>0</v>
      </c>
      <c r="AF17" s="26">
        <f t="shared" si="13"/>
        <v>0</v>
      </c>
      <c r="AG17" s="26">
        <f t="shared" si="13"/>
        <v>0</v>
      </c>
      <c r="AH17" s="20">
        <f t="shared" si="3"/>
        <v>0</v>
      </c>
      <c r="AI17" s="26">
        <f t="shared" si="14"/>
        <v>655025.86807409697</v>
      </c>
      <c r="AJ17" s="26">
        <f t="shared" si="14"/>
        <v>744410.69</v>
      </c>
      <c r="AK17" s="20">
        <f t="shared" si="4"/>
        <v>-89384.821925902972</v>
      </c>
      <c r="AL17" s="26">
        <f t="shared" si="15"/>
        <v>0</v>
      </c>
      <c r="AM17" s="26">
        <f t="shared" si="15"/>
        <v>721093.65999999992</v>
      </c>
      <c r="AN17" s="20">
        <f t="shared" si="5"/>
        <v>-721093.65999999992</v>
      </c>
      <c r="AO17" s="26">
        <f t="shared" si="16"/>
        <v>0</v>
      </c>
      <c r="AP17" s="26">
        <f t="shared" si="16"/>
        <v>844735.11</v>
      </c>
      <c r="AQ17" s="20">
        <f t="shared" si="6"/>
        <v>-844735.11</v>
      </c>
      <c r="AR17" s="26">
        <f t="shared" si="17"/>
        <v>0</v>
      </c>
      <c r="AS17" s="26">
        <f t="shared" si="17"/>
        <v>929201.6399999999</v>
      </c>
      <c r="AT17" s="20">
        <f t="shared" si="7"/>
        <v>-929201.6399999999</v>
      </c>
      <c r="AU17" s="26">
        <f>R21</f>
        <v>1157505.26</v>
      </c>
      <c r="AV17" s="20">
        <f t="shared" si="9"/>
        <v>228303.62000000011</v>
      </c>
      <c r="AW17" s="26">
        <f>S21</f>
        <v>1159012.4956218726</v>
      </c>
      <c r="AX17" s="20">
        <f t="shared" si="8"/>
        <v>-930708.87562187249</v>
      </c>
    </row>
    <row r="18" spans="1:50" ht="24.75" thickBot="1" x14ac:dyDescent="0.25">
      <c r="A18" s="27" t="s">
        <v>36</v>
      </c>
      <c r="B18" s="38"/>
      <c r="C18" s="39"/>
      <c r="D18" s="39"/>
      <c r="E18" s="39"/>
      <c r="F18" s="39"/>
      <c r="G18" s="39"/>
      <c r="H18" s="39"/>
      <c r="I18" s="39"/>
      <c r="J18" s="39"/>
      <c r="K18" s="39"/>
      <c r="L18" s="39"/>
      <c r="M18" s="39"/>
      <c r="N18" s="39"/>
      <c r="O18" s="39"/>
      <c r="P18" s="39"/>
      <c r="Q18" s="39"/>
      <c r="R18" s="40"/>
      <c r="S18" s="36" t="str">
        <f>IF(ISERROR((S16-C16)/C16), "", (S16-C16)/C16)</f>
        <v/>
      </c>
      <c r="T18" s="37"/>
      <c r="U18" s="37"/>
      <c r="V18" s="25" t="s">
        <v>37</v>
      </c>
      <c r="W18" s="20">
        <f t="shared" si="10"/>
        <v>0</v>
      </c>
      <c r="X18" s="20">
        <f t="shared" si="10"/>
        <v>0</v>
      </c>
      <c r="Y18" s="20">
        <f t="shared" si="0"/>
        <v>0</v>
      </c>
      <c r="Z18" s="20">
        <f t="shared" si="11"/>
        <v>0</v>
      </c>
      <c r="AA18" s="20">
        <f t="shared" si="11"/>
        <v>0</v>
      </c>
      <c r="AB18" s="20">
        <f t="shared" si="1"/>
        <v>0</v>
      </c>
      <c r="AC18" s="20">
        <f t="shared" si="12"/>
        <v>0</v>
      </c>
      <c r="AD18" s="20">
        <f t="shared" si="12"/>
        <v>0</v>
      </c>
      <c r="AE18" s="20">
        <f t="shared" si="2"/>
        <v>0</v>
      </c>
      <c r="AF18" s="26">
        <f t="shared" si="13"/>
        <v>0</v>
      </c>
      <c r="AG18" s="26">
        <f t="shared" si="13"/>
        <v>0</v>
      </c>
      <c r="AH18" s="20">
        <f t="shared" si="3"/>
        <v>0</v>
      </c>
      <c r="AI18" s="26">
        <f t="shared" si="14"/>
        <v>1207085.4189010127</v>
      </c>
      <c r="AJ18" s="26">
        <f t="shared" si="14"/>
        <v>1304544.5499999998</v>
      </c>
      <c r="AK18" s="20">
        <f t="shared" si="4"/>
        <v>-97459.131098987069</v>
      </c>
      <c r="AL18" s="26">
        <f t="shared" si="15"/>
        <v>0</v>
      </c>
      <c r="AM18" s="26">
        <f t="shared" si="15"/>
        <v>1323000.99</v>
      </c>
      <c r="AN18" s="20">
        <f t="shared" si="5"/>
        <v>-1323000.99</v>
      </c>
      <c r="AO18" s="26">
        <f t="shared" si="16"/>
        <v>0</v>
      </c>
      <c r="AP18" s="26">
        <f t="shared" si="16"/>
        <v>1401622.76</v>
      </c>
      <c r="AQ18" s="20">
        <f t="shared" si="6"/>
        <v>-1401622.76</v>
      </c>
      <c r="AR18" s="26">
        <f t="shared" si="17"/>
        <v>0</v>
      </c>
      <c r="AS18" s="26">
        <f t="shared" si="17"/>
        <v>1506516.77</v>
      </c>
      <c r="AT18" s="20">
        <f t="shared" si="7"/>
        <v>-1506516.77</v>
      </c>
      <c r="AU18" s="26">
        <f>R22</f>
        <v>1732650.12</v>
      </c>
      <c r="AV18" s="20">
        <f t="shared" si="9"/>
        <v>226133.35000000009</v>
      </c>
      <c r="AW18" s="26">
        <f>S22</f>
        <v>1803364.6696441616</v>
      </c>
      <c r="AX18" s="20">
        <f t="shared" si="8"/>
        <v>-1577231.3196441615</v>
      </c>
    </row>
    <row r="19" spans="1:50" ht="72.400000000000006" customHeight="1" thickBot="1" x14ac:dyDescent="0.25">
      <c r="A19" s="27" t="s">
        <v>38</v>
      </c>
      <c r="B19" s="28"/>
      <c r="C19" s="28"/>
      <c r="D19" s="29"/>
      <c r="E19" s="28"/>
      <c r="F19" s="29"/>
      <c r="G19" s="28"/>
      <c r="H19" s="29"/>
      <c r="I19" s="28"/>
      <c r="J19" s="22">
        <v>534259.55082691566</v>
      </c>
      <c r="K19" s="22">
        <v>559555.86</v>
      </c>
      <c r="L19" s="29"/>
      <c r="M19" s="22">
        <v>601149.68000000005</v>
      </c>
      <c r="N19" s="29"/>
      <c r="O19" s="22">
        <v>547187.65</v>
      </c>
      <c r="P19" s="29"/>
      <c r="Q19" s="22">
        <v>573153.92000000004</v>
      </c>
      <c r="R19" s="22">
        <v>565667.52</v>
      </c>
      <c r="S19" s="22">
        <v>632867.42046056862</v>
      </c>
      <c r="T19" s="24"/>
      <c r="U19" s="24"/>
      <c r="V19" s="25" t="s">
        <v>39</v>
      </c>
      <c r="W19" s="20"/>
      <c r="X19" s="41"/>
      <c r="Y19" s="41"/>
      <c r="Z19" s="20"/>
      <c r="AA19" s="20"/>
      <c r="AB19" s="41"/>
      <c r="AC19" s="20"/>
      <c r="AD19" s="20"/>
      <c r="AE19" s="41"/>
      <c r="AF19" s="41"/>
      <c r="AG19" s="41"/>
      <c r="AH19" s="41"/>
      <c r="AI19" s="41"/>
      <c r="AJ19" s="41"/>
      <c r="AK19" s="41"/>
      <c r="AL19" s="41"/>
      <c r="AM19" s="41"/>
      <c r="AN19" s="41"/>
      <c r="AO19" s="41"/>
      <c r="AP19" s="41"/>
      <c r="AQ19" s="41"/>
      <c r="AR19" s="41"/>
      <c r="AS19" s="41"/>
      <c r="AT19" s="41"/>
      <c r="AU19" s="41"/>
      <c r="AV19" s="41"/>
      <c r="AW19" s="41"/>
      <c r="AX19" s="41"/>
    </row>
    <row r="20" spans="1:50" ht="24.75" thickBot="1" x14ac:dyDescent="0.25">
      <c r="A20" s="27" t="s">
        <v>40</v>
      </c>
      <c r="B20" s="28"/>
      <c r="C20" s="28"/>
      <c r="D20" s="29"/>
      <c r="E20" s="28"/>
      <c r="F20" s="29"/>
      <c r="G20" s="28"/>
      <c r="H20" s="29"/>
      <c r="I20" s="28"/>
      <c r="J20" s="22">
        <v>17800</v>
      </c>
      <c r="K20" s="22">
        <v>578</v>
      </c>
      <c r="L20" s="29"/>
      <c r="M20" s="22">
        <v>757.65</v>
      </c>
      <c r="N20" s="29"/>
      <c r="O20" s="22">
        <v>9700</v>
      </c>
      <c r="P20" s="29"/>
      <c r="Q20" s="22">
        <v>4161.21</v>
      </c>
      <c r="R20" s="22">
        <v>9477.34</v>
      </c>
      <c r="S20" s="22">
        <v>11484.753561720259</v>
      </c>
      <c r="T20" s="24"/>
      <c r="U20" s="24"/>
      <c r="V20" s="25" t="s">
        <v>41</v>
      </c>
      <c r="W20" s="20">
        <f t="shared" ref="W20:AX20" si="19">W18-W19</f>
        <v>0</v>
      </c>
      <c r="X20" s="20">
        <f t="shared" si="19"/>
        <v>0</v>
      </c>
      <c r="Y20" s="20">
        <f t="shared" si="19"/>
        <v>0</v>
      </c>
      <c r="Z20" s="20">
        <f t="shared" si="19"/>
        <v>0</v>
      </c>
      <c r="AA20" s="20">
        <f t="shared" si="19"/>
        <v>0</v>
      </c>
      <c r="AB20" s="20">
        <f t="shared" si="19"/>
        <v>0</v>
      </c>
      <c r="AC20" s="20">
        <f t="shared" si="19"/>
        <v>0</v>
      </c>
      <c r="AD20" s="20">
        <f t="shared" si="19"/>
        <v>0</v>
      </c>
      <c r="AE20" s="20">
        <f t="shared" si="19"/>
        <v>0</v>
      </c>
      <c r="AF20" s="20">
        <f t="shared" si="19"/>
        <v>0</v>
      </c>
      <c r="AG20" s="20">
        <f t="shared" si="19"/>
        <v>0</v>
      </c>
      <c r="AH20" s="20">
        <f t="shared" si="19"/>
        <v>0</v>
      </c>
      <c r="AI20" s="20">
        <f t="shared" si="19"/>
        <v>1207085.4189010127</v>
      </c>
      <c r="AJ20" s="20">
        <f t="shared" si="19"/>
        <v>1304544.5499999998</v>
      </c>
      <c r="AK20" s="20">
        <f t="shared" si="19"/>
        <v>-97459.131098987069</v>
      </c>
      <c r="AL20" s="20">
        <f t="shared" si="19"/>
        <v>0</v>
      </c>
      <c r="AM20" s="20">
        <f t="shared" si="19"/>
        <v>1323000.99</v>
      </c>
      <c r="AN20" s="20">
        <f t="shared" si="19"/>
        <v>-1323000.99</v>
      </c>
      <c r="AO20" s="20">
        <f t="shared" si="19"/>
        <v>0</v>
      </c>
      <c r="AP20" s="20">
        <f t="shared" si="19"/>
        <v>1401622.76</v>
      </c>
      <c r="AQ20" s="20">
        <f>AQ18-AQ19</f>
        <v>-1401622.76</v>
      </c>
      <c r="AR20" s="20">
        <f>AR18-AR19</f>
        <v>0</v>
      </c>
      <c r="AS20" s="20">
        <f t="shared" si="19"/>
        <v>1506516.77</v>
      </c>
      <c r="AT20" s="20">
        <f t="shared" si="19"/>
        <v>-1506516.77</v>
      </c>
      <c r="AU20" s="20">
        <f t="shared" si="19"/>
        <v>1732650.12</v>
      </c>
      <c r="AV20" s="20">
        <f t="shared" si="19"/>
        <v>226133.35000000009</v>
      </c>
      <c r="AW20" s="20">
        <f t="shared" si="19"/>
        <v>1803364.6696441616</v>
      </c>
      <c r="AX20" s="20">
        <f t="shared" si="19"/>
        <v>-1577231.3196441615</v>
      </c>
    </row>
    <row r="21" spans="1:50" ht="24" x14ac:dyDescent="0.2">
      <c r="A21" s="27" t="s">
        <v>42</v>
      </c>
      <c r="B21" s="28"/>
      <c r="C21" s="28"/>
      <c r="D21" s="29"/>
      <c r="E21" s="28"/>
      <c r="F21" s="29"/>
      <c r="G21" s="28"/>
      <c r="H21" s="29"/>
      <c r="I21" s="28"/>
      <c r="J21" s="22">
        <v>655025.86807409697</v>
      </c>
      <c r="K21" s="22">
        <v>744410.69</v>
      </c>
      <c r="L21" s="29"/>
      <c r="M21" s="22">
        <v>721093.65999999992</v>
      </c>
      <c r="N21" s="29"/>
      <c r="O21" s="22">
        <v>844735.11</v>
      </c>
      <c r="P21" s="29"/>
      <c r="Q21" s="22">
        <v>929201.6399999999</v>
      </c>
      <c r="R21" s="22">
        <v>1157505.26</v>
      </c>
      <c r="S21" s="22">
        <v>1159012.4956218726</v>
      </c>
      <c r="T21" s="24"/>
      <c r="U21" s="24"/>
      <c r="V21" s="25" t="s">
        <v>43</v>
      </c>
      <c r="W21" s="42"/>
      <c r="X21" s="42"/>
      <c r="Y21" s="43"/>
      <c r="Z21" s="44"/>
      <c r="AA21" s="45">
        <f>AA20-X20</f>
        <v>0</v>
      </c>
      <c r="AB21" s="44"/>
      <c r="AC21" s="44"/>
      <c r="AD21" s="45">
        <f>AD20-AA20</f>
        <v>0</v>
      </c>
      <c r="AE21" s="44"/>
      <c r="AF21" s="44"/>
      <c r="AG21" s="45">
        <f>AG20-AD20</f>
        <v>0</v>
      </c>
      <c r="AH21" s="44"/>
      <c r="AI21" s="44"/>
      <c r="AJ21" s="45">
        <f>AJ20-AG20</f>
        <v>1304544.5499999998</v>
      </c>
      <c r="AK21" s="44"/>
      <c r="AL21" s="44"/>
      <c r="AM21" s="45">
        <f>AM20-AJ20</f>
        <v>18456.440000000177</v>
      </c>
      <c r="AN21" s="44"/>
      <c r="AO21" s="44"/>
      <c r="AP21" s="45">
        <f>AP20-AM20</f>
        <v>78621.770000000019</v>
      </c>
      <c r="AQ21" s="44"/>
      <c r="AR21" s="44"/>
      <c r="AS21" s="45">
        <f>AS20-AP20</f>
        <v>104894.01000000001</v>
      </c>
      <c r="AT21" s="44"/>
      <c r="AU21" s="45">
        <f>AU20-AS20</f>
        <v>226133.35000000009</v>
      </c>
      <c r="AV21" s="44"/>
      <c r="AW21" s="45">
        <f>AW20-AU20</f>
        <v>70714.549644161481</v>
      </c>
      <c r="AX21" s="46"/>
    </row>
    <row r="22" spans="1:50" ht="24" x14ac:dyDescent="0.2">
      <c r="A22" s="30" t="s">
        <v>32</v>
      </c>
      <c r="B22" s="31">
        <f>SUM(B19:B21)</f>
        <v>0</v>
      </c>
      <c r="C22" s="31">
        <f t="shared" ref="C22:P22" si="20">SUM(C19:C21)</f>
        <v>0</v>
      </c>
      <c r="D22" s="31">
        <f t="shared" si="20"/>
        <v>0</v>
      </c>
      <c r="E22" s="31">
        <f t="shared" si="20"/>
        <v>0</v>
      </c>
      <c r="F22" s="31">
        <f t="shared" si="20"/>
        <v>0</v>
      </c>
      <c r="G22" s="31">
        <f t="shared" si="20"/>
        <v>0</v>
      </c>
      <c r="H22" s="31">
        <f t="shared" si="20"/>
        <v>0</v>
      </c>
      <c r="I22" s="31">
        <f t="shared" si="20"/>
        <v>0</v>
      </c>
      <c r="J22" s="31">
        <f t="shared" si="20"/>
        <v>1207085.4189010127</v>
      </c>
      <c r="K22" s="31">
        <f t="shared" si="20"/>
        <v>1304544.5499999998</v>
      </c>
      <c r="L22" s="31">
        <f t="shared" si="20"/>
        <v>0</v>
      </c>
      <c r="M22" s="31">
        <f t="shared" si="20"/>
        <v>1323000.99</v>
      </c>
      <c r="N22" s="31">
        <f t="shared" si="20"/>
        <v>0</v>
      </c>
      <c r="O22" s="31">
        <f t="shared" si="20"/>
        <v>1401622.76</v>
      </c>
      <c r="P22" s="31">
        <f t="shared" si="20"/>
        <v>0</v>
      </c>
      <c r="Q22" s="31">
        <f>SUM(Q19:Q21)</f>
        <v>1506516.77</v>
      </c>
      <c r="R22" s="31">
        <f>SUM(R19:R21)</f>
        <v>1732650.12</v>
      </c>
      <c r="S22" s="32">
        <f>SUM(S19:S21)</f>
        <v>1803364.6696441616</v>
      </c>
      <c r="T22" s="33"/>
      <c r="U22" s="33"/>
      <c r="V22" s="25" t="s">
        <v>44</v>
      </c>
      <c r="W22" s="47"/>
      <c r="X22" s="47"/>
      <c r="Y22" s="48"/>
      <c r="Z22" s="49"/>
      <c r="AA22" s="50" t="str">
        <f>IF(ISERROR(AA21/X20), "", AA21/X20)</f>
        <v/>
      </c>
      <c r="AB22" s="49"/>
      <c r="AC22" s="49"/>
      <c r="AD22" s="50" t="str">
        <f>IF(ISERROR(AD21/AA20), "", AD21/AA20)</f>
        <v/>
      </c>
      <c r="AE22" s="49"/>
      <c r="AF22" s="49"/>
      <c r="AG22" s="50" t="str">
        <f>IF(ISERROR(AG21/AD20), "", AG21/AD20)</f>
        <v/>
      </c>
      <c r="AH22" s="49"/>
      <c r="AI22" s="49"/>
      <c r="AJ22" s="50" t="str">
        <f>IF(ISERROR(AJ21/AG20), "", AJ21/AG20)</f>
        <v/>
      </c>
      <c r="AK22" s="49"/>
      <c r="AL22" s="49"/>
      <c r="AM22" s="50">
        <f>IF(ISERROR(AM21/AJ20), "", AM21/AJ20)</f>
        <v>1.4147803538024193E-2</v>
      </c>
      <c r="AN22" s="49"/>
      <c r="AO22" s="49"/>
      <c r="AP22" s="50">
        <f>IF(ISERROR(AP21/AM20), "", AP21/AM20)</f>
        <v>5.9426841396392316E-2</v>
      </c>
      <c r="AQ22" s="49"/>
      <c r="AR22" s="49"/>
      <c r="AS22" s="50">
        <f>IF(ISERROR(AS21/AP20), "", AS21/AP20)</f>
        <v>7.4837547586627376E-2</v>
      </c>
      <c r="AT22" s="49"/>
      <c r="AU22" s="50">
        <f>IF(ISERROR(AU21/AS20), "", AU21/AS20)</f>
        <v>0.15010344026903868</v>
      </c>
      <c r="AV22" s="49"/>
      <c r="AW22" s="50">
        <f>IF(ISERROR(AW21/AU20), "", AW21/AU20)</f>
        <v>4.081294245612696E-2</v>
      </c>
      <c r="AX22" s="51"/>
    </row>
    <row r="23" spans="1:50" ht="36" x14ac:dyDescent="0.2">
      <c r="A23" s="27" t="s">
        <v>34</v>
      </c>
      <c r="B23" s="34"/>
      <c r="C23" s="52" t="str">
        <f>IF(ISERROR((C22-B22)/B22), "", (C22-B22)/B22)</f>
        <v/>
      </c>
      <c r="D23" s="34"/>
      <c r="E23" s="52" t="str">
        <f>IF(ISERROR((E22-D22)/D22), "", (E22-D22)/D22)</f>
        <v/>
      </c>
      <c r="F23" s="34"/>
      <c r="G23" s="52" t="str">
        <f>IF(ISERROR((G22-F22)/F22), "", (G22-F22)/F22)</f>
        <v/>
      </c>
      <c r="H23" s="34"/>
      <c r="I23" s="52" t="str">
        <f>IF(ISERROR((I22-H22)/H22), "", (I22-H22)/H22)</f>
        <v/>
      </c>
      <c r="J23" s="34"/>
      <c r="K23" s="52">
        <f>IF(ISERROR((K22-J22)/J22), "", (K22-J22)/J22)</f>
        <v>8.0739216606326367E-2</v>
      </c>
      <c r="L23" s="34"/>
      <c r="M23" s="52" t="str">
        <f>IF(ISERROR((M22-L22)/L22), "", (M22-L22)/L22)</f>
        <v/>
      </c>
      <c r="N23" s="34"/>
      <c r="O23" s="52" t="str">
        <f>IF(ISERROR((O22-N22)/N22), "", (O22-N22)/N22)</f>
        <v/>
      </c>
      <c r="P23" s="34"/>
      <c r="Q23" s="35" t="str">
        <f>IF(ISERROR((Q22-P22)/P22), "", (Q22-P22)/P22)</f>
        <v/>
      </c>
      <c r="R23" s="35" t="str">
        <f>IF(ISERROR((R22-#REF!)/#REF!), "", (R22-#REF!)/#REF!)</f>
        <v/>
      </c>
      <c r="S23" s="36">
        <f>IF(ISERROR((S22-R22)/R22), "", (S22-R22)/R22)</f>
        <v>4.081294245612696E-2</v>
      </c>
      <c r="T23" s="37"/>
      <c r="U23" s="37"/>
      <c r="V23" s="25" t="s">
        <v>45</v>
      </c>
      <c r="W23" s="53"/>
      <c r="X23" s="53"/>
      <c r="Y23" s="54"/>
      <c r="Z23" s="55"/>
      <c r="AA23" s="55"/>
      <c r="AB23" s="55"/>
      <c r="AC23" s="55"/>
      <c r="AD23" s="55"/>
      <c r="AE23" s="55"/>
      <c r="AF23" s="55"/>
      <c r="AG23" s="55"/>
      <c r="AH23" s="55"/>
      <c r="AI23" s="55"/>
      <c r="AJ23" s="55"/>
      <c r="AK23" s="55"/>
      <c r="AL23" s="55"/>
      <c r="AM23" s="55"/>
      <c r="AN23" s="55"/>
      <c r="AO23" s="55"/>
      <c r="AP23" s="55"/>
      <c r="AQ23" s="55"/>
      <c r="AR23" s="55"/>
      <c r="AS23" s="56">
        <f>IF(ISERROR((AW20-AS20)/AS20), "", (AW20-AS20)/AS20)</f>
        <v>0.19704254579533262</v>
      </c>
      <c r="AT23" s="55"/>
      <c r="AU23" s="55"/>
      <c r="AV23" s="55"/>
      <c r="AW23" s="55"/>
      <c r="AX23" s="57"/>
    </row>
    <row r="24" spans="1:50" ht="36" x14ac:dyDescent="0.2">
      <c r="A24" s="27" t="s">
        <v>36</v>
      </c>
      <c r="B24" s="38"/>
      <c r="C24" s="39"/>
      <c r="D24" s="39"/>
      <c r="E24" s="39"/>
      <c r="F24" s="39"/>
      <c r="G24" s="39"/>
      <c r="H24" s="39"/>
      <c r="I24" s="39"/>
      <c r="J24" s="39"/>
      <c r="K24" s="39"/>
      <c r="L24" s="39"/>
      <c r="M24" s="39"/>
      <c r="N24" s="39"/>
      <c r="O24" s="39"/>
      <c r="P24" s="39"/>
      <c r="Q24" s="39"/>
      <c r="R24" s="40"/>
      <c r="S24" s="36" t="str">
        <f>IF(ISERROR((S22-C22)/C22), "", (S22-C22)/C22)</f>
        <v/>
      </c>
      <c r="T24" s="37"/>
      <c r="U24" s="37"/>
      <c r="V24" s="25" t="s">
        <v>46</v>
      </c>
      <c r="W24" s="54"/>
      <c r="X24" s="54"/>
      <c r="Y24" s="54"/>
      <c r="Z24" s="55"/>
      <c r="AA24" s="55"/>
      <c r="AB24" s="55"/>
      <c r="AC24" s="55"/>
      <c r="AD24" s="55"/>
      <c r="AE24" s="55"/>
      <c r="AF24" s="55"/>
      <c r="AG24" s="55"/>
      <c r="AH24" s="55"/>
      <c r="AI24" s="55"/>
      <c r="AJ24" s="55"/>
      <c r="AK24" s="55"/>
      <c r="AL24" s="55"/>
      <c r="AM24" s="55"/>
      <c r="AN24" s="55"/>
      <c r="AO24" s="55"/>
      <c r="AP24" s="55"/>
      <c r="AQ24" s="55"/>
      <c r="AR24" s="55"/>
      <c r="AS24" s="56">
        <f>AVERAGE(AA22:AW22)</f>
        <v>6.7865715049241909E-2</v>
      </c>
      <c r="AT24" s="55"/>
      <c r="AU24" s="55"/>
      <c r="AV24" s="55"/>
      <c r="AW24" s="55"/>
      <c r="AX24" s="57"/>
    </row>
    <row r="25" spans="1:50" ht="36" x14ac:dyDescent="0.2">
      <c r="A25" s="30" t="s">
        <v>47</v>
      </c>
      <c r="B25" s="31">
        <f>SUM(B22,B16)</f>
        <v>0</v>
      </c>
      <c r="C25" s="31">
        <f t="shared" ref="C25:P25" si="21">SUM(C22,C16)</f>
        <v>0</v>
      </c>
      <c r="D25" s="31">
        <f t="shared" si="21"/>
        <v>0</v>
      </c>
      <c r="E25" s="31">
        <f t="shared" si="21"/>
        <v>0</v>
      </c>
      <c r="F25" s="31">
        <f t="shared" si="21"/>
        <v>0</v>
      </c>
      <c r="G25" s="31">
        <f t="shared" si="21"/>
        <v>0</v>
      </c>
      <c r="H25" s="31">
        <f t="shared" si="21"/>
        <v>0</v>
      </c>
      <c r="I25" s="31">
        <f t="shared" si="21"/>
        <v>0</v>
      </c>
      <c r="J25" s="31">
        <f t="shared" si="21"/>
        <v>2155262.3544091568</v>
      </c>
      <c r="K25" s="31">
        <f t="shared" si="21"/>
        <v>2208203.0099999998</v>
      </c>
      <c r="L25" s="31">
        <f t="shared" si="21"/>
        <v>0</v>
      </c>
      <c r="M25" s="31">
        <f>SUM(M22,M16)</f>
        <v>2323118.8899999997</v>
      </c>
      <c r="N25" s="31">
        <f t="shared" si="21"/>
        <v>0</v>
      </c>
      <c r="O25" s="31">
        <f t="shared" si="21"/>
        <v>2532190.83</v>
      </c>
      <c r="P25" s="31">
        <f t="shared" si="21"/>
        <v>0</v>
      </c>
      <c r="Q25" s="31">
        <f>SUM(Q22,Q16)</f>
        <v>2595120.63</v>
      </c>
      <c r="R25" s="31">
        <f>SUM(R22,R16)</f>
        <v>2838535.35</v>
      </c>
      <c r="S25" s="32">
        <f>SUM(S22,S16)</f>
        <v>2964765.1286075152</v>
      </c>
      <c r="T25" s="33"/>
      <c r="U25" s="33"/>
      <c r="V25" s="25" t="s">
        <v>48</v>
      </c>
      <c r="W25" s="54"/>
      <c r="X25" s="54"/>
      <c r="Y25" s="54"/>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8" t="e">
        <f>IF((AW20-AO20)=0, "", (AW20/AO20)^(1/(L2-L1-1))-1)</f>
        <v>#DIV/0!</v>
      </c>
    </row>
    <row r="26" spans="1:50" ht="13.5" thickBot="1" x14ac:dyDescent="0.25">
      <c r="A26" s="59" t="s">
        <v>34</v>
      </c>
      <c r="B26" s="34"/>
      <c r="C26" s="52" t="str">
        <f>IF(ISERROR((C25-B25)/B25), "", (C25-B25)/B25)</f>
        <v/>
      </c>
      <c r="D26" s="34"/>
      <c r="E26" s="52" t="str">
        <f>IF(ISERROR((E25-D25)/D25), "", (E25-D25)/D25)</f>
        <v/>
      </c>
      <c r="F26" s="34"/>
      <c r="G26" s="52" t="str">
        <f>IF(ISERROR((G25-F25)/F25), "", (G25-F25)/F25)</f>
        <v/>
      </c>
      <c r="H26" s="34"/>
      <c r="I26" s="52" t="str">
        <f>IF(ISERROR((I25-H25)/H25), "", (I25-H25)/H25)</f>
        <v/>
      </c>
      <c r="J26" s="34"/>
      <c r="K26" s="52">
        <f>IF(ISERROR((K25-J25)/J25), "", (K25-J25)/J25)</f>
        <v>2.4563439101758951E-2</v>
      </c>
      <c r="L26" s="34"/>
      <c r="M26" s="52" t="str">
        <f>IF(ISERROR((M25-L25)/L25), "", (M25-L25)/L25)</f>
        <v/>
      </c>
      <c r="N26" s="34"/>
      <c r="O26" s="52" t="str">
        <f>IF(ISERROR((O25-N25)/N25), "", (O25-N25)/N25)</f>
        <v/>
      </c>
      <c r="P26" s="34"/>
      <c r="Q26" s="35" t="str">
        <f>IF(ISERROR((Q25-P25)/P25), "", (Q25-P25)/P25)</f>
        <v/>
      </c>
      <c r="R26" s="35" t="str">
        <f>IF(ISERROR((R25-#REF!)/#REF!), "", (R25-#REF!)/#REF!)</f>
        <v/>
      </c>
      <c r="S26" s="60">
        <f>IF(ISERROR((S25-R25)/R25), "", (S25-R25)/R25)</f>
        <v>4.4470039313590067E-2</v>
      </c>
      <c r="T26" s="37"/>
      <c r="U26" s="37"/>
      <c r="V26" s="61" t="e">
        <f>"Compound Growth Rate                                                            (" &amp;#REF! &amp; " vs. " &amp; '[4]LDC Info'!E28 &amp; " Actuals)"</f>
        <v>#REF!</v>
      </c>
      <c r="W26" s="62"/>
      <c r="X26" s="62"/>
      <c r="Y26" s="62"/>
      <c r="Z26" s="63"/>
      <c r="AA26" s="63"/>
      <c r="AB26" s="63"/>
      <c r="AC26" s="63"/>
      <c r="AD26" s="63"/>
      <c r="AE26" s="63"/>
      <c r="AF26" s="63"/>
      <c r="AG26" s="63"/>
      <c r="AH26" s="63"/>
      <c r="AI26" s="63"/>
      <c r="AJ26" s="63"/>
      <c r="AK26" s="63"/>
      <c r="AL26" s="63"/>
      <c r="AM26" s="63"/>
      <c r="AN26" s="63"/>
      <c r="AO26" s="63"/>
      <c r="AP26" s="63"/>
      <c r="AQ26" s="63"/>
      <c r="AR26" s="63"/>
      <c r="AS26" s="64" t="str">
        <f>IF(ISERROR((AS20/AO20)^(1/(L2-L1-3)) - 1), "", (AS20/AO20)^(1/(L2-L1-3)) - 1)</f>
        <v/>
      </c>
      <c r="AT26" s="63"/>
      <c r="AU26" s="63"/>
      <c r="AV26" s="63"/>
      <c r="AW26" s="63"/>
      <c r="AX26" s="65"/>
    </row>
    <row r="27" spans="1:50" x14ac:dyDescent="0.2">
      <c r="A27" s="66"/>
      <c r="B27" s="67"/>
      <c r="C27" s="67"/>
      <c r="D27" s="67"/>
      <c r="E27" s="67"/>
      <c r="F27" s="67"/>
      <c r="G27" s="67"/>
      <c r="H27" s="67"/>
      <c r="I27" s="67"/>
      <c r="J27" s="67"/>
      <c r="K27" s="67"/>
      <c r="L27" s="67"/>
      <c r="M27" s="67"/>
      <c r="N27" s="67"/>
      <c r="O27" s="67"/>
      <c r="P27" s="67"/>
      <c r="Q27" s="68"/>
      <c r="R27" s="68"/>
      <c r="S27" s="67"/>
      <c r="T27" s="69"/>
      <c r="U27" s="69"/>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row>
    <row r="28" spans="1:50" ht="13.5" thickBot="1" x14ac:dyDescent="0.25">
      <c r="A28" s="66"/>
      <c r="B28" s="66"/>
      <c r="C28" s="66"/>
      <c r="D28" s="66"/>
      <c r="E28" s="66"/>
      <c r="F28" s="66"/>
      <c r="G28" s="66"/>
      <c r="H28" s="66"/>
      <c r="I28" s="66"/>
      <c r="J28" s="66"/>
      <c r="K28" s="66"/>
      <c r="L28" s="66"/>
      <c r="M28" s="66"/>
      <c r="N28" s="66"/>
      <c r="O28" s="66"/>
      <c r="P28" s="66"/>
      <c r="Q28" s="66"/>
      <c r="R28" s="66"/>
      <c r="S28" s="66"/>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row>
    <row r="29" spans="1:50" ht="64.5" thickBot="1" x14ac:dyDescent="0.25">
      <c r="T29" s="70"/>
      <c r="U29" s="70"/>
      <c r="V29" s="71"/>
      <c r="W29" s="72" t="str">
        <f>B12</f>
        <v>2010  Board Approved</v>
      </c>
      <c r="X29" s="72" t="str">
        <f>C12</f>
        <v>2010  Actuals</v>
      </c>
      <c r="Y29" s="11" t="s">
        <v>49</v>
      </c>
      <c r="Z29" s="11" t="s">
        <v>50</v>
      </c>
      <c r="AA29" s="11" t="s">
        <v>51</v>
      </c>
      <c r="AB29" s="11" t="s">
        <v>52</v>
      </c>
      <c r="AC29" s="11" t="s">
        <v>53</v>
      </c>
      <c r="AD29" s="11" t="s">
        <v>54</v>
      </c>
      <c r="AE29" s="11" t="s">
        <v>55</v>
      </c>
      <c r="AF29" s="11" t="s">
        <v>56</v>
      </c>
      <c r="AG29" s="11" t="s">
        <v>57</v>
      </c>
      <c r="AH29" s="11" t="s">
        <v>58</v>
      </c>
      <c r="AI29" s="11" t="s">
        <v>59</v>
      </c>
      <c r="AJ29" s="11" t="s">
        <v>60</v>
      </c>
      <c r="AK29" s="11" t="s">
        <v>61</v>
      </c>
      <c r="AL29" s="11" t="s">
        <v>62</v>
      </c>
      <c r="AM29" s="11" t="s">
        <v>63</v>
      </c>
      <c r="AN29" s="11" t="s">
        <v>64</v>
      </c>
      <c r="AO29" s="11" t="s">
        <v>65</v>
      </c>
      <c r="AP29" s="11" t="str">
        <f>BridgeYear -2 &amp; " Actuals"</f>
        <v>2016 Actuals</v>
      </c>
      <c r="AQ29" s="11" t="s">
        <v>66</v>
      </c>
      <c r="AR29" s="11" t="s">
        <v>67</v>
      </c>
      <c r="AS29" s="11" t="str">
        <f>BridgeYear -1 &amp; " Actuals"</f>
        <v>2017 Actuals</v>
      </c>
      <c r="AT29" s="11" t="str">
        <f>BridgeYear &amp; " Bridge Year"</f>
        <v>2018 Bridge Year</v>
      </c>
      <c r="AU29" s="12" t="str">
        <f>TestYear &amp; " Test Year"</f>
        <v>2019 Test Year</v>
      </c>
      <c r="AV29" s="70"/>
      <c r="AW29" s="70"/>
      <c r="AX29" s="70"/>
    </row>
    <row r="30" spans="1:50" x14ac:dyDescent="0.2">
      <c r="T30" s="70"/>
      <c r="U30" s="70"/>
      <c r="V30" s="27" t="s">
        <v>28</v>
      </c>
      <c r="W30" s="73">
        <f t="shared" ref="W30:Z31" si="22">B14</f>
        <v>0</v>
      </c>
      <c r="X30" s="73">
        <f t="shared" si="22"/>
        <v>0</v>
      </c>
      <c r="Y30" s="73">
        <f t="shared" si="22"/>
        <v>0</v>
      </c>
      <c r="Z30" s="73">
        <f t="shared" si="22"/>
        <v>0</v>
      </c>
      <c r="AA30" s="73">
        <f t="shared" ref="AA30:AC31" si="23">E14</f>
        <v>0</v>
      </c>
      <c r="AB30" s="73">
        <f t="shared" si="23"/>
        <v>0</v>
      </c>
      <c r="AC30" s="73">
        <f t="shared" si="23"/>
        <v>0</v>
      </c>
      <c r="AD30" s="73">
        <f t="shared" ref="AD30:AF31" si="24">G14</f>
        <v>0</v>
      </c>
      <c r="AE30" s="73">
        <f t="shared" si="24"/>
        <v>0</v>
      </c>
      <c r="AF30" s="73">
        <f t="shared" si="24"/>
        <v>0</v>
      </c>
      <c r="AG30" s="73">
        <f t="shared" ref="AG30:AI31" si="25">I14</f>
        <v>0</v>
      </c>
      <c r="AH30" s="73">
        <f t="shared" si="25"/>
        <v>532044.4731186768</v>
      </c>
      <c r="AI30" s="73">
        <f t="shared" si="25"/>
        <v>491399.67</v>
      </c>
      <c r="AJ30" s="73">
        <f t="shared" ref="AJ30:AL31" si="26">K14</f>
        <v>491399.67</v>
      </c>
      <c r="AK30" s="73">
        <f t="shared" si="26"/>
        <v>0</v>
      </c>
      <c r="AL30" s="73">
        <f t="shared" si="26"/>
        <v>548539.79999999993</v>
      </c>
      <c r="AM30" s="73">
        <f t="shared" ref="AM30:AO31" si="27">M14</f>
        <v>548539.79999999993</v>
      </c>
      <c r="AN30" s="73">
        <f t="shared" si="27"/>
        <v>0</v>
      </c>
      <c r="AO30" s="73">
        <f t="shared" si="27"/>
        <v>654294.7699999999</v>
      </c>
      <c r="AP30" s="73">
        <f t="shared" ref="AP30:AR31" si="28">O14</f>
        <v>654294.7699999999</v>
      </c>
      <c r="AQ30" s="73">
        <f t="shared" si="28"/>
        <v>0</v>
      </c>
      <c r="AR30" s="73">
        <f t="shared" si="28"/>
        <v>673867.34</v>
      </c>
      <c r="AS30" s="73">
        <f t="shared" ref="AS30:AU31" si="29">Q14</f>
        <v>673867.34</v>
      </c>
      <c r="AT30" s="73">
        <f t="shared" si="29"/>
        <v>658882.70000000007</v>
      </c>
      <c r="AU30" s="73">
        <f t="shared" si="29"/>
        <v>711610.17701706884</v>
      </c>
      <c r="AV30" s="70"/>
      <c r="AW30" s="70"/>
      <c r="AX30" s="70"/>
    </row>
    <row r="31" spans="1:50" x14ac:dyDescent="0.2">
      <c r="T31" s="70"/>
      <c r="U31" s="70"/>
      <c r="V31" s="27" t="s">
        <v>30</v>
      </c>
      <c r="W31" s="73">
        <f t="shared" si="22"/>
        <v>0</v>
      </c>
      <c r="X31" s="73">
        <f t="shared" si="22"/>
        <v>0</v>
      </c>
      <c r="Y31" s="73">
        <f t="shared" si="22"/>
        <v>0</v>
      </c>
      <c r="Z31" s="73">
        <f t="shared" si="22"/>
        <v>0</v>
      </c>
      <c r="AA31" s="73">
        <f t="shared" si="23"/>
        <v>0</v>
      </c>
      <c r="AB31" s="73">
        <f t="shared" si="23"/>
        <v>0</v>
      </c>
      <c r="AC31" s="73">
        <f t="shared" si="23"/>
        <v>0</v>
      </c>
      <c r="AD31" s="73">
        <f t="shared" si="24"/>
        <v>0</v>
      </c>
      <c r="AE31" s="73">
        <f t="shared" si="24"/>
        <v>0</v>
      </c>
      <c r="AF31" s="73">
        <f t="shared" si="24"/>
        <v>0</v>
      </c>
      <c r="AG31" s="73">
        <f t="shared" si="25"/>
        <v>0</v>
      </c>
      <c r="AH31" s="73">
        <f t="shared" si="25"/>
        <v>416132.46238946723</v>
      </c>
      <c r="AI31" s="73">
        <f t="shared" si="25"/>
        <v>412258.79000000004</v>
      </c>
      <c r="AJ31" s="73">
        <f t="shared" si="26"/>
        <v>412258.79000000004</v>
      </c>
      <c r="AK31" s="73">
        <f t="shared" si="26"/>
        <v>0</v>
      </c>
      <c r="AL31" s="73">
        <f t="shared" si="26"/>
        <v>451578.1</v>
      </c>
      <c r="AM31" s="73">
        <f t="shared" si="27"/>
        <v>451578.1</v>
      </c>
      <c r="AN31" s="73">
        <f t="shared" si="27"/>
        <v>0</v>
      </c>
      <c r="AO31" s="73">
        <f t="shared" si="27"/>
        <v>476273.29999999993</v>
      </c>
      <c r="AP31" s="73">
        <f t="shared" si="28"/>
        <v>476273.29999999993</v>
      </c>
      <c r="AQ31" s="73">
        <f t="shared" si="28"/>
        <v>0</v>
      </c>
      <c r="AR31" s="73">
        <f t="shared" si="28"/>
        <v>414736.52</v>
      </c>
      <c r="AS31" s="73">
        <f t="shared" si="29"/>
        <v>414736.52</v>
      </c>
      <c r="AT31" s="73">
        <f t="shared" si="29"/>
        <v>447002.52999999997</v>
      </c>
      <c r="AU31" s="73">
        <f t="shared" si="29"/>
        <v>449790.28194628464</v>
      </c>
      <c r="AV31" s="70"/>
      <c r="AW31" s="70"/>
      <c r="AX31" s="70"/>
    </row>
    <row r="32" spans="1:50" ht="24" x14ac:dyDescent="0.2">
      <c r="T32" s="70"/>
      <c r="U32" s="70"/>
      <c r="V32" s="27" t="s">
        <v>38</v>
      </c>
      <c r="W32" s="73">
        <f t="shared" ref="W32:Z34" si="30">B19</f>
        <v>0</v>
      </c>
      <c r="X32" s="73">
        <f t="shared" si="30"/>
        <v>0</v>
      </c>
      <c r="Y32" s="73">
        <f t="shared" si="30"/>
        <v>0</v>
      </c>
      <c r="Z32" s="73">
        <f t="shared" si="30"/>
        <v>0</v>
      </c>
      <c r="AA32" s="73">
        <f>E19</f>
        <v>0</v>
      </c>
      <c r="AB32" s="73">
        <f t="shared" ref="AB32:AC34" si="31">F19</f>
        <v>0</v>
      </c>
      <c r="AC32" s="73">
        <f t="shared" si="31"/>
        <v>0</v>
      </c>
      <c r="AD32" s="73">
        <f>G19</f>
        <v>0</v>
      </c>
      <c r="AE32" s="73">
        <f t="shared" ref="AE32:AF34" si="32">H19</f>
        <v>0</v>
      </c>
      <c r="AF32" s="73">
        <f t="shared" si="32"/>
        <v>0</v>
      </c>
      <c r="AG32" s="73">
        <f>I19</f>
        <v>0</v>
      </c>
      <c r="AH32" s="73">
        <f t="shared" ref="AH32:AI34" si="33">J19</f>
        <v>534259.55082691566</v>
      </c>
      <c r="AI32" s="73">
        <f t="shared" si="33"/>
        <v>559555.86</v>
      </c>
      <c r="AJ32" s="73">
        <f>K19</f>
        <v>559555.86</v>
      </c>
      <c r="AK32" s="73">
        <f t="shared" ref="AK32:AL34" si="34">L19</f>
        <v>0</v>
      </c>
      <c r="AL32" s="73">
        <f t="shared" si="34"/>
        <v>601149.68000000005</v>
      </c>
      <c r="AM32" s="73">
        <f>M19</f>
        <v>601149.68000000005</v>
      </c>
      <c r="AN32" s="73">
        <f t="shared" ref="AN32:AO34" si="35">N19</f>
        <v>0</v>
      </c>
      <c r="AO32" s="73">
        <f t="shared" si="35"/>
        <v>547187.65</v>
      </c>
      <c r="AP32" s="73">
        <f>O19</f>
        <v>547187.65</v>
      </c>
      <c r="AQ32" s="73">
        <f t="shared" ref="AQ32:AR34" si="36">P19</f>
        <v>0</v>
      </c>
      <c r="AR32" s="73">
        <f t="shared" si="36"/>
        <v>573153.92000000004</v>
      </c>
      <c r="AS32" s="73">
        <f>Q19</f>
        <v>573153.92000000004</v>
      </c>
      <c r="AT32" s="73">
        <f t="shared" ref="AT32:AU34" si="37">R19</f>
        <v>565667.52</v>
      </c>
      <c r="AU32" s="73">
        <f t="shared" si="37"/>
        <v>632867.42046056862</v>
      </c>
      <c r="AV32" s="70"/>
      <c r="AW32" s="70"/>
      <c r="AX32" s="70"/>
    </row>
    <row r="33" spans="1:50" ht="24" x14ac:dyDescent="0.2">
      <c r="T33" s="70"/>
      <c r="U33" s="70"/>
      <c r="V33" s="27" t="s">
        <v>40</v>
      </c>
      <c r="W33" s="73">
        <f t="shared" si="30"/>
        <v>0</v>
      </c>
      <c r="X33" s="73">
        <f t="shared" si="30"/>
        <v>0</v>
      </c>
      <c r="Y33" s="73">
        <f t="shared" si="30"/>
        <v>0</v>
      </c>
      <c r="Z33" s="73">
        <f t="shared" si="30"/>
        <v>0</v>
      </c>
      <c r="AA33" s="73">
        <f>E20</f>
        <v>0</v>
      </c>
      <c r="AB33" s="73">
        <f t="shared" si="31"/>
        <v>0</v>
      </c>
      <c r="AC33" s="73">
        <f t="shared" si="31"/>
        <v>0</v>
      </c>
      <c r="AD33" s="73">
        <f>G20</f>
        <v>0</v>
      </c>
      <c r="AE33" s="73">
        <f t="shared" si="32"/>
        <v>0</v>
      </c>
      <c r="AF33" s="73">
        <f t="shared" si="32"/>
        <v>0</v>
      </c>
      <c r="AG33" s="73">
        <f>I20</f>
        <v>0</v>
      </c>
      <c r="AH33" s="73">
        <f t="shared" si="33"/>
        <v>17800</v>
      </c>
      <c r="AI33" s="73">
        <f t="shared" si="33"/>
        <v>578</v>
      </c>
      <c r="AJ33" s="73">
        <f>K19</f>
        <v>559555.86</v>
      </c>
      <c r="AK33" s="73">
        <f t="shared" si="34"/>
        <v>0</v>
      </c>
      <c r="AL33" s="73">
        <f t="shared" si="34"/>
        <v>757.65</v>
      </c>
      <c r="AM33" s="73">
        <f>M19</f>
        <v>601149.68000000005</v>
      </c>
      <c r="AN33" s="73">
        <f t="shared" si="35"/>
        <v>0</v>
      </c>
      <c r="AO33" s="73">
        <f t="shared" si="35"/>
        <v>9700</v>
      </c>
      <c r="AP33" s="73">
        <f>O20</f>
        <v>9700</v>
      </c>
      <c r="AQ33" s="73">
        <f t="shared" si="36"/>
        <v>0</v>
      </c>
      <c r="AR33" s="73">
        <f t="shared" si="36"/>
        <v>4161.21</v>
      </c>
      <c r="AS33" s="73">
        <f>Q20</f>
        <v>4161.21</v>
      </c>
      <c r="AT33" s="73">
        <f t="shared" si="37"/>
        <v>9477.34</v>
      </c>
      <c r="AU33" s="73">
        <f t="shared" si="37"/>
        <v>11484.753561720259</v>
      </c>
      <c r="AV33" s="70"/>
      <c r="AW33" s="70"/>
      <c r="AX33" s="70"/>
    </row>
    <row r="34" spans="1:50" ht="24" x14ac:dyDescent="0.2">
      <c r="T34" s="70"/>
      <c r="U34" s="70"/>
      <c r="V34" s="27" t="s">
        <v>42</v>
      </c>
      <c r="W34" s="73">
        <f t="shared" si="30"/>
        <v>0</v>
      </c>
      <c r="X34" s="73">
        <f t="shared" si="30"/>
        <v>0</v>
      </c>
      <c r="Y34" s="73">
        <f t="shared" si="30"/>
        <v>0</v>
      </c>
      <c r="Z34" s="73">
        <f t="shared" si="30"/>
        <v>0</v>
      </c>
      <c r="AA34" s="73">
        <f>E21</f>
        <v>0</v>
      </c>
      <c r="AB34" s="73">
        <f t="shared" si="31"/>
        <v>0</v>
      </c>
      <c r="AC34" s="73">
        <f t="shared" si="31"/>
        <v>0</v>
      </c>
      <c r="AD34" s="73">
        <f>G21</f>
        <v>0</v>
      </c>
      <c r="AE34" s="73">
        <f t="shared" si="32"/>
        <v>0</v>
      </c>
      <c r="AF34" s="73">
        <f t="shared" si="32"/>
        <v>0</v>
      </c>
      <c r="AG34" s="73">
        <f>I21</f>
        <v>0</v>
      </c>
      <c r="AH34" s="73">
        <f t="shared" si="33"/>
        <v>655025.86807409697</v>
      </c>
      <c r="AI34" s="73">
        <f t="shared" si="33"/>
        <v>744410.69</v>
      </c>
      <c r="AJ34" s="73">
        <f>K21</f>
        <v>744410.69</v>
      </c>
      <c r="AK34" s="73">
        <f t="shared" si="34"/>
        <v>0</v>
      </c>
      <c r="AL34" s="73">
        <f t="shared" si="34"/>
        <v>721093.65999999992</v>
      </c>
      <c r="AM34" s="73">
        <f>M21</f>
        <v>721093.65999999992</v>
      </c>
      <c r="AN34" s="73">
        <f t="shared" si="35"/>
        <v>0</v>
      </c>
      <c r="AO34" s="73">
        <f t="shared" si="35"/>
        <v>844735.11</v>
      </c>
      <c r="AP34" s="73">
        <f>O21</f>
        <v>844735.11</v>
      </c>
      <c r="AQ34" s="73">
        <f t="shared" si="36"/>
        <v>0</v>
      </c>
      <c r="AR34" s="73">
        <f t="shared" si="36"/>
        <v>929201.6399999999</v>
      </c>
      <c r="AS34" s="73">
        <f>Q21</f>
        <v>929201.6399999999</v>
      </c>
      <c r="AT34" s="73">
        <f t="shared" si="37"/>
        <v>1157505.26</v>
      </c>
      <c r="AU34" s="73">
        <f t="shared" si="37"/>
        <v>1159012.4956218726</v>
      </c>
      <c r="AV34" s="70"/>
      <c r="AW34" s="70"/>
      <c r="AX34" s="70"/>
    </row>
    <row r="35" spans="1:50" x14ac:dyDescent="0.2">
      <c r="T35" s="70"/>
      <c r="U35" s="70"/>
      <c r="V35" s="30" t="s">
        <v>47</v>
      </c>
      <c r="W35" s="31">
        <f>SUM(W30:W34)</f>
        <v>0</v>
      </c>
      <c r="X35" s="31">
        <f t="shared" ref="X35:AU35" si="38">SUM(X30:X34)</f>
        <v>0</v>
      </c>
      <c r="Y35" s="31">
        <f t="shared" si="38"/>
        <v>0</v>
      </c>
      <c r="Z35" s="31">
        <f t="shared" si="38"/>
        <v>0</v>
      </c>
      <c r="AA35" s="31">
        <f t="shared" si="38"/>
        <v>0</v>
      </c>
      <c r="AB35" s="31">
        <f t="shared" si="38"/>
        <v>0</v>
      </c>
      <c r="AC35" s="31">
        <f t="shared" si="38"/>
        <v>0</v>
      </c>
      <c r="AD35" s="31">
        <f t="shared" si="38"/>
        <v>0</v>
      </c>
      <c r="AE35" s="31">
        <f t="shared" si="38"/>
        <v>0</v>
      </c>
      <c r="AF35" s="31">
        <f t="shared" si="38"/>
        <v>0</v>
      </c>
      <c r="AG35" s="31">
        <f t="shared" si="38"/>
        <v>0</v>
      </c>
      <c r="AH35" s="31">
        <f t="shared" si="38"/>
        <v>2155262.3544091564</v>
      </c>
      <c r="AI35" s="31">
        <f t="shared" si="38"/>
        <v>2208203.0099999998</v>
      </c>
      <c r="AJ35" s="31">
        <f t="shared" si="38"/>
        <v>2767180.8699999996</v>
      </c>
      <c r="AK35" s="31">
        <f t="shared" si="38"/>
        <v>0</v>
      </c>
      <c r="AL35" s="31">
        <f t="shared" si="38"/>
        <v>2323118.8899999997</v>
      </c>
      <c r="AM35" s="31">
        <f t="shared" si="38"/>
        <v>2923510.92</v>
      </c>
      <c r="AN35" s="31">
        <f t="shared" si="38"/>
        <v>0</v>
      </c>
      <c r="AO35" s="31">
        <f t="shared" si="38"/>
        <v>2532190.8299999996</v>
      </c>
      <c r="AP35" s="31">
        <f t="shared" si="38"/>
        <v>2532190.8299999996</v>
      </c>
      <c r="AQ35" s="31">
        <f t="shared" si="38"/>
        <v>0</v>
      </c>
      <c r="AR35" s="31">
        <f t="shared" si="38"/>
        <v>2595120.63</v>
      </c>
      <c r="AS35" s="31">
        <f t="shared" si="38"/>
        <v>2595120.63</v>
      </c>
      <c r="AT35" s="31">
        <f t="shared" si="38"/>
        <v>2838535.35</v>
      </c>
      <c r="AU35" s="31">
        <f t="shared" si="38"/>
        <v>2964765.1286075148</v>
      </c>
      <c r="AV35" s="70"/>
      <c r="AW35" s="70"/>
      <c r="AX35" s="70"/>
    </row>
    <row r="36" spans="1:50" ht="24.75" thickBot="1" x14ac:dyDescent="0.25">
      <c r="T36" s="70"/>
      <c r="U36" s="70"/>
      <c r="V36" s="59" t="s">
        <v>34</v>
      </c>
      <c r="W36" s="34"/>
      <c r="X36" s="52" t="str">
        <f>IF(ISERROR((X35-W35)/W35), "", (X35-W35)/W35)</f>
        <v/>
      </c>
      <c r="Y36" s="34"/>
      <c r="Z36" s="52" t="str">
        <f>IF(ISERROR((Z35-Y35)/Y35), "", (Z35-Y35)/Y35)</f>
        <v/>
      </c>
      <c r="AA36" s="52" t="str">
        <f>IF(ISERROR((AA35-X35)/X35), "", (AA35-X35)/X35)</f>
        <v/>
      </c>
      <c r="AB36" s="34"/>
      <c r="AC36" s="52" t="str">
        <f>IF(ISERROR((AC35-AB35)/AB35), "", (AC35-AB35)/AB35)</f>
        <v/>
      </c>
      <c r="AD36" s="52" t="str">
        <f>IF(ISERROR((AD35-AA35)/AA35), "", (AD35-AA35)/AA35)</f>
        <v/>
      </c>
      <c r="AE36" s="34"/>
      <c r="AF36" s="52" t="str">
        <f>IF(ISERROR((AF35-AE35)/AE35), "", (AF35-AE35)/AE35)</f>
        <v/>
      </c>
      <c r="AG36" s="52" t="str">
        <f>IF(ISERROR((AG35-AD35)/AD35), "", (AG35-AD35)/AD35)</f>
        <v/>
      </c>
      <c r="AH36" s="34"/>
      <c r="AI36" s="52">
        <f>IF(ISERROR((AI35-AH35)/AH35), "", (AI35-AH35)/AH35)</f>
        <v>2.4563439101759173E-2</v>
      </c>
      <c r="AJ36" s="52" t="str">
        <f>IF(ISERROR((AJ35-AG35)/AG35), "", (AJ35-AG35)/AG35)</f>
        <v/>
      </c>
      <c r="AK36" s="34"/>
      <c r="AL36" s="52" t="str">
        <f>IF(ISERROR((AL35-AK35)/AK35), "", (AL35-AK35)/AK35)</f>
        <v/>
      </c>
      <c r="AM36" s="52">
        <f>IF(ISERROR((AM35-AJ35)/AJ35), "", (AM35-AJ35)/AJ35)</f>
        <v>5.6494337502412804E-2</v>
      </c>
      <c r="AN36" s="34"/>
      <c r="AO36" s="52" t="str">
        <f>IF(ISERROR((AO35-AN35)/AN35), "", (AO35-AN35)/AN35)</f>
        <v/>
      </c>
      <c r="AP36" s="52">
        <f>IF(ISERROR((AP35-AM35)/AM35), "", (AP35-AM35)/AM35)</f>
        <v>-0.1338527888926101</v>
      </c>
      <c r="AQ36" s="34"/>
      <c r="AR36" s="35" t="str">
        <f>IF(ISERROR((AR35-AQ35)/AQ35), "", (AR35-AQ35)/AQ35)</f>
        <v/>
      </c>
      <c r="AS36" s="35">
        <f>IF(ISERROR((AS35-AP35)/AP35), "", (AS35-AP35)/AP35)</f>
        <v>2.4851918447236575E-2</v>
      </c>
      <c r="AT36" s="35">
        <f>IF(ISERROR((AT35-AS35)/AS35), "", (AT35-AS35)/AS35)</f>
        <v>9.379707331755141E-2</v>
      </c>
      <c r="AU36" s="60">
        <f>IF(ISERROR((AU35-AT35)/AT35), "", (AU35-AT35)/AT35)</f>
        <v>4.4470039313589907E-2</v>
      </c>
      <c r="AV36" s="70"/>
      <c r="AW36" s="70"/>
      <c r="AX36" s="70"/>
    </row>
    <row r="37" spans="1:50"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row>
    <row r="38" spans="1:50" x14ac:dyDescent="0.2">
      <c r="A38" s="74" t="s">
        <v>68</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row>
    <row r="39" spans="1:50" x14ac:dyDescent="0.2">
      <c r="A39" s="74"/>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row>
    <row r="40" spans="1:50" s="75" customFormat="1" ht="12.75" customHeight="1" x14ac:dyDescent="0.2">
      <c r="A40" s="137" t="s">
        <v>69</v>
      </c>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row>
    <row r="41" spans="1:50" x14ac:dyDescent="0.2">
      <c r="A41" s="133" t="s">
        <v>70</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row>
    <row r="42" spans="1:50" x14ac:dyDescent="0.2">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row>
    <row r="43" spans="1:50" x14ac:dyDescent="0.2">
      <c r="A43" s="77"/>
      <c r="B43" s="76"/>
      <c r="C43" s="76"/>
      <c r="D43" s="76"/>
      <c r="E43" s="76"/>
      <c r="F43" s="76"/>
      <c r="G43" s="76"/>
      <c r="H43" s="76"/>
      <c r="I43" s="76"/>
      <c r="J43" s="76"/>
      <c r="K43" s="76"/>
      <c r="L43" s="76"/>
      <c r="M43" s="76"/>
      <c r="N43" s="76"/>
      <c r="O43" s="76"/>
      <c r="P43" s="76"/>
      <c r="Q43" s="76"/>
      <c r="R43" s="76"/>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row>
    <row r="44" spans="1:50" x14ac:dyDescent="0.2">
      <c r="B44" s="134"/>
      <c r="C44" s="134"/>
      <c r="D44" s="134"/>
      <c r="E44" s="134"/>
      <c r="F44" s="134"/>
      <c r="G44" s="134"/>
      <c r="H44" s="134"/>
      <c r="I44" s="134"/>
      <c r="J44" s="134"/>
      <c r="K44" s="134"/>
      <c r="L44" s="134"/>
      <c r="M44" s="134"/>
      <c r="N44" s="134"/>
      <c r="O44" s="134"/>
      <c r="P44" s="134"/>
      <c r="Q44" s="134"/>
      <c r="R44" s="134"/>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row>
    <row r="45" spans="1:50" x14ac:dyDescent="0.2">
      <c r="A45" s="78"/>
      <c r="B45" s="134"/>
      <c r="C45" s="134"/>
      <c r="D45" s="134"/>
      <c r="E45" s="134"/>
      <c r="F45" s="134"/>
      <c r="G45" s="134"/>
      <c r="H45" s="134"/>
      <c r="I45" s="134"/>
      <c r="J45" s="134"/>
      <c r="K45" s="134"/>
      <c r="L45" s="134"/>
      <c r="M45" s="134"/>
      <c r="N45" s="134"/>
      <c r="O45" s="134"/>
      <c r="P45" s="134"/>
      <c r="Q45" s="134"/>
      <c r="R45" s="134"/>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row>
    <row r="46" spans="1:50"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row>
    <row r="47" spans="1:50"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row>
    <row r="48" spans="1:50"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row>
    <row r="49" spans="1:50"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row>
    <row r="50" spans="1:50"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row>
    <row r="51" spans="1:50"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row>
    <row r="52" spans="1:50"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row>
    <row r="53" spans="1:50"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row>
    <row r="54" spans="1:50"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row>
    <row r="55" spans="1:50"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row>
    <row r="56" spans="1:50"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row>
    <row r="57" spans="1:50"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row>
    <row r="58" spans="1:50"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row>
    <row r="59" spans="1:50"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row>
    <row r="60" spans="1:50"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row>
    <row r="61" spans="1:50"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row>
    <row r="62" spans="1:50"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row>
    <row r="63" spans="1:50"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row>
    <row r="64" spans="1:50"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row>
    <row r="65" spans="1:50"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row>
    <row r="66" spans="1:50"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row>
    <row r="67" spans="1:50"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row>
    <row r="68" spans="1:50"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row>
    <row r="69" spans="1:50"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row>
    <row r="70" spans="1:50"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row>
    <row r="71" spans="1:50"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row>
    <row r="72" spans="1:50"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row>
    <row r="73" spans="1:50"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row>
    <row r="74" spans="1:50"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row>
    <row r="75" spans="1:50"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row>
    <row r="76" spans="1:50"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row>
    <row r="77" spans="1:50"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row>
    <row r="78" spans="1:50"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row>
    <row r="79" spans="1:50"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row>
    <row r="80" spans="1:50"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row>
    <row r="81" spans="1:50" x14ac:dyDescent="0.2">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row>
    <row r="82" spans="1:50" x14ac:dyDescent="0.2">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row>
    <row r="83" spans="1:50" x14ac:dyDescent="0.2">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row>
    <row r="84" spans="1:50" x14ac:dyDescent="0.2">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row>
    <row r="85" spans="1:50" x14ac:dyDescent="0.2">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row>
    <row r="86" spans="1:50" x14ac:dyDescent="0.2">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row>
    <row r="87" spans="1:50" x14ac:dyDescent="0.2">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row>
    <row r="88" spans="1:50" x14ac:dyDescent="0.2">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row>
    <row r="89" spans="1:50" x14ac:dyDescent="0.2">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row>
    <row r="90" spans="1:50" x14ac:dyDescent="0.2">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row>
    <row r="91" spans="1:50" x14ac:dyDescent="0.2">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row>
    <row r="92" spans="1:50" x14ac:dyDescent="0.2">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row>
    <row r="93" spans="1:50" x14ac:dyDescent="0.2">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row>
    <row r="94" spans="1:50" x14ac:dyDescent="0.2">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row>
    <row r="95" spans="1:50" x14ac:dyDescent="0.2">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row>
    <row r="96" spans="1:50" x14ac:dyDescent="0.2">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row>
    <row r="97" spans="1:50" x14ac:dyDescent="0.2">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row>
    <row r="98" spans="1:50" x14ac:dyDescent="0.2">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row>
    <row r="99" spans="1:50" x14ac:dyDescent="0.2">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row>
    <row r="100" spans="1:50" x14ac:dyDescent="0.2">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row>
    <row r="101" spans="1:50" x14ac:dyDescent="0.2">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row>
    <row r="102" spans="1:50" x14ac:dyDescent="0.2">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row>
    <row r="103" spans="1:50" x14ac:dyDescent="0.2">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row>
    <row r="104" spans="1:50" x14ac:dyDescent="0.2">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row>
    <row r="105" spans="1:50" x14ac:dyDescent="0.2">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row>
    <row r="106" spans="1:50" x14ac:dyDescent="0.2">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row>
    <row r="107" spans="1:50" x14ac:dyDescent="0.2">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row>
    <row r="108" spans="1:50" x14ac:dyDescent="0.2">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row>
    <row r="109" spans="1:50" x14ac:dyDescent="0.2">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row>
    <row r="110" spans="1:50" x14ac:dyDescent="0.2">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row>
    <row r="111" spans="1:50" x14ac:dyDescent="0.2">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row>
    <row r="112" spans="1:50" x14ac:dyDescent="0.2">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row>
    <row r="113" spans="1:50" x14ac:dyDescent="0.2">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row>
    <row r="114" spans="1:50" x14ac:dyDescent="0.2">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row>
  </sheetData>
  <sheetProtection algorithmName="SHA-512" hashValue="/1M1PYeFJWNalQcbjZwgM9pbGip7XEwALjH4NSCigr3rvHhUfSnUVfikKZicrAv9qR0LWdS1u+iW0/rFQ2bjRg==" saltValue="RdLKp3odHk5iTmkFN9q0SA==" spinCount="100000" sheet="1" objects="1" scenarios="1"/>
  <mergeCells count="24">
    <mergeCell ref="A9:S9"/>
    <mergeCell ref="A10:S10"/>
    <mergeCell ref="B11:C11"/>
    <mergeCell ref="D11:E11"/>
    <mergeCell ref="F11:G11"/>
    <mergeCell ref="H11:I11"/>
    <mergeCell ref="J11:K11"/>
    <mergeCell ref="L11:M11"/>
    <mergeCell ref="N11:O11"/>
    <mergeCell ref="P11:Q11"/>
    <mergeCell ref="A41:AX41"/>
    <mergeCell ref="B44:R45"/>
    <mergeCell ref="AO11:AQ11"/>
    <mergeCell ref="AR11:AT11"/>
    <mergeCell ref="AU11:AV11"/>
    <mergeCell ref="AW11:AX11"/>
    <mergeCell ref="T12:U12"/>
    <mergeCell ref="A40:AX40"/>
    <mergeCell ref="W11:Y11"/>
    <mergeCell ref="Z11:AB11"/>
    <mergeCell ref="AC11:AE11"/>
    <mergeCell ref="AF11:AH11"/>
    <mergeCell ref="AI11:AK11"/>
    <mergeCell ref="AL11:AN11"/>
  </mergeCells>
  <conditionalFormatting sqref="B14:B15 B19:B21">
    <cfRule type="expression" dxfId="19" priority="20">
      <formula>$T$1=$B$11</formula>
    </cfRule>
  </conditionalFormatting>
  <conditionalFormatting sqref="D14:D15 D19:D21">
    <cfRule type="expression" dxfId="18" priority="19">
      <formula>$T$1=$D$11</formula>
    </cfRule>
  </conditionalFormatting>
  <conditionalFormatting sqref="F14:F15 F19:F21">
    <cfRule type="expression" dxfId="17" priority="18">
      <formula>$T$1=$F$11</formula>
    </cfRule>
  </conditionalFormatting>
  <conditionalFormatting sqref="H14:H15 H19:H21">
    <cfRule type="expression" dxfId="16" priority="17">
      <formula>$T$1=$H$11</formula>
    </cfRule>
  </conditionalFormatting>
  <conditionalFormatting sqref="L14:L15 L19:L21">
    <cfRule type="expression" dxfId="15" priority="16">
      <formula>$T$1=$L$11</formula>
    </cfRule>
  </conditionalFormatting>
  <conditionalFormatting sqref="N14:N15 N19:N21">
    <cfRule type="expression" dxfId="14" priority="15">
      <formula>$T$1=$N$11</formula>
    </cfRule>
  </conditionalFormatting>
  <conditionalFormatting sqref="P14:P15 P19:P21">
    <cfRule type="expression" dxfId="13" priority="14">
      <formula>$T$1=$P$11</formula>
    </cfRule>
  </conditionalFormatting>
  <conditionalFormatting sqref="C14:C15 C19:C21">
    <cfRule type="expression" dxfId="12" priority="13">
      <formula>$B$11&gt;=$T$1</formula>
    </cfRule>
  </conditionalFormatting>
  <conditionalFormatting sqref="E14:E15 E19:E21">
    <cfRule type="expression" dxfId="11" priority="12">
      <formula>$D$11&gt;=$T$1</formula>
    </cfRule>
  </conditionalFormatting>
  <conditionalFormatting sqref="G14:G15 G19:G21">
    <cfRule type="expression" dxfId="10" priority="11">
      <formula>$F$11&gt;=$T$1</formula>
    </cfRule>
  </conditionalFormatting>
  <conditionalFormatting sqref="I14:I15 I19:I21">
    <cfRule type="expression" dxfId="9" priority="10">
      <formula>$H$11&gt;=$T$1</formula>
    </cfRule>
  </conditionalFormatting>
  <conditionalFormatting sqref="K14:K15 K19:K21">
    <cfRule type="expression" dxfId="8" priority="9">
      <formula>$J$11&gt;=$T$1</formula>
    </cfRule>
  </conditionalFormatting>
  <conditionalFormatting sqref="O14:O15 O19:O21">
    <cfRule type="expression" dxfId="7" priority="8">
      <formula>$N$11&gt;=$T$1</formula>
    </cfRule>
  </conditionalFormatting>
  <conditionalFormatting sqref="Q14:S15 Q19:S21">
    <cfRule type="expression" dxfId="6" priority="7">
      <formula>$P$11&gt;=$T$1</formula>
    </cfRule>
  </conditionalFormatting>
  <conditionalFormatting sqref="M14">
    <cfRule type="expression" dxfId="5" priority="6">
      <formula>$J$11&gt;=$T$1</formula>
    </cfRule>
  </conditionalFormatting>
  <conditionalFormatting sqref="M15">
    <cfRule type="expression" dxfId="4" priority="5">
      <formula>$J$11&gt;=$T$1</formula>
    </cfRule>
  </conditionalFormatting>
  <conditionalFormatting sqref="M19:M21">
    <cfRule type="expression" dxfId="3" priority="4">
      <formula>$J$11&gt;=$T$1</formula>
    </cfRule>
  </conditionalFormatting>
  <conditionalFormatting sqref="J14">
    <cfRule type="expression" dxfId="2" priority="3">
      <formula>$J$11&gt;=$T$1</formula>
    </cfRule>
  </conditionalFormatting>
  <conditionalFormatting sqref="J15">
    <cfRule type="expression" dxfId="1" priority="2">
      <formula>$J$11&gt;=$T$1</formula>
    </cfRule>
  </conditionalFormatting>
  <conditionalFormatting sqref="J19:J21">
    <cfRule type="expression" dxfId="0" priority="1">
      <formula>$J$11&gt;=$T$1</formula>
    </cfRule>
  </conditionalFormatting>
  <dataValidations count="2">
    <dataValidation type="list" allowBlank="1" showInputMessage="1" showErrorMessage="1" sqref="B13:S13">
      <formula1>"CGAAP, MIFRS, USGAAP, ASPE"</formula1>
    </dataValidation>
    <dataValidation allowBlank="1" showInputMessage="1" showErrorMessage="1" promptTitle="Date Format" prompt="E.g:  &quot;August 1, 2011&quot;" sqref="S7"/>
  </dataValidations>
  <pageMargins left="0.75" right="0.75" top="1" bottom="1" header="0.5" footer="0.5"/>
  <pageSetup scale="11" fitToHeight="0"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39997558519241921"/>
    <pageSetUpPr fitToPage="1"/>
  </sheetPr>
  <dimension ref="A1:M49"/>
  <sheetViews>
    <sheetView showGridLines="0" zoomScaleNormal="100" workbookViewId="0">
      <selection activeCell="E21" sqref="E21"/>
    </sheetView>
  </sheetViews>
  <sheetFormatPr defaultColWidth="9.28515625" defaultRowHeight="12.75" x14ac:dyDescent="0.2"/>
  <cols>
    <col min="1" max="1" width="38.140625" style="79" bestFit="1" customWidth="1"/>
    <col min="2" max="2" width="17.7109375" style="79" customWidth="1"/>
    <col min="3" max="3" width="17.7109375" style="79" hidden="1" customWidth="1"/>
    <col min="4" max="6" width="17.7109375" style="79" customWidth="1"/>
    <col min="7" max="7" width="17.28515625" style="79" customWidth="1"/>
    <col min="8" max="16384" width="9.28515625" style="79"/>
  </cols>
  <sheetData>
    <row r="1" spans="1:13" x14ac:dyDescent="0.2">
      <c r="E1" s="80" t="s">
        <v>0</v>
      </c>
      <c r="F1" s="81" t="s">
        <v>150</v>
      </c>
    </row>
    <row r="2" spans="1:13" x14ac:dyDescent="0.2">
      <c r="E2" s="80" t="s">
        <v>3</v>
      </c>
      <c r="F2" s="82"/>
    </row>
    <row r="3" spans="1:13" x14ac:dyDescent="0.2">
      <c r="E3" s="80" t="s">
        <v>6</v>
      </c>
      <c r="F3" s="82"/>
    </row>
    <row r="4" spans="1:13" x14ac:dyDescent="0.2">
      <c r="F4" s="80" t="s">
        <v>10</v>
      </c>
      <c r="G4" s="82"/>
    </row>
    <row r="5" spans="1:13" x14ac:dyDescent="0.2">
      <c r="F5" s="80" t="s">
        <v>13</v>
      </c>
      <c r="G5" s="83"/>
    </row>
    <row r="6" spans="1:13" x14ac:dyDescent="0.2">
      <c r="F6" s="80"/>
      <c r="G6" s="81"/>
    </row>
    <row r="7" spans="1:13" x14ac:dyDescent="0.2">
      <c r="F7" s="80" t="s">
        <v>18</v>
      </c>
      <c r="G7" s="83"/>
    </row>
    <row r="8" spans="1:13" x14ac:dyDescent="0.2">
      <c r="F8" s="84"/>
    </row>
    <row r="9" spans="1:13" x14ac:dyDescent="0.2">
      <c r="F9" s="84"/>
    </row>
    <row r="10" spans="1:13" ht="18" x14ac:dyDescent="0.25">
      <c r="A10" s="140" t="s">
        <v>71</v>
      </c>
      <c r="B10" s="140"/>
      <c r="C10" s="140"/>
      <c r="D10" s="140"/>
      <c r="E10" s="140"/>
      <c r="F10" s="140"/>
    </row>
    <row r="11" spans="1:13" ht="18" x14ac:dyDescent="0.25">
      <c r="A11" s="140" t="str">
        <f>"Recoverable OM&amp;A Cost Driver Table" &amp; CHAR(185)&amp;CHAR(183)&amp;CHAR(179)</f>
        <v>Recoverable OM&amp;A Cost Driver Table¹·³</v>
      </c>
      <c r="B11" s="140"/>
      <c r="C11" s="140"/>
      <c r="D11" s="140"/>
      <c r="E11" s="140"/>
      <c r="F11" s="140"/>
    </row>
    <row r="12" spans="1:13" ht="13.5" thickBot="1" x14ac:dyDescent="0.25"/>
    <row r="13" spans="1:13" ht="43.5" customHeight="1" thickBot="1" x14ac:dyDescent="0.25">
      <c r="A13" s="85" t="s">
        <v>72</v>
      </c>
      <c r="B13" s="86" t="s">
        <v>59</v>
      </c>
      <c r="C13" s="86" t="s">
        <v>63</v>
      </c>
      <c r="D13" s="86" t="s">
        <v>146</v>
      </c>
      <c r="E13" s="86" t="s">
        <v>147</v>
      </c>
      <c r="F13" s="86" t="s">
        <v>148</v>
      </c>
      <c r="G13" s="87" t="s">
        <v>149</v>
      </c>
    </row>
    <row r="14" spans="1:13" ht="13.5" thickBot="1" x14ac:dyDescent="0.25">
      <c r="A14" s="88" t="s">
        <v>27</v>
      </c>
      <c r="B14" s="16"/>
      <c r="C14" s="16"/>
      <c r="D14" s="16"/>
      <c r="E14" s="16"/>
      <c r="F14" s="16"/>
      <c r="G14" s="17"/>
      <c r="M14" s="89"/>
    </row>
    <row r="15" spans="1:13" ht="13.5" thickBot="1" x14ac:dyDescent="0.25">
      <c r="A15" s="90" t="str">
        <f>"Opening Balance" &amp; CHAR(178)</f>
        <v>Opening Balance²</v>
      </c>
      <c r="B15" s="91">
        <v>2155262.3544091564</v>
      </c>
      <c r="C15" s="92">
        <f>B40</f>
        <v>2208203.3544091564</v>
      </c>
      <c r="D15" s="92">
        <f>C40</f>
        <v>2323119.1935391566</v>
      </c>
      <c r="E15" s="92">
        <f>D40</f>
        <v>2532191.3335591564</v>
      </c>
      <c r="F15" s="92">
        <f>E40</f>
        <v>2595121.3868391565</v>
      </c>
      <c r="G15" s="92">
        <f>F40</f>
        <v>2838535.1068391567</v>
      </c>
    </row>
    <row r="16" spans="1:13" x14ac:dyDescent="0.2">
      <c r="A16" s="93" t="s">
        <v>152</v>
      </c>
      <c r="B16" s="94"/>
      <c r="C16" s="94"/>
      <c r="D16" s="94"/>
      <c r="E16" s="94"/>
      <c r="F16" s="94"/>
      <c r="G16" s="94"/>
    </row>
    <row r="17" spans="1:7" x14ac:dyDescent="0.2">
      <c r="A17" s="93" t="s">
        <v>73</v>
      </c>
      <c r="B17" s="94">
        <v>0</v>
      </c>
      <c r="C17" s="94">
        <v>42767</v>
      </c>
      <c r="D17" s="94">
        <v>69517</v>
      </c>
      <c r="E17" s="94">
        <v>71121</v>
      </c>
      <c r="F17" s="94">
        <v>42850</v>
      </c>
      <c r="G17" s="94">
        <v>43707</v>
      </c>
    </row>
    <row r="18" spans="1:7" x14ac:dyDescent="0.2">
      <c r="A18" s="93" t="s">
        <v>74</v>
      </c>
      <c r="B18" s="94">
        <v>0</v>
      </c>
      <c r="C18" s="94">
        <v>11286.639129999996</v>
      </c>
      <c r="D18" s="94">
        <v>17696.140019999992</v>
      </c>
      <c r="E18" s="94">
        <v>17315.05328</v>
      </c>
      <c r="F18" s="94">
        <v>9046.0893037646874</v>
      </c>
      <c r="G18" s="94">
        <v>20720.617722775554</v>
      </c>
    </row>
    <row r="19" spans="1:7" x14ac:dyDescent="0.2">
      <c r="A19" s="93" t="s">
        <v>75</v>
      </c>
      <c r="B19" s="94">
        <v>-100000</v>
      </c>
      <c r="C19" s="94">
        <v>0</v>
      </c>
      <c r="D19" s="94">
        <v>31780</v>
      </c>
      <c r="E19" s="94">
        <v>67541</v>
      </c>
      <c r="F19" s="94">
        <v>42000</v>
      </c>
      <c r="G19" s="94">
        <v>0</v>
      </c>
    </row>
    <row r="20" spans="1:7" x14ac:dyDescent="0.2">
      <c r="A20" s="93" t="s">
        <v>76</v>
      </c>
      <c r="B20" s="94">
        <v>0</v>
      </c>
      <c r="C20" s="94">
        <v>26000</v>
      </c>
      <c r="D20" s="94">
        <v>0</v>
      </c>
      <c r="E20" s="94">
        <v>0</v>
      </c>
      <c r="F20" s="94">
        <v>0</v>
      </c>
      <c r="G20" s="94">
        <v>0</v>
      </c>
    </row>
    <row r="21" spans="1:7" x14ac:dyDescent="0.2">
      <c r="A21" s="93" t="s">
        <v>77</v>
      </c>
      <c r="B21" s="94">
        <v>0</v>
      </c>
      <c r="C21" s="94">
        <v>0</v>
      </c>
      <c r="D21" s="94">
        <v>0</v>
      </c>
      <c r="E21" s="94">
        <v>25000</v>
      </c>
      <c r="F21" s="94">
        <v>5000</v>
      </c>
      <c r="G21" s="94">
        <v>0</v>
      </c>
    </row>
    <row r="22" spans="1:7" x14ac:dyDescent="0.2">
      <c r="A22" s="93" t="s">
        <v>78</v>
      </c>
      <c r="B22" s="94">
        <v>0</v>
      </c>
      <c r="C22" s="94">
        <v>0</v>
      </c>
      <c r="D22" s="94">
        <v>0</v>
      </c>
      <c r="E22" s="94">
        <v>25000</v>
      </c>
      <c r="F22" s="94">
        <v>0</v>
      </c>
      <c r="G22" s="94">
        <v>0</v>
      </c>
    </row>
    <row r="23" spans="1:7" x14ac:dyDescent="0.2">
      <c r="A23" s="93" t="s">
        <v>79</v>
      </c>
      <c r="B23" s="94">
        <v>0</v>
      </c>
      <c r="C23" s="94">
        <v>22300</v>
      </c>
      <c r="D23" s="94">
        <v>4700</v>
      </c>
      <c r="E23" s="94">
        <v>0</v>
      </c>
      <c r="F23" s="94">
        <v>0</v>
      </c>
      <c r="G23" s="94">
        <v>0</v>
      </c>
    </row>
    <row r="24" spans="1:7" x14ac:dyDescent="0.2">
      <c r="A24" s="93" t="s">
        <v>80</v>
      </c>
      <c r="B24" s="94">
        <v>75445</v>
      </c>
      <c r="C24" s="94"/>
      <c r="D24" s="94"/>
      <c r="E24" s="94"/>
      <c r="F24" s="94"/>
      <c r="G24" s="94"/>
    </row>
    <row r="25" spans="1:7" x14ac:dyDescent="0.2">
      <c r="A25" s="93" t="s">
        <v>153</v>
      </c>
      <c r="B25" s="95"/>
      <c r="C25" s="95"/>
      <c r="D25" s="95"/>
      <c r="E25" s="95"/>
      <c r="F25" s="95"/>
      <c r="G25" s="95"/>
    </row>
    <row r="26" spans="1:7" x14ac:dyDescent="0.2">
      <c r="A26" s="93" t="s">
        <v>81</v>
      </c>
      <c r="B26" s="95">
        <v>0</v>
      </c>
      <c r="C26" s="95">
        <v>-82845</v>
      </c>
      <c r="D26" s="95">
        <v>56124</v>
      </c>
      <c r="E26" s="95">
        <v>19736</v>
      </c>
      <c r="F26" s="95">
        <v>103129</v>
      </c>
      <c r="G26" s="95">
        <v>1316</v>
      </c>
    </row>
    <row r="27" spans="1:7" x14ac:dyDescent="0.2">
      <c r="A27" s="93" t="s">
        <v>82</v>
      </c>
      <c r="B27" s="95">
        <v>0</v>
      </c>
      <c r="C27" s="95">
        <v>15000</v>
      </c>
      <c r="D27" s="95">
        <v>13000</v>
      </c>
      <c r="E27" s="95">
        <v>-36000</v>
      </c>
      <c r="F27" s="95">
        <v>-23500</v>
      </c>
      <c r="G27" s="95">
        <v>18000</v>
      </c>
    </row>
    <row r="28" spans="1:7" x14ac:dyDescent="0.2">
      <c r="A28" s="93" t="s">
        <v>83</v>
      </c>
      <c r="B28" s="95">
        <v>0</v>
      </c>
      <c r="C28" s="95">
        <v>23500</v>
      </c>
      <c r="D28" s="95">
        <v>0</v>
      </c>
      <c r="E28" s="95">
        <v>-40000</v>
      </c>
      <c r="F28" s="95">
        <v>46000</v>
      </c>
      <c r="G28" s="95">
        <v>0</v>
      </c>
    </row>
    <row r="29" spans="1:7" x14ac:dyDescent="0.2">
      <c r="A29" s="93" t="s">
        <v>84</v>
      </c>
      <c r="B29" s="95">
        <v>0</v>
      </c>
      <c r="C29" s="95">
        <v>30000</v>
      </c>
      <c r="D29" s="95">
        <v>-17000</v>
      </c>
      <c r="E29" s="95">
        <v>0</v>
      </c>
      <c r="F29" s="95">
        <v>0</v>
      </c>
      <c r="G29" s="95">
        <v>0</v>
      </c>
    </row>
    <row r="30" spans="1:7" x14ac:dyDescent="0.2">
      <c r="A30" s="93"/>
      <c r="B30" s="95"/>
      <c r="C30" s="95"/>
      <c r="D30" s="95"/>
      <c r="E30" s="95"/>
      <c r="F30" s="95"/>
      <c r="G30" s="95"/>
    </row>
    <row r="31" spans="1:7" x14ac:dyDescent="0.2">
      <c r="A31" s="93" t="s">
        <v>154</v>
      </c>
      <c r="B31" s="96"/>
      <c r="C31" s="95"/>
      <c r="D31" s="95"/>
      <c r="E31" s="95"/>
      <c r="F31" s="95"/>
      <c r="G31" s="95"/>
    </row>
    <row r="32" spans="1:7" x14ac:dyDescent="0.2">
      <c r="A32" s="93" t="s">
        <v>85</v>
      </c>
      <c r="B32" s="95">
        <v>52941</v>
      </c>
      <c r="C32" s="95">
        <v>-42352.800000000003</v>
      </c>
      <c r="D32" s="95">
        <v>0</v>
      </c>
      <c r="E32" s="95">
        <v>0</v>
      </c>
      <c r="F32" s="95">
        <v>0</v>
      </c>
      <c r="G32" s="95">
        <v>33800</v>
      </c>
    </row>
    <row r="33" spans="1:7" x14ac:dyDescent="0.2">
      <c r="A33" s="93" t="s">
        <v>86</v>
      </c>
      <c r="B33" s="95">
        <v>0</v>
      </c>
      <c r="C33" s="95">
        <v>42000</v>
      </c>
      <c r="D33" s="95">
        <v>-42000</v>
      </c>
      <c r="E33" s="95">
        <v>0</v>
      </c>
      <c r="F33" s="95">
        <v>0</v>
      </c>
      <c r="G33" s="95">
        <v>0</v>
      </c>
    </row>
    <row r="34" spans="1:7" x14ac:dyDescent="0.2">
      <c r="A34" s="93" t="s">
        <v>87</v>
      </c>
      <c r="B34" s="95">
        <v>0</v>
      </c>
      <c r="C34" s="95">
        <v>0</v>
      </c>
      <c r="D34" s="95">
        <v>100000</v>
      </c>
      <c r="E34" s="95">
        <v>-100000</v>
      </c>
      <c r="F34" s="95">
        <v>0</v>
      </c>
      <c r="G34" s="95">
        <v>0</v>
      </c>
    </row>
    <row r="35" spans="1:7" x14ac:dyDescent="0.2">
      <c r="A35" s="93" t="s">
        <v>88</v>
      </c>
      <c r="B35" s="95">
        <v>0</v>
      </c>
      <c r="C35" s="95">
        <v>30490</v>
      </c>
      <c r="D35" s="95">
        <v>-11942</v>
      </c>
      <c r="E35" s="95">
        <v>-18548</v>
      </c>
      <c r="F35" s="95">
        <v>25000</v>
      </c>
      <c r="G35" s="95">
        <v>0</v>
      </c>
    </row>
    <row r="36" spans="1:7" x14ac:dyDescent="0.2">
      <c r="A36" s="93"/>
      <c r="B36" s="95"/>
      <c r="C36" s="95"/>
      <c r="D36" s="95"/>
      <c r="E36" s="95"/>
      <c r="F36" s="95"/>
      <c r="G36" s="95"/>
    </row>
    <row r="37" spans="1:7" x14ac:dyDescent="0.2">
      <c r="A37" s="93" t="s">
        <v>132</v>
      </c>
      <c r="B37" s="95">
        <v>24555</v>
      </c>
      <c r="C37" s="95">
        <v>-3230</v>
      </c>
      <c r="D37" s="95">
        <v>-12803</v>
      </c>
      <c r="E37" s="95">
        <v>31765</v>
      </c>
      <c r="F37" s="95">
        <v>-6111.3693037643097</v>
      </c>
      <c r="G37" s="95">
        <v>8686.1608847398311</v>
      </c>
    </row>
    <row r="38" spans="1:7" x14ac:dyDescent="0.2">
      <c r="A38" s="97" t="s">
        <v>89</v>
      </c>
      <c r="B38" s="95"/>
      <c r="C38" s="95"/>
      <c r="D38" s="95"/>
      <c r="E38" s="95"/>
      <c r="F38" s="95"/>
      <c r="G38" s="98"/>
    </row>
    <row r="39" spans="1:7" ht="13.5" thickBot="1" x14ac:dyDescent="0.25">
      <c r="A39" s="99"/>
      <c r="B39" s="100"/>
      <c r="C39" s="101"/>
      <c r="D39" s="101"/>
      <c r="E39" s="101"/>
      <c r="F39" s="101"/>
      <c r="G39" s="102"/>
    </row>
    <row r="40" spans="1:7" ht="14.25" thickTop="1" thickBot="1" x14ac:dyDescent="0.25">
      <c r="A40" s="103" t="str">
        <f>"Closing Balance"&amp;CHAR(178)</f>
        <v>Closing Balance²</v>
      </c>
      <c r="B40" s="104">
        <f t="shared" ref="B40:G40" si="0">SUM(B15:B39)</f>
        <v>2208203.3544091564</v>
      </c>
      <c r="C40" s="105">
        <f t="shared" si="0"/>
        <v>2323119.1935391566</v>
      </c>
      <c r="D40" s="105">
        <f t="shared" si="0"/>
        <v>2532191.3335591564</v>
      </c>
      <c r="E40" s="105">
        <f t="shared" si="0"/>
        <v>2595121.3868391565</v>
      </c>
      <c r="F40" s="105">
        <f t="shared" si="0"/>
        <v>2838535.1068391567</v>
      </c>
      <c r="G40" s="106">
        <f t="shared" si="0"/>
        <v>2964764.8854466723</v>
      </c>
    </row>
    <row r="42" spans="1:7" x14ac:dyDescent="0.2">
      <c r="A42" s="107" t="s">
        <v>90</v>
      </c>
    </row>
    <row r="43" spans="1:7" x14ac:dyDescent="0.2">
      <c r="A43" s="108"/>
    </row>
    <row r="44" spans="1:7" x14ac:dyDescent="0.2">
      <c r="A44" s="109">
        <v>1</v>
      </c>
      <c r="B44" s="141" t="s">
        <v>91</v>
      </c>
      <c r="C44" s="141"/>
      <c r="D44" s="141"/>
      <c r="E44" s="141"/>
      <c r="F44" s="141"/>
      <c r="G44" s="141"/>
    </row>
    <row r="45" spans="1:7" ht="26.25" customHeight="1" x14ac:dyDescent="0.2">
      <c r="A45" s="110">
        <v>2</v>
      </c>
      <c r="B45" s="141" t="s">
        <v>92</v>
      </c>
      <c r="C45" s="141"/>
      <c r="D45" s="141"/>
      <c r="E45" s="141"/>
      <c r="F45" s="141"/>
      <c r="G45" s="141"/>
    </row>
    <row r="46" spans="1:7" ht="12.75" customHeight="1" x14ac:dyDescent="0.2">
      <c r="A46" s="109">
        <v>3</v>
      </c>
      <c r="B46" s="141" t="s">
        <v>93</v>
      </c>
      <c r="C46" s="141"/>
      <c r="D46" s="141"/>
      <c r="E46" s="141"/>
      <c r="F46" s="141"/>
      <c r="G46" s="141"/>
    </row>
    <row r="47" spans="1:7" x14ac:dyDescent="0.2">
      <c r="A47" s="109"/>
      <c r="B47" s="141"/>
      <c r="C47" s="141"/>
      <c r="D47" s="141"/>
      <c r="E47" s="141"/>
      <c r="F47" s="141"/>
      <c r="G47" s="141"/>
    </row>
    <row r="48" spans="1:7" ht="14.25" customHeight="1" x14ac:dyDescent="0.2">
      <c r="A48" s="109"/>
      <c r="B48" s="141"/>
      <c r="C48" s="141"/>
      <c r="D48" s="141"/>
      <c r="E48" s="141"/>
      <c r="F48" s="141"/>
      <c r="G48" s="141"/>
    </row>
    <row r="49" spans="2:6" ht="3.75" customHeight="1" x14ac:dyDescent="0.2">
      <c r="B49" s="142"/>
      <c r="C49" s="142"/>
      <c r="D49" s="142"/>
      <c r="E49" s="142"/>
      <c r="F49" s="142"/>
    </row>
  </sheetData>
  <mergeCells count="6">
    <mergeCell ref="B49:F49"/>
    <mergeCell ref="A10:F10"/>
    <mergeCell ref="A11:F11"/>
    <mergeCell ref="B44:G44"/>
    <mergeCell ref="B45:G45"/>
    <mergeCell ref="B46:G48"/>
  </mergeCells>
  <dataValidations count="2">
    <dataValidation type="list" allowBlank="1" showInputMessage="1" showErrorMessage="1" sqref="B14:G14">
      <formula1>"CGAAP, MIFRS, USGAAP, ASPE"</formula1>
    </dataValidation>
    <dataValidation allowBlank="1" showInputMessage="1" showErrorMessage="1" promptTitle="Date Format" prompt="E.g:  &quot;August 1, 2011&quot;" sqref="G7"/>
  </dataValidations>
  <pageMargins left="0.75" right="0.75" top="1" bottom="1" header="0.5" footer="0.5"/>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7" tint="0.39997558519241921"/>
    <pageSetUpPr fitToPage="1"/>
  </sheetPr>
  <dimension ref="A1:J67"/>
  <sheetViews>
    <sheetView showGridLines="0" zoomScaleNormal="100" workbookViewId="0">
      <selection activeCell="A25" sqref="A25:Z25"/>
    </sheetView>
  </sheetViews>
  <sheetFormatPr defaultColWidth="9.28515625" defaultRowHeight="12.75" x14ac:dyDescent="0.2"/>
  <cols>
    <col min="1" max="1" width="65.7109375" style="79" bestFit="1" customWidth="1"/>
    <col min="2" max="2" width="14.42578125" style="79" customWidth="1"/>
    <col min="3" max="3" width="14.28515625" style="79" customWidth="1"/>
    <col min="4" max="4" width="13.42578125" style="79" customWidth="1"/>
    <col min="5" max="7" width="12.7109375" style="79" customWidth="1"/>
    <col min="8" max="8" width="13.42578125" style="79" customWidth="1"/>
    <col min="9" max="9" width="16.5703125" style="79" customWidth="1"/>
    <col min="10" max="10" width="13.5703125" style="79" customWidth="1"/>
    <col min="11" max="16384" width="9.28515625" style="79"/>
  </cols>
  <sheetData>
    <row r="1" spans="1:10" x14ac:dyDescent="0.2">
      <c r="H1" s="111" t="s">
        <v>0</v>
      </c>
      <c r="I1" s="81" t="s">
        <v>150</v>
      </c>
    </row>
    <row r="2" spans="1:10" x14ac:dyDescent="0.2">
      <c r="H2" s="111" t="s">
        <v>3</v>
      </c>
      <c r="I2" s="82"/>
    </row>
    <row r="3" spans="1:10" x14ac:dyDescent="0.2">
      <c r="H3" s="111" t="s">
        <v>6</v>
      </c>
      <c r="I3" s="82"/>
    </row>
    <row r="4" spans="1:10" x14ac:dyDescent="0.2">
      <c r="H4" s="111" t="s">
        <v>10</v>
      </c>
      <c r="I4" s="82"/>
    </row>
    <row r="5" spans="1:10" x14ac:dyDescent="0.2">
      <c r="H5" s="111" t="s">
        <v>13</v>
      </c>
      <c r="I5" s="83"/>
    </row>
    <row r="6" spans="1:10" x14ac:dyDescent="0.2">
      <c r="H6" s="111"/>
      <c r="I6" s="81"/>
    </row>
    <row r="7" spans="1:10" x14ac:dyDescent="0.2">
      <c r="H7" s="111" t="s">
        <v>18</v>
      </c>
      <c r="I7" s="83"/>
    </row>
    <row r="9" spans="1:10" ht="18" x14ac:dyDescent="0.25">
      <c r="A9" s="144" t="s">
        <v>94</v>
      </c>
      <c r="B9" s="144"/>
      <c r="C9" s="144"/>
      <c r="D9" s="144"/>
      <c r="E9" s="144"/>
      <c r="F9" s="144"/>
      <c r="G9" s="144"/>
      <c r="H9" s="144"/>
      <c r="I9" s="112"/>
    </row>
    <row r="10" spans="1:10" ht="18" x14ac:dyDescent="0.25">
      <c r="A10" s="144" t="s">
        <v>95</v>
      </c>
      <c r="B10" s="144"/>
      <c r="C10" s="144"/>
      <c r="D10" s="144"/>
      <c r="E10" s="144"/>
      <c r="F10" s="144"/>
      <c r="G10" s="144"/>
      <c r="H10" s="144"/>
      <c r="I10" s="112"/>
    </row>
    <row r="12" spans="1:10" ht="13.5" thickBot="1" x14ac:dyDescent="0.25">
      <c r="A12" s="145"/>
      <c r="B12" s="145"/>
      <c r="C12" s="145"/>
      <c r="D12" s="145"/>
      <c r="E12" s="145"/>
      <c r="F12" s="145"/>
      <c r="G12" s="145"/>
      <c r="H12" s="145"/>
    </row>
    <row r="13" spans="1:10" ht="63" customHeight="1" thickBot="1" x14ac:dyDescent="0.25">
      <c r="A13" s="113" t="s">
        <v>96</v>
      </c>
      <c r="B13" s="86" t="s">
        <v>151</v>
      </c>
      <c r="C13" s="86" t="s">
        <v>59</v>
      </c>
      <c r="D13" s="86" t="s">
        <v>63</v>
      </c>
      <c r="E13" s="86" t="s">
        <v>146</v>
      </c>
      <c r="F13" s="86" t="s">
        <v>147</v>
      </c>
      <c r="G13" s="86" t="s">
        <v>148</v>
      </c>
      <c r="H13" s="87" t="s">
        <v>149</v>
      </c>
      <c r="I13" s="87" t="str">
        <f>"Variance 
(Test Year vs. " &amp; F13 &amp;")"</f>
        <v>Variance 
(Test Year vs. 2017 Actuals)</v>
      </c>
      <c r="J13" s="87" t="str">
        <f>"Variance 
(Test Year vs. " &amp; B13</f>
        <v>Variance 
(Test Year vs. Last Rebasing Year (2014 Board-Approved)</v>
      </c>
    </row>
    <row r="14" spans="1:10" ht="13.5" thickBot="1" x14ac:dyDescent="0.25">
      <c r="A14" s="88" t="s">
        <v>27</v>
      </c>
      <c r="B14" s="16"/>
      <c r="C14" s="16"/>
      <c r="D14" s="16"/>
      <c r="E14" s="16"/>
      <c r="F14" s="16"/>
      <c r="G14" s="16"/>
      <c r="H14" s="16"/>
      <c r="I14" s="16"/>
      <c r="J14" s="16"/>
    </row>
    <row r="15" spans="1:10" x14ac:dyDescent="0.2">
      <c r="A15" s="114" t="s">
        <v>97</v>
      </c>
      <c r="B15" s="115"/>
      <c r="C15" s="116"/>
      <c r="D15" s="116"/>
      <c r="E15" s="116"/>
      <c r="F15" s="116"/>
      <c r="G15" s="116"/>
      <c r="H15" s="116"/>
      <c r="I15" s="116"/>
      <c r="J15" s="116"/>
    </row>
    <row r="16" spans="1:10" x14ac:dyDescent="0.2">
      <c r="A16" s="117" t="s">
        <v>98</v>
      </c>
      <c r="B16" s="118">
        <v>516259.55082691566</v>
      </c>
      <c r="C16" s="118">
        <v>507767.05</v>
      </c>
      <c r="D16" s="118">
        <v>573431.58000000007</v>
      </c>
      <c r="E16" s="118">
        <v>482433.77</v>
      </c>
      <c r="F16" s="118">
        <v>555365.16</v>
      </c>
      <c r="G16" s="118">
        <v>547667.52</v>
      </c>
      <c r="H16" s="118">
        <v>612867.38046056859</v>
      </c>
      <c r="I16" s="119">
        <f t="shared" ref="I16:I53" si="0">H16-F16</f>
        <v>57502.220460568555</v>
      </c>
      <c r="J16" s="119">
        <f t="shared" ref="J16:J18" si="1">H16-B16</f>
        <v>96607.829633652931</v>
      </c>
    </row>
    <row r="17" spans="1:10" x14ac:dyDescent="0.2">
      <c r="A17" s="117" t="s">
        <v>99</v>
      </c>
      <c r="B17" s="118">
        <v>18000</v>
      </c>
      <c r="C17" s="118">
        <v>51788.81</v>
      </c>
      <c r="D17" s="118">
        <v>27718.1</v>
      </c>
      <c r="E17" s="118">
        <v>64753.88</v>
      </c>
      <c r="F17" s="118">
        <v>17788.759999999998</v>
      </c>
      <c r="G17" s="118">
        <v>18000</v>
      </c>
      <c r="H17" s="118">
        <v>20000.04</v>
      </c>
      <c r="I17" s="119">
        <f t="shared" si="0"/>
        <v>2211.2800000000025</v>
      </c>
      <c r="J17" s="119">
        <f t="shared" si="1"/>
        <v>2000.0400000000009</v>
      </c>
    </row>
    <row r="18" spans="1:10" x14ac:dyDescent="0.2">
      <c r="A18" s="117" t="s">
        <v>100</v>
      </c>
      <c r="B18" s="118">
        <v>0</v>
      </c>
      <c r="C18" s="118">
        <v>0</v>
      </c>
      <c r="D18" s="118">
        <v>0</v>
      </c>
      <c r="E18" s="118">
        <v>0</v>
      </c>
      <c r="F18" s="118">
        <v>0</v>
      </c>
      <c r="G18" s="118">
        <v>0</v>
      </c>
      <c r="H18" s="118">
        <v>0</v>
      </c>
      <c r="I18" s="119">
        <f t="shared" si="0"/>
        <v>0</v>
      </c>
      <c r="J18" s="119">
        <f t="shared" si="1"/>
        <v>0</v>
      </c>
    </row>
    <row r="19" spans="1:10" x14ac:dyDescent="0.2">
      <c r="A19" s="120" t="s">
        <v>101</v>
      </c>
      <c r="B19" s="115">
        <f>SUM(B16:B18)</f>
        <v>534259.55082691566</v>
      </c>
      <c r="C19" s="115">
        <f t="shared" ref="C19:J19" si="2">SUM(C16:C18)</f>
        <v>559555.86</v>
      </c>
      <c r="D19" s="115">
        <f t="shared" si="2"/>
        <v>601149.68000000005</v>
      </c>
      <c r="E19" s="115">
        <f t="shared" si="2"/>
        <v>547187.65</v>
      </c>
      <c r="F19" s="115">
        <f t="shared" si="2"/>
        <v>573153.92000000004</v>
      </c>
      <c r="G19" s="115">
        <f t="shared" si="2"/>
        <v>565667.52</v>
      </c>
      <c r="H19" s="115">
        <f t="shared" si="2"/>
        <v>632867.42046056862</v>
      </c>
      <c r="I19" s="115">
        <f t="shared" si="2"/>
        <v>59713.500460568554</v>
      </c>
      <c r="J19" s="115">
        <f t="shared" si="2"/>
        <v>98607.869633652939</v>
      </c>
    </row>
    <row r="20" spans="1:10" x14ac:dyDescent="0.2">
      <c r="A20" s="121" t="s">
        <v>28</v>
      </c>
      <c r="B20" s="115"/>
      <c r="C20" s="116"/>
      <c r="D20" s="116"/>
      <c r="E20" s="116"/>
      <c r="F20" s="116"/>
      <c r="G20" s="116"/>
      <c r="H20" s="116"/>
      <c r="I20" s="119"/>
      <c r="J20" s="119"/>
    </row>
    <row r="21" spans="1:10" x14ac:dyDescent="0.2">
      <c r="A21" s="117" t="s">
        <v>102</v>
      </c>
      <c r="B21" s="118">
        <v>114036.8526592674</v>
      </c>
      <c r="C21" s="118">
        <v>141357.12</v>
      </c>
      <c r="D21" s="118">
        <v>165091.70000000001</v>
      </c>
      <c r="E21" s="118">
        <v>147767.63</v>
      </c>
      <c r="F21" s="118">
        <v>133371.66999999998</v>
      </c>
      <c r="G21" s="118">
        <v>97971.449999999983</v>
      </c>
      <c r="H21" s="118">
        <v>131198.3633344089</v>
      </c>
      <c r="I21" s="119">
        <f>H21-F21</f>
        <v>-2173.3066655910807</v>
      </c>
      <c r="J21" s="119">
        <f>H21-B21</f>
        <v>17161.510675141501</v>
      </c>
    </row>
    <row r="22" spans="1:10" x14ac:dyDescent="0.2">
      <c r="A22" s="117" t="s">
        <v>103</v>
      </c>
      <c r="B22" s="118">
        <v>48552.899451256031</v>
      </c>
      <c r="C22" s="118">
        <v>37319.31</v>
      </c>
      <c r="D22" s="118">
        <v>52839.600000000006</v>
      </c>
      <c r="E22" s="118">
        <v>64984.4</v>
      </c>
      <c r="F22" s="118">
        <v>38961.839999999997</v>
      </c>
      <c r="G22" s="118">
        <v>15448.599999999993</v>
      </c>
      <c r="H22" s="118">
        <v>33641.563441225859</v>
      </c>
      <c r="I22" s="119">
        <f t="shared" si="0"/>
        <v>-5320.2765587741378</v>
      </c>
      <c r="J22" s="119">
        <f t="shared" ref="J22:J34" si="3">H22-B22</f>
        <v>-14911.336010030172</v>
      </c>
    </row>
    <row r="23" spans="1:10" x14ac:dyDescent="0.2">
      <c r="A23" s="117" t="s">
        <v>104</v>
      </c>
      <c r="B23" s="118">
        <v>115386.22566092727</v>
      </c>
      <c r="C23" s="118">
        <v>48784.89</v>
      </c>
      <c r="D23" s="118">
        <v>68932.900000000009</v>
      </c>
      <c r="E23" s="118">
        <v>69501.490000000005</v>
      </c>
      <c r="F23" s="118">
        <v>78929.7</v>
      </c>
      <c r="G23" s="118">
        <v>93582.409999999974</v>
      </c>
      <c r="H23" s="118">
        <v>98565.560004568484</v>
      </c>
      <c r="I23" s="119">
        <f t="shared" si="0"/>
        <v>19635.860004568487</v>
      </c>
      <c r="J23" s="119">
        <f t="shared" si="3"/>
        <v>-16820.665656358789</v>
      </c>
    </row>
    <row r="24" spans="1:10" x14ac:dyDescent="0.2">
      <c r="A24" s="117" t="s">
        <v>105</v>
      </c>
      <c r="B24" s="118">
        <v>110908.09479547528</v>
      </c>
      <c r="C24" s="118">
        <v>94950.180000000008</v>
      </c>
      <c r="D24" s="118">
        <v>113901.98</v>
      </c>
      <c r="E24" s="118">
        <v>166422.46</v>
      </c>
      <c r="F24" s="118">
        <v>145614.44</v>
      </c>
      <c r="G24" s="118">
        <v>169166.97870934918</v>
      </c>
      <c r="H24" s="118">
        <v>164598.35776422138</v>
      </c>
      <c r="I24" s="119">
        <f t="shared" si="0"/>
        <v>18983.917764221376</v>
      </c>
      <c r="J24" s="119">
        <f t="shared" si="3"/>
        <v>53690.262968746101</v>
      </c>
    </row>
    <row r="25" spans="1:10" x14ac:dyDescent="0.2">
      <c r="A25" s="117" t="s">
        <v>106</v>
      </c>
      <c r="B25" s="118">
        <v>0</v>
      </c>
      <c r="C25" s="118">
        <v>0</v>
      </c>
      <c r="D25" s="118">
        <v>0</v>
      </c>
      <c r="E25" s="118">
        <v>0</v>
      </c>
      <c r="F25" s="118">
        <v>0</v>
      </c>
      <c r="G25" s="118">
        <v>0</v>
      </c>
      <c r="H25" s="118">
        <v>0</v>
      </c>
      <c r="I25" s="119">
        <f t="shared" si="0"/>
        <v>0</v>
      </c>
      <c r="J25" s="119">
        <f t="shared" si="3"/>
        <v>0</v>
      </c>
    </row>
    <row r="26" spans="1:10" x14ac:dyDescent="0.2">
      <c r="A26" s="117" t="s">
        <v>107</v>
      </c>
      <c r="B26" s="118">
        <v>141643.42946746523</v>
      </c>
      <c r="C26" s="118">
        <v>154412.49</v>
      </c>
      <c r="D26" s="118">
        <v>151554.63</v>
      </c>
      <c r="E26" s="118">
        <v>183886.88</v>
      </c>
      <c r="F26" s="118">
        <v>259156.36000000002</v>
      </c>
      <c r="G26" s="118">
        <v>348849.23429016734</v>
      </c>
      <c r="H26" s="118">
        <v>328887.92069629114</v>
      </c>
      <c r="I26" s="119">
        <f t="shared" si="0"/>
        <v>69731.560696291126</v>
      </c>
      <c r="J26" s="119">
        <f t="shared" si="3"/>
        <v>187244.49122882591</v>
      </c>
    </row>
    <row r="27" spans="1:10" x14ac:dyDescent="0.2">
      <c r="A27" s="117" t="s">
        <v>108</v>
      </c>
      <c r="B27" s="118">
        <v>89480.492528635223</v>
      </c>
      <c r="C27" s="118">
        <v>63453.55</v>
      </c>
      <c r="D27" s="118">
        <v>117548.45000000001</v>
      </c>
      <c r="E27" s="118">
        <v>94946.42</v>
      </c>
      <c r="F27" s="118">
        <v>91333.58</v>
      </c>
      <c r="G27" s="118">
        <v>97612.157000483508</v>
      </c>
      <c r="H27" s="118">
        <v>81202.901507310715</v>
      </c>
      <c r="I27" s="119">
        <f t="shared" si="0"/>
        <v>-10130.678492689287</v>
      </c>
      <c r="J27" s="119">
        <f t="shared" si="3"/>
        <v>-8277.5910213245079</v>
      </c>
    </row>
    <row r="28" spans="1:10" x14ac:dyDescent="0.2">
      <c r="A28" s="117" t="s">
        <v>109</v>
      </c>
      <c r="B28" s="118">
        <v>33366.773546590455</v>
      </c>
      <c r="C28" s="118">
        <v>48372.83</v>
      </c>
      <c r="D28" s="118">
        <v>42832.79</v>
      </c>
      <c r="E28" s="118">
        <v>40598.54</v>
      </c>
      <c r="F28" s="118">
        <v>41093.230000000003</v>
      </c>
      <c r="G28" s="118">
        <v>52815.97</v>
      </c>
      <c r="H28" s="118">
        <v>51313.470603710084</v>
      </c>
      <c r="I28" s="119">
        <f t="shared" si="0"/>
        <v>10220.240603710081</v>
      </c>
      <c r="J28" s="119">
        <f t="shared" si="3"/>
        <v>17946.697057119629</v>
      </c>
    </row>
    <row r="29" spans="1:10" x14ac:dyDescent="0.2">
      <c r="A29" s="117" t="s">
        <v>110</v>
      </c>
      <c r="B29" s="118">
        <v>119013.47157910414</v>
      </c>
      <c r="C29" s="118">
        <v>111222.46</v>
      </c>
      <c r="D29" s="118">
        <v>113148.12</v>
      </c>
      <c r="E29" s="118">
        <v>152109.51999999999</v>
      </c>
      <c r="F29" s="118">
        <v>135409.96</v>
      </c>
      <c r="G29" s="118">
        <v>57038.21</v>
      </c>
      <c r="H29" s="118">
        <v>73350.388374750459</v>
      </c>
      <c r="I29" s="119">
        <f t="shared" si="0"/>
        <v>-62059.571625249533</v>
      </c>
      <c r="J29" s="119">
        <f t="shared" si="3"/>
        <v>-45663.083204353679</v>
      </c>
    </row>
    <row r="30" spans="1:10" x14ac:dyDescent="0.2">
      <c r="A30" s="117" t="s">
        <v>111</v>
      </c>
      <c r="B30" s="118">
        <v>43238.53431149177</v>
      </c>
      <c r="C30" s="118">
        <v>60022.520000000004</v>
      </c>
      <c r="D30" s="118">
        <v>26607.99</v>
      </c>
      <c r="E30" s="118">
        <v>44823.62</v>
      </c>
      <c r="F30" s="118">
        <v>40319.89</v>
      </c>
      <c r="G30" s="118">
        <v>31397.11</v>
      </c>
      <c r="H30" s="118">
        <v>33026.277426663321</v>
      </c>
      <c r="I30" s="119">
        <f t="shared" si="0"/>
        <v>-7293.6125733366789</v>
      </c>
      <c r="J30" s="119">
        <f t="shared" si="3"/>
        <v>-10212.25688482845</v>
      </c>
    </row>
    <row r="31" spans="1:10" x14ac:dyDescent="0.2">
      <c r="A31" s="117" t="s">
        <v>83</v>
      </c>
      <c r="B31" s="118">
        <v>65406.848454548424</v>
      </c>
      <c r="C31" s="118">
        <v>45225.1</v>
      </c>
      <c r="D31" s="118">
        <v>68691.25</v>
      </c>
      <c r="E31" s="118">
        <v>66939.31</v>
      </c>
      <c r="F31" s="118">
        <v>27851.26</v>
      </c>
      <c r="G31" s="118">
        <v>73920.960000000006</v>
      </c>
      <c r="H31" s="118">
        <v>76237.622814579096</v>
      </c>
      <c r="I31" s="119">
        <f t="shared" si="0"/>
        <v>48386.362814579101</v>
      </c>
      <c r="J31" s="119">
        <f t="shared" si="3"/>
        <v>10830.774360030671</v>
      </c>
    </row>
    <row r="32" spans="1:10" x14ac:dyDescent="0.2">
      <c r="A32" s="117" t="s">
        <v>112</v>
      </c>
      <c r="B32" s="118">
        <v>0</v>
      </c>
      <c r="C32" s="118">
        <v>0</v>
      </c>
      <c r="D32" s="118">
        <v>0</v>
      </c>
      <c r="E32" s="118">
        <v>0</v>
      </c>
      <c r="F32" s="118">
        <v>0</v>
      </c>
      <c r="G32" s="118">
        <v>0</v>
      </c>
      <c r="H32" s="118">
        <v>0</v>
      </c>
      <c r="I32" s="119">
        <f t="shared" si="0"/>
        <v>0</v>
      </c>
      <c r="J32" s="119">
        <f t="shared" si="3"/>
        <v>0</v>
      </c>
    </row>
    <row r="33" spans="1:10" x14ac:dyDescent="0.2">
      <c r="A33" s="117" t="s">
        <v>113</v>
      </c>
      <c r="B33" s="118">
        <v>67143.313053382735</v>
      </c>
      <c r="C33" s="118">
        <v>98538.01</v>
      </c>
      <c r="D33" s="118">
        <v>78968.489999999991</v>
      </c>
      <c r="E33" s="118">
        <v>98587.799999999988</v>
      </c>
      <c r="F33" s="118">
        <v>96561.93</v>
      </c>
      <c r="G33" s="118">
        <v>68082.149999999994</v>
      </c>
      <c r="H33" s="118">
        <v>89378.032995623988</v>
      </c>
      <c r="I33" s="119">
        <f t="shared" si="0"/>
        <v>-7183.8970043760055</v>
      </c>
      <c r="J33" s="119">
        <f t="shared" si="3"/>
        <v>22234.719942241252</v>
      </c>
    </row>
    <row r="34" spans="1:10" x14ac:dyDescent="0.2">
      <c r="A34" s="117" t="s">
        <v>114</v>
      </c>
      <c r="B34" s="118">
        <v>0</v>
      </c>
      <c r="C34" s="118">
        <v>0</v>
      </c>
      <c r="D34" s="118">
        <v>0</v>
      </c>
      <c r="E34" s="118">
        <v>0</v>
      </c>
      <c r="F34" s="118">
        <v>0</v>
      </c>
      <c r="G34" s="118">
        <v>0</v>
      </c>
      <c r="H34" s="118">
        <v>0</v>
      </c>
      <c r="I34" s="119">
        <f t="shared" si="0"/>
        <v>0</v>
      </c>
      <c r="J34" s="119">
        <f t="shared" si="3"/>
        <v>0</v>
      </c>
    </row>
    <row r="35" spans="1:10" x14ac:dyDescent="0.2">
      <c r="A35" s="120" t="s">
        <v>101</v>
      </c>
      <c r="B35" s="115">
        <f>SUM(B21:B34)</f>
        <v>948176.93550814386</v>
      </c>
      <c r="C35" s="115">
        <f t="shared" ref="C35:J35" si="4">SUM(C21:C34)</f>
        <v>903658.46</v>
      </c>
      <c r="D35" s="115">
        <f t="shared" si="4"/>
        <v>1000117.9</v>
      </c>
      <c r="E35" s="115">
        <f t="shared" si="4"/>
        <v>1130568.07</v>
      </c>
      <c r="F35" s="115">
        <f t="shared" si="4"/>
        <v>1088603.8599999999</v>
      </c>
      <c r="G35" s="115">
        <f t="shared" si="4"/>
        <v>1105885.2299999997</v>
      </c>
      <c r="H35" s="115">
        <f t="shared" si="4"/>
        <v>1161400.4589633534</v>
      </c>
      <c r="I35" s="115">
        <f t="shared" si="4"/>
        <v>72796.598963353448</v>
      </c>
      <c r="J35" s="115">
        <f t="shared" si="4"/>
        <v>213223.52345520945</v>
      </c>
    </row>
    <row r="36" spans="1:10" x14ac:dyDescent="0.2">
      <c r="A36" s="121" t="s">
        <v>42</v>
      </c>
      <c r="B36" s="115"/>
      <c r="C36" s="116"/>
      <c r="D36" s="116"/>
      <c r="E36" s="116"/>
      <c r="F36" s="116"/>
      <c r="G36" s="116"/>
      <c r="H36" s="116"/>
      <c r="I36" s="119"/>
      <c r="J36" s="119"/>
    </row>
    <row r="37" spans="1:10" x14ac:dyDescent="0.2">
      <c r="A37" s="117" t="s">
        <v>115</v>
      </c>
      <c r="B37" s="118">
        <v>17800</v>
      </c>
      <c r="C37" s="118">
        <v>578</v>
      </c>
      <c r="D37" s="118">
        <v>757.65</v>
      </c>
      <c r="E37" s="118">
        <v>9700</v>
      </c>
      <c r="F37" s="118">
        <v>4161.21</v>
      </c>
      <c r="G37" s="118">
        <v>9477.34</v>
      </c>
      <c r="H37" s="118">
        <v>11484.753561720259</v>
      </c>
      <c r="I37" s="119">
        <f t="shared" ref="I37:I46" si="5">H37-F37</f>
        <v>7323.5435617202593</v>
      </c>
      <c r="J37" s="119">
        <f t="shared" ref="J37:J53" si="6">H37-B37</f>
        <v>-6315.2464382797407</v>
      </c>
    </row>
    <row r="38" spans="1:10" x14ac:dyDescent="0.2">
      <c r="A38" s="117" t="s">
        <v>116</v>
      </c>
      <c r="B38" s="118">
        <v>0</v>
      </c>
      <c r="C38" s="118">
        <v>0</v>
      </c>
      <c r="D38" s="118">
        <v>0</v>
      </c>
      <c r="E38" s="118">
        <v>0</v>
      </c>
      <c r="F38" s="118">
        <v>0</v>
      </c>
      <c r="G38" s="118">
        <v>0</v>
      </c>
      <c r="H38" s="118">
        <v>0</v>
      </c>
      <c r="I38" s="119">
        <f t="shared" si="5"/>
        <v>0</v>
      </c>
      <c r="J38" s="119">
        <f t="shared" si="6"/>
        <v>0</v>
      </c>
    </row>
    <row r="39" spans="1:10" x14ac:dyDescent="0.2">
      <c r="A39" s="117" t="s">
        <v>117</v>
      </c>
      <c r="B39" s="118">
        <v>413879.71172044985</v>
      </c>
      <c r="C39" s="118">
        <v>487200.74</v>
      </c>
      <c r="D39" s="118">
        <v>408252.44999999995</v>
      </c>
      <c r="E39" s="118">
        <v>510151.3</v>
      </c>
      <c r="F39" s="118">
        <v>548373.47</v>
      </c>
      <c r="G39" s="118">
        <v>728665.71</v>
      </c>
      <c r="H39" s="118">
        <v>709984.66462360346</v>
      </c>
      <c r="I39" s="119">
        <f t="shared" si="5"/>
        <v>161611.19462360349</v>
      </c>
      <c r="J39" s="119">
        <f t="shared" si="6"/>
        <v>296104.95290315361</v>
      </c>
    </row>
    <row r="40" spans="1:10" x14ac:dyDescent="0.2">
      <c r="A40" s="117" t="s">
        <v>118</v>
      </c>
      <c r="B40" s="118">
        <v>24494</v>
      </c>
      <c r="C40" s="118">
        <v>17314.48</v>
      </c>
      <c r="D40" s="118">
        <v>11945</v>
      </c>
      <c r="E40" s="118">
        <v>41016.58</v>
      </c>
      <c r="F40" s="118">
        <v>26914.05</v>
      </c>
      <c r="G40" s="118">
        <v>49029.87</v>
      </c>
      <c r="H40" s="118">
        <v>53453.039999999986</v>
      </c>
      <c r="I40" s="119">
        <f t="shared" si="5"/>
        <v>26538.989999999987</v>
      </c>
      <c r="J40" s="119">
        <f t="shared" si="6"/>
        <v>28959.039999999986</v>
      </c>
    </row>
    <row r="41" spans="1:10" x14ac:dyDescent="0.2">
      <c r="A41" s="117" t="s">
        <v>119</v>
      </c>
      <c r="B41" s="118">
        <v>0</v>
      </c>
      <c r="C41" s="118">
        <v>0</v>
      </c>
      <c r="D41" s="118">
        <v>0</v>
      </c>
      <c r="E41" s="118">
        <v>0</v>
      </c>
      <c r="F41" s="118">
        <v>0</v>
      </c>
      <c r="G41" s="118">
        <v>0</v>
      </c>
      <c r="H41" s="118">
        <v>0</v>
      </c>
      <c r="I41" s="119">
        <f t="shared" si="5"/>
        <v>0</v>
      </c>
      <c r="J41" s="119">
        <f t="shared" si="6"/>
        <v>0</v>
      </c>
    </row>
    <row r="42" spans="1:10" x14ac:dyDescent="0.2">
      <c r="A42" s="117" t="s">
        <v>120</v>
      </c>
      <c r="B42" s="118">
        <v>31750.000000000004</v>
      </c>
      <c r="C42" s="118">
        <v>33904.49</v>
      </c>
      <c r="D42" s="118">
        <v>28191.14</v>
      </c>
      <c r="E42" s="118">
        <v>24947.75</v>
      </c>
      <c r="F42" s="118">
        <v>25362.04</v>
      </c>
      <c r="G42" s="118">
        <v>25264.230000000003</v>
      </c>
      <c r="H42" s="118">
        <v>27182.640000000003</v>
      </c>
      <c r="I42" s="119">
        <f t="shared" si="5"/>
        <v>1820.6000000000022</v>
      </c>
      <c r="J42" s="119">
        <f t="shared" si="6"/>
        <v>-4567.3600000000006</v>
      </c>
    </row>
    <row r="43" spans="1:10" x14ac:dyDescent="0.2">
      <c r="A43" s="117" t="s">
        <v>121</v>
      </c>
      <c r="B43" s="118">
        <v>146242.15635364718</v>
      </c>
      <c r="C43" s="118">
        <v>144969.75</v>
      </c>
      <c r="D43" s="118">
        <v>151622.49</v>
      </c>
      <c r="E43" s="118">
        <v>162161.54</v>
      </c>
      <c r="F43" s="118">
        <v>202528.91</v>
      </c>
      <c r="G43" s="118">
        <v>229272.10000000003</v>
      </c>
      <c r="H43" s="118">
        <v>213514.76419470581</v>
      </c>
      <c r="I43" s="119">
        <f t="shared" si="5"/>
        <v>10985.854194705811</v>
      </c>
      <c r="J43" s="119">
        <f t="shared" si="6"/>
        <v>67272.607841058634</v>
      </c>
    </row>
    <row r="44" spans="1:10" x14ac:dyDescent="0.2">
      <c r="A44" s="117" t="s">
        <v>122</v>
      </c>
      <c r="B44" s="118">
        <v>0</v>
      </c>
      <c r="C44" s="118">
        <v>0</v>
      </c>
      <c r="D44" s="118">
        <v>0</v>
      </c>
      <c r="E44" s="118">
        <v>0</v>
      </c>
      <c r="F44" s="118">
        <v>0</v>
      </c>
      <c r="G44" s="118">
        <v>0</v>
      </c>
      <c r="H44" s="118">
        <v>0</v>
      </c>
      <c r="I44" s="119">
        <f t="shared" si="5"/>
        <v>0</v>
      </c>
      <c r="J44" s="119">
        <f t="shared" si="6"/>
        <v>0</v>
      </c>
    </row>
    <row r="45" spans="1:10" x14ac:dyDescent="0.2">
      <c r="A45" s="117" t="s">
        <v>123</v>
      </c>
      <c r="B45" s="118">
        <v>0</v>
      </c>
      <c r="C45" s="118">
        <v>0</v>
      </c>
      <c r="D45" s="118">
        <v>0</v>
      </c>
      <c r="E45" s="118">
        <v>0</v>
      </c>
      <c r="F45" s="118">
        <v>0</v>
      </c>
      <c r="G45" s="118">
        <v>0</v>
      </c>
      <c r="H45" s="118">
        <v>0</v>
      </c>
      <c r="I45" s="119">
        <f t="shared" si="5"/>
        <v>0</v>
      </c>
      <c r="J45" s="119">
        <f t="shared" si="6"/>
        <v>0</v>
      </c>
    </row>
    <row r="46" spans="1:10" x14ac:dyDescent="0.2">
      <c r="A46" s="117" t="s">
        <v>124</v>
      </c>
      <c r="B46" s="118">
        <v>0</v>
      </c>
      <c r="C46" s="118">
        <v>0</v>
      </c>
      <c r="D46" s="118">
        <v>0</v>
      </c>
      <c r="E46" s="118">
        <v>0</v>
      </c>
      <c r="F46" s="118">
        <v>0</v>
      </c>
      <c r="G46" s="118">
        <v>0</v>
      </c>
      <c r="H46" s="118">
        <v>0</v>
      </c>
      <c r="I46" s="119">
        <f t="shared" si="5"/>
        <v>0</v>
      </c>
      <c r="J46" s="119">
        <f t="shared" si="6"/>
        <v>0</v>
      </c>
    </row>
    <row r="47" spans="1:10" x14ac:dyDescent="0.2">
      <c r="A47" s="117" t="s">
        <v>125</v>
      </c>
      <c r="B47" s="118">
        <v>53000</v>
      </c>
      <c r="C47" s="118">
        <v>32347.66</v>
      </c>
      <c r="D47" s="118">
        <v>46540.19</v>
      </c>
      <c r="E47" s="118">
        <v>38202.080000000002</v>
      </c>
      <c r="F47" s="118">
        <v>46760.52</v>
      </c>
      <c r="G47" s="118">
        <v>56605.83</v>
      </c>
      <c r="H47" s="118">
        <v>82150.631698969926</v>
      </c>
      <c r="I47" s="119">
        <f t="shared" si="0"/>
        <v>35390.111698969929</v>
      </c>
      <c r="J47" s="119">
        <f t="shared" si="6"/>
        <v>29150.631698969926</v>
      </c>
    </row>
    <row r="48" spans="1:10" x14ac:dyDescent="0.2">
      <c r="A48" s="117" t="s">
        <v>126</v>
      </c>
      <c r="B48" s="118">
        <v>0</v>
      </c>
      <c r="C48" s="118">
        <v>0</v>
      </c>
      <c r="D48" s="118">
        <v>0</v>
      </c>
      <c r="E48" s="118">
        <v>0</v>
      </c>
      <c r="F48" s="118">
        <v>0</v>
      </c>
      <c r="G48" s="118">
        <v>0</v>
      </c>
      <c r="H48" s="118">
        <v>0</v>
      </c>
      <c r="I48" s="119">
        <f t="shared" si="0"/>
        <v>0</v>
      </c>
      <c r="J48" s="119">
        <f t="shared" si="6"/>
        <v>0</v>
      </c>
    </row>
    <row r="49" spans="1:10" x14ac:dyDescent="0.2">
      <c r="A49" s="117" t="s">
        <v>127</v>
      </c>
      <c r="B49" s="118">
        <v>0</v>
      </c>
      <c r="C49" s="118">
        <v>0</v>
      </c>
      <c r="D49" s="118">
        <v>0</v>
      </c>
      <c r="E49" s="118">
        <v>0</v>
      </c>
      <c r="F49" s="118">
        <v>0</v>
      </c>
      <c r="G49" s="118">
        <v>0</v>
      </c>
      <c r="H49" s="118">
        <v>0</v>
      </c>
      <c r="I49" s="119">
        <f t="shared" si="0"/>
        <v>0</v>
      </c>
      <c r="J49" s="119">
        <f t="shared" si="6"/>
        <v>0</v>
      </c>
    </row>
    <row r="50" spans="1:10" x14ac:dyDescent="0.2">
      <c r="A50" s="117" t="s">
        <v>128</v>
      </c>
      <c r="B50" s="118">
        <v>0</v>
      </c>
      <c r="C50" s="118">
        <v>0</v>
      </c>
      <c r="D50" s="118">
        <v>0</v>
      </c>
      <c r="E50" s="118">
        <v>0</v>
      </c>
      <c r="F50" s="118">
        <v>0</v>
      </c>
      <c r="G50" s="118">
        <v>0</v>
      </c>
      <c r="H50" s="118">
        <v>0</v>
      </c>
      <c r="I50" s="119">
        <f t="shared" si="0"/>
        <v>0</v>
      </c>
      <c r="J50" s="119">
        <f t="shared" si="6"/>
        <v>0</v>
      </c>
    </row>
    <row r="51" spans="1:10" x14ac:dyDescent="0.2">
      <c r="A51" s="117" t="s">
        <v>129</v>
      </c>
      <c r="B51" s="118">
        <v>5300</v>
      </c>
      <c r="C51" s="118">
        <v>5061.21</v>
      </c>
      <c r="D51" s="118">
        <v>5314.74</v>
      </c>
      <c r="E51" s="118">
        <v>5127.18</v>
      </c>
      <c r="F51" s="118">
        <v>5194</v>
      </c>
      <c r="G51" s="118">
        <v>5202</v>
      </c>
      <c r="H51" s="118">
        <v>5264.3999999999987</v>
      </c>
      <c r="I51" s="119">
        <f t="shared" si="0"/>
        <v>70.399999999998727</v>
      </c>
      <c r="J51" s="119">
        <f t="shared" si="6"/>
        <v>-35.600000000001273</v>
      </c>
    </row>
    <row r="52" spans="1:10" x14ac:dyDescent="0.2">
      <c r="A52" s="117" t="s">
        <v>130</v>
      </c>
      <c r="B52" s="118">
        <v>0</v>
      </c>
      <c r="C52" s="118">
        <v>0</v>
      </c>
      <c r="D52" s="118">
        <v>0</v>
      </c>
      <c r="E52" s="118">
        <v>0</v>
      </c>
      <c r="F52" s="118">
        <v>0</v>
      </c>
      <c r="G52" s="118">
        <v>5693.85</v>
      </c>
      <c r="H52" s="118">
        <v>7209.3951045936565</v>
      </c>
      <c r="I52" s="119">
        <f t="shared" si="0"/>
        <v>7209.3951045936565</v>
      </c>
      <c r="J52" s="119">
        <f t="shared" si="6"/>
        <v>7209.3951045936565</v>
      </c>
    </row>
    <row r="53" spans="1:10" x14ac:dyDescent="0.2">
      <c r="A53" s="117" t="s">
        <v>131</v>
      </c>
      <c r="B53" s="118">
        <v>0</v>
      </c>
      <c r="C53" s="118">
        <v>0</v>
      </c>
      <c r="D53" s="118">
        <v>12213.85</v>
      </c>
      <c r="E53" s="118">
        <v>6693.85</v>
      </c>
      <c r="F53" s="118">
        <v>6693.85</v>
      </c>
      <c r="G53" s="118">
        <v>0</v>
      </c>
      <c r="H53" s="118">
        <v>0</v>
      </c>
      <c r="I53" s="119">
        <f t="shared" si="0"/>
        <v>-6693.85</v>
      </c>
      <c r="J53" s="119">
        <f t="shared" si="6"/>
        <v>0</v>
      </c>
    </row>
    <row r="54" spans="1:10" x14ac:dyDescent="0.2">
      <c r="A54" s="117" t="s">
        <v>132</v>
      </c>
      <c r="B54" s="118">
        <v>-19640.000000000004</v>
      </c>
      <c r="C54" s="118">
        <v>23612.36</v>
      </c>
      <c r="D54" s="118">
        <v>57013.799999999996</v>
      </c>
      <c r="E54" s="118">
        <v>56434.83</v>
      </c>
      <c r="F54" s="118">
        <v>67374.8</v>
      </c>
      <c r="G54" s="118">
        <v>57771.670000000006</v>
      </c>
      <c r="H54" s="118">
        <v>60252.960000000014</v>
      </c>
      <c r="I54" s="119">
        <f>H54-F54</f>
        <v>-7121.8399999999892</v>
      </c>
      <c r="J54" s="119">
        <f>H54-B54</f>
        <v>79892.960000000021</v>
      </c>
    </row>
    <row r="55" spans="1:10" ht="13.5" thickBot="1" x14ac:dyDescent="0.25">
      <c r="A55" s="120" t="s">
        <v>101</v>
      </c>
      <c r="B55" s="115">
        <f>SUM(B37:B54)</f>
        <v>672825.86807409697</v>
      </c>
      <c r="C55" s="115">
        <f t="shared" ref="C55:J55" si="7">SUM(C37:C54)</f>
        <v>744988.69</v>
      </c>
      <c r="D55" s="115">
        <f t="shared" si="7"/>
        <v>721851.30999999994</v>
      </c>
      <c r="E55" s="115">
        <f t="shared" si="7"/>
        <v>854435.11</v>
      </c>
      <c r="F55" s="115">
        <f t="shared" si="7"/>
        <v>933362.85000000009</v>
      </c>
      <c r="G55" s="115">
        <f t="shared" si="7"/>
        <v>1166982.6000000001</v>
      </c>
      <c r="H55" s="115">
        <f t="shared" si="7"/>
        <v>1170497.2491835931</v>
      </c>
      <c r="I55" s="115">
        <f t="shared" si="7"/>
        <v>237134.39918359314</v>
      </c>
      <c r="J55" s="115">
        <f t="shared" si="7"/>
        <v>497671.38110949611</v>
      </c>
    </row>
    <row r="56" spans="1:10" ht="14.25" thickTop="1" thickBot="1" x14ac:dyDescent="0.25">
      <c r="A56" s="122" t="s">
        <v>47</v>
      </c>
      <c r="B56" s="122">
        <f t="shared" ref="B56:H56" si="8">SUMPRODUCT(--($A15:$A55="Sub-Total"), B$15:B$55)</f>
        <v>2155262.3544091564</v>
      </c>
      <c r="C56" s="122">
        <f t="shared" si="8"/>
        <v>2208203.0099999998</v>
      </c>
      <c r="D56" s="122">
        <f t="shared" si="8"/>
        <v>2323118.89</v>
      </c>
      <c r="E56" s="122">
        <f t="shared" si="8"/>
        <v>2532190.83</v>
      </c>
      <c r="F56" s="122">
        <f t="shared" si="8"/>
        <v>2595120.63</v>
      </c>
      <c r="G56" s="122">
        <f t="shared" si="8"/>
        <v>2838535.3499999996</v>
      </c>
      <c r="H56" s="122">
        <f t="shared" si="8"/>
        <v>2964765.1286075152</v>
      </c>
      <c r="I56" s="122">
        <f>H56-F56</f>
        <v>369644.49860751536</v>
      </c>
      <c r="J56" s="122">
        <f t="shared" ref="J56" si="9">H56-B56</f>
        <v>809502.77419835888</v>
      </c>
    </row>
    <row r="58" spans="1:10" x14ac:dyDescent="0.2">
      <c r="A58" s="123" t="s">
        <v>90</v>
      </c>
      <c r="G58" s="124"/>
    </row>
    <row r="60" spans="1:10" ht="27.75" customHeight="1" x14ac:dyDescent="0.2">
      <c r="A60" s="141" t="s">
        <v>133</v>
      </c>
      <c r="B60" s="141"/>
      <c r="C60" s="141"/>
      <c r="D60" s="141"/>
      <c r="E60" s="141"/>
      <c r="F60" s="141"/>
      <c r="G60" s="141"/>
      <c r="H60" s="141"/>
      <c r="I60" s="141"/>
    </row>
    <row r="61" spans="1:10" ht="15" customHeight="1" x14ac:dyDescent="0.2">
      <c r="A61" s="141" t="s">
        <v>134</v>
      </c>
      <c r="B61" s="141"/>
      <c r="C61" s="141"/>
      <c r="D61" s="141"/>
      <c r="E61" s="141"/>
      <c r="F61" s="141"/>
      <c r="G61" s="141"/>
      <c r="H61" s="141"/>
      <c r="I61" s="141"/>
    </row>
    <row r="62" spans="1:10" ht="27" customHeight="1" x14ac:dyDescent="0.2">
      <c r="A62" s="141"/>
      <c r="B62" s="141"/>
      <c r="C62" s="141"/>
      <c r="D62" s="141"/>
      <c r="E62" s="141"/>
      <c r="F62" s="141"/>
      <c r="G62" s="141"/>
      <c r="H62" s="141"/>
    </row>
    <row r="64" spans="1:10" x14ac:dyDescent="0.2">
      <c r="A64" s="143"/>
      <c r="B64" s="143"/>
      <c r="C64" s="143"/>
      <c r="D64" s="143"/>
      <c r="E64" s="143"/>
      <c r="F64" s="143"/>
      <c r="G64" s="143"/>
      <c r="H64" s="143"/>
      <c r="I64" s="143"/>
    </row>
    <row r="65" spans="1:9" x14ac:dyDescent="0.2">
      <c r="A65" s="143"/>
      <c r="B65" s="143"/>
      <c r="C65" s="143"/>
      <c r="D65" s="143"/>
      <c r="E65" s="143"/>
      <c r="F65" s="143"/>
      <c r="G65" s="143"/>
      <c r="H65" s="143"/>
      <c r="I65" s="143"/>
    </row>
    <row r="67" spans="1:9" x14ac:dyDescent="0.2">
      <c r="A67" s="111"/>
    </row>
  </sheetData>
  <mergeCells count="7">
    <mergeCell ref="A64:I65"/>
    <mergeCell ref="A9:H9"/>
    <mergeCell ref="A10:H10"/>
    <mergeCell ref="A12:H12"/>
    <mergeCell ref="A60:I60"/>
    <mergeCell ref="A61:I61"/>
    <mergeCell ref="A62:H62"/>
  </mergeCells>
  <dataValidations count="1">
    <dataValidation type="list" allowBlank="1" showInputMessage="1" showErrorMessage="1" sqref="B14:J14">
      <formula1>"CGAAP, MIFRS, USGAAP, ASPE"</formula1>
    </dataValidation>
  </dataValidations>
  <pageMargins left="0.75" right="0.75" top="1" bottom="1" header="0.5" footer="0.5"/>
  <pageSetup scale="64"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7" tint="0.39997558519241921"/>
    <pageSetUpPr autoPageBreaks="0" fitToPage="1"/>
  </sheetPr>
  <dimension ref="A1:AA32"/>
  <sheetViews>
    <sheetView showGridLines="0" zoomScaleNormal="100" workbookViewId="0">
      <selection activeCell="X22" sqref="X22"/>
    </sheetView>
  </sheetViews>
  <sheetFormatPr defaultColWidth="9.28515625" defaultRowHeight="12.75" x14ac:dyDescent="0.2"/>
  <cols>
    <col min="1" max="1" width="56.7109375" style="1" customWidth="1"/>
    <col min="2" max="12" width="15.7109375" style="1" hidden="1" customWidth="1"/>
    <col min="13" max="14" width="15.7109375" style="1" customWidth="1"/>
    <col min="15" max="17" width="15.7109375" style="1" hidden="1" customWidth="1"/>
    <col min="18" max="18" width="15.7109375" style="1" customWidth="1"/>
    <col min="19" max="20" width="15.7109375" style="1" hidden="1" customWidth="1"/>
    <col min="21" max="21" width="15.7109375" style="1" customWidth="1"/>
    <col min="22" max="23" width="15.7109375" style="1" hidden="1" customWidth="1"/>
    <col min="24" max="25" width="15.7109375" style="1" customWidth="1"/>
    <col min="26" max="26" width="13.28515625" style="1" customWidth="1"/>
    <col min="27" max="16384" width="9.28515625" style="1"/>
  </cols>
  <sheetData>
    <row r="1" spans="1:27" x14ac:dyDescent="0.2">
      <c r="Y1" s="2" t="s">
        <v>0</v>
      </c>
      <c r="Z1" s="125" t="s">
        <v>150</v>
      </c>
    </row>
    <row r="2" spans="1:27" x14ac:dyDescent="0.2">
      <c r="Y2" s="2" t="s">
        <v>3</v>
      </c>
      <c r="Z2" s="82"/>
    </row>
    <row r="3" spans="1:27" x14ac:dyDescent="0.2">
      <c r="Y3" s="2" t="s">
        <v>6</v>
      </c>
      <c r="Z3" s="82"/>
    </row>
    <row r="4" spans="1:27" ht="15" x14ac:dyDescent="0.25">
      <c r="A4" s="152" t="s">
        <v>9</v>
      </c>
      <c r="B4" s="152"/>
      <c r="C4" s="152"/>
      <c r="D4" s="152"/>
      <c r="E4" s="152"/>
      <c r="F4" s="152"/>
      <c r="G4" s="152"/>
      <c r="H4" s="152"/>
      <c r="I4" s="152"/>
      <c r="J4" s="152"/>
      <c r="K4" s="152"/>
      <c r="L4" s="152"/>
      <c r="M4" s="152"/>
      <c r="N4" s="152"/>
      <c r="O4" s="152"/>
      <c r="P4" s="152"/>
      <c r="Q4" s="152"/>
      <c r="R4" s="152"/>
      <c r="S4" s="152"/>
      <c r="T4" s="152"/>
      <c r="U4" s="152"/>
      <c r="V4" s="152"/>
      <c r="W4" s="152"/>
      <c r="X4" s="152"/>
      <c r="Y4" s="2" t="s">
        <v>10</v>
      </c>
      <c r="Z4" s="82"/>
    </row>
    <row r="5" spans="1:27" x14ac:dyDescent="0.2">
      <c r="Y5" s="2" t="s">
        <v>13</v>
      </c>
      <c r="Z5" s="83"/>
    </row>
    <row r="6" spans="1:27" ht="9" customHeight="1" x14ac:dyDescent="0.2">
      <c r="Y6" s="2"/>
      <c r="Z6" s="3"/>
    </row>
    <row r="7" spans="1:27" x14ac:dyDescent="0.2">
      <c r="Y7" s="2" t="s">
        <v>18</v>
      </c>
      <c r="Z7" s="83"/>
    </row>
    <row r="8" spans="1:27" ht="9" customHeight="1" x14ac:dyDescent="0.2"/>
    <row r="9" spans="1:27" ht="17.25" customHeight="1" x14ac:dyDescent="0.25">
      <c r="A9" s="153" t="s">
        <v>135</v>
      </c>
      <c r="B9" s="153"/>
      <c r="C9" s="153"/>
      <c r="D9" s="153"/>
      <c r="E9" s="153"/>
      <c r="F9" s="153"/>
      <c r="G9" s="153"/>
      <c r="H9" s="153"/>
      <c r="I9" s="153"/>
      <c r="J9" s="153"/>
      <c r="K9" s="153"/>
      <c r="L9" s="153"/>
      <c r="M9" s="153"/>
      <c r="N9" s="153"/>
      <c r="O9" s="153"/>
      <c r="P9" s="153"/>
      <c r="Q9" s="153"/>
      <c r="R9" s="153"/>
      <c r="S9" s="153"/>
      <c r="T9" s="153"/>
      <c r="U9" s="153"/>
      <c r="V9" s="153"/>
      <c r="W9" s="153"/>
      <c r="X9" s="153"/>
      <c r="Y9" s="153"/>
      <c r="Z9" s="153"/>
    </row>
    <row r="10" spans="1:27" ht="18" x14ac:dyDescent="0.25">
      <c r="A10" s="153" t="s">
        <v>136</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row>
    <row r="11" spans="1:27" ht="9" customHeight="1" thickBot="1" x14ac:dyDescent="0.25"/>
    <row r="12" spans="1:27" ht="51.75" thickBot="1" x14ac:dyDescent="0.25">
      <c r="A12" s="126"/>
      <c r="B12" s="11" t="s">
        <v>137</v>
      </c>
      <c r="C12" s="11" t="s">
        <v>138</v>
      </c>
      <c r="D12" s="11" t="s">
        <v>49</v>
      </c>
      <c r="E12" s="11" t="s">
        <v>50</v>
      </c>
      <c r="F12" s="11" t="s">
        <v>51</v>
      </c>
      <c r="G12" s="11" t="s">
        <v>52</v>
      </c>
      <c r="H12" s="11" t="s">
        <v>53</v>
      </c>
      <c r="I12" s="11" t="s">
        <v>54</v>
      </c>
      <c r="J12" s="11" t="s">
        <v>55</v>
      </c>
      <c r="K12" s="11" t="s">
        <v>56</v>
      </c>
      <c r="L12" s="11" t="s">
        <v>57</v>
      </c>
      <c r="M12" s="11" t="s">
        <v>58</v>
      </c>
      <c r="N12" s="11" t="s">
        <v>59</v>
      </c>
      <c r="O12" s="11" t="s">
        <v>60</v>
      </c>
      <c r="P12" s="11" t="s">
        <v>61</v>
      </c>
      <c r="Q12" s="11" t="s">
        <v>62</v>
      </c>
      <c r="R12" s="11" t="s">
        <v>63</v>
      </c>
      <c r="S12" s="11" t="s">
        <v>64</v>
      </c>
      <c r="T12" s="11" t="s">
        <v>65</v>
      </c>
      <c r="U12" s="11" t="s">
        <v>146</v>
      </c>
      <c r="V12" s="11" t="s">
        <v>66</v>
      </c>
      <c r="W12" s="11" t="s">
        <v>67</v>
      </c>
      <c r="X12" s="11" t="s">
        <v>147</v>
      </c>
      <c r="Y12" s="11" t="s">
        <v>148</v>
      </c>
      <c r="Z12" s="12" t="s">
        <v>149</v>
      </c>
      <c r="AA12" s="127"/>
    </row>
    <row r="13" spans="1:27" ht="14.25" x14ac:dyDescent="0.2">
      <c r="A13" s="154" t="s">
        <v>139</v>
      </c>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6"/>
    </row>
    <row r="14" spans="1:27" x14ac:dyDescent="0.2">
      <c r="A14" s="128" t="s">
        <v>140</v>
      </c>
      <c r="B14" s="129"/>
      <c r="C14" s="129"/>
      <c r="D14" s="129"/>
      <c r="E14" s="129"/>
      <c r="F14" s="129"/>
      <c r="G14" s="129"/>
      <c r="H14" s="129"/>
      <c r="I14" s="129"/>
      <c r="J14" s="129"/>
      <c r="K14" s="129"/>
      <c r="L14" s="129"/>
      <c r="M14" s="129">
        <v>6</v>
      </c>
      <c r="N14" s="129">
        <v>5</v>
      </c>
      <c r="O14" s="129">
        <v>5</v>
      </c>
      <c r="P14" s="129">
        <v>5</v>
      </c>
      <c r="Q14" s="129">
        <v>6</v>
      </c>
      <c r="R14" s="129">
        <v>5</v>
      </c>
      <c r="S14" s="129">
        <v>5</v>
      </c>
      <c r="T14" s="129">
        <v>6</v>
      </c>
      <c r="U14" s="129">
        <v>5</v>
      </c>
      <c r="V14" s="129">
        <v>6</v>
      </c>
      <c r="W14" s="129">
        <v>6</v>
      </c>
      <c r="X14" s="129">
        <v>6</v>
      </c>
      <c r="Y14" s="129">
        <v>6</v>
      </c>
      <c r="Z14" s="129">
        <v>6</v>
      </c>
    </row>
    <row r="15" spans="1:27" x14ac:dyDescent="0.2">
      <c r="A15" s="128" t="s">
        <v>141</v>
      </c>
      <c r="B15" s="129"/>
      <c r="C15" s="129"/>
      <c r="D15" s="129"/>
      <c r="E15" s="129"/>
      <c r="F15" s="129"/>
      <c r="G15" s="129"/>
      <c r="H15" s="129"/>
      <c r="I15" s="129"/>
      <c r="J15" s="129"/>
      <c r="K15" s="129"/>
      <c r="L15" s="129"/>
      <c r="M15" s="129">
        <v>13.1</v>
      </c>
      <c r="N15" s="129">
        <v>10</v>
      </c>
      <c r="O15" s="129">
        <v>11</v>
      </c>
      <c r="P15" s="129">
        <v>12</v>
      </c>
      <c r="Q15" s="129">
        <v>12</v>
      </c>
      <c r="R15" s="129">
        <v>11</v>
      </c>
      <c r="S15" s="129">
        <v>12</v>
      </c>
      <c r="T15" s="129">
        <v>12</v>
      </c>
      <c r="U15" s="129">
        <v>12</v>
      </c>
      <c r="V15" s="129">
        <v>12</v>
      </c>
      <c r="W15" s="129">
        <v>0</v>
      </c>
      <c r="X15" s="129">
        <v>12</v>
      </c>
      <c r="Y15" s="129">
        <v>12</v>
      </c>
      <c r="Z15" s="129">
        <v>12</v>
      </c>
    </row>
    <row r="16" spans="1:27" x14ac:dyDescent="0.2">
      <c r="A16" s="128" t="s">
        <v>47</v>
      </c>
      <c r="B16" s="130">
        <f t="shared" ref="B16:Z16" si="0">SUM(B14:B15)</f>
        <v>0</v>
      </c>
      <c r="C16" s="130">
        <f t="shared" si="0"/>
        <v>0</v>
      </c>
      <c r="D16" s="130">
        <f t="shared" si="0"/>
        <v>0</v>
      </c>
      <c r="E16" s="130">
        <f t="shared" si="0"/>
        <v>0</v>
      </c>
      <c r="F16" s="130">
        <f t="shared" si="0"/>
        <v>0</v>
      </c>
      <c r="G16" s="130">
        <f t="shared" si="0"/>
        <v>0</v>
      </c>
      <c r="H16" s="130">
        <f t="shared" si="0"/>
        <v>0</v>
      </c>
      <c r="I16" s="130">
        <f t="shared" si="0"/>
        <v>0</v>
      </c>
      <c r="J16" s="130">
        <f t="shared" si="0"/>
        <v>0</v>
      </c>
      <c r="K16" s="130">
        <f t="shared" si="0"/>
        <v>0</v>
      </c>
      <c r="L16" s="130">
        <f t="shared" si="0"/>
        <v>0</v>
      </c>
      <c r="M16" s="130">
        <f t="shared" si="0"/>
        <v>19.100000000000001</v>
      </c>
      <c r="N16" s="130">
        <f t="shared" si="0"/>
        <v>15</v>
      </c>
      <c r="O16" s="130">
        <f t="shared" si="0"/>
        <v>16</v>
      </c>
      <c r="P16" s="130">
        <f t="shared" si="0"/>
        <v>17</v>
      </c>
      <c r="Q16" s="130">
        <f t="shared" si="0"/>
        <v>18</v>
      </c>
      <c r="R16" s="130">
        <f t="shared" si="0"/>
        <v>16</v>
      </c>
      <c r="S16" s="130">
        <f t="shared" si="0"/>
        <v>17</v>
      </c>
      <c r="T16" s="130">
        <f t="shared" si="0"/>
        <v>18</v>
      </c>
      <c r="U16" s="130">
        <f t="shared" si="0"/>
        <v>17</v>
      </c>
      <c r="V16" s="130">
        <f t="shared" si="0"/>
        <v>18</v>
      </c>
      <c r="W16" s="130">
        <f t="shared" si="0"/>
        <v>6</v>
      </c>
      <c r="X16" s="130">
        <f t="shared" si="0"/>
        <v>18</v>
      </c>
      <c r="Y16" s="130">
        <f t="shared" si="0"/>
        <v>18</v>
      </c>
      <c r="Z16" s="130">
        <f t="shared" si="0"/>
        <v>18</v>
      </c>
    </row>
    <row r="17" spans="1:26" x14ac:dyDescent="0.2">
      <c r="A17" s="146" t="s">
        <v>142</v>
      </c>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8"/>
    </row>
    <row r="18" spans="1:26" x14ac:dyDescent="0.2">
      <c r="A18" s="128" t="s">
        <v>140</v>
      </c>
      <c r="B18" s="131"/>
      <c r="C18" s="131"/>
      <c r="D18" s="131"/>
      <c r="E18" s="131"/>
      <c r="F18" s="131"/>
      <c r="G18" s="131"/>
      <c r="H18" s="131"/>
      <c r="I18" s="131"/>
      <c r="J18" s="131"/>
      <c r="K18" s="131"/>
      <c r="L18" s="131"/>
      <c r="M18" s="131">
        <v>611905.55002991052</v>
      </c>
      <c r="N18" s="131">
        <v>538997.11</v>
      </c>
      <c r="O18" s="131">
        <v>530811.09</v>
      </c>
      <c r="P18" s="131">
        <v>574605.03999999992</v>
      </c>
      <c r="Q18" s="131">
        <v>564590.77999999991</v>
      </c>
      <c r="R18" s="131">
        <v>530811.09</v>
      </c>
      <c r="S18" s="131">
        <v>665494.02240000002</v>
      </c>
      <c r="T18" s="131">
        <v>0</v>
      </c>
      <c r="U18" s="131">
        <v>574605.03999999992</v>
      </c>
      <c r="V18" s="131">
        <v>0</v>
      </c>
      <c r="W18" s="131">
        <v>0</v>
      </c>
      <c r="X18" s="131">
        <v>564590.77999999991</v>
      </c>
      <c r="Y18" s="131">
        <v>668531.03</v>
      </c>
      <c r="Z18" s="131">
        <v>665494.02240000002</v>
      </c>
    </row>
    <row r="19" spans="1:26" x14ac:dyDescent="0.2">
      <c r="A19" s="128" t="s">
        <v>141</v>
      </c>
      <c r="B19" s="131"/>
      <c r="C19" s="131"/>
      <c r="D19" s="131"/>
      <c r="E19" s="131"/>
      <c r="F19" s="131"/>
      <c r="G19" s="131"/>
      <c r="H19" s="131"/>
      <c r="I19" s="131"/>
      <c r="J19" s="131"/>
      <c r="K19" s="131"/>
      <c r="L19" s="131"/>
      <c r="M19" s="131">
        <v>874308.69081707508</v>
      </c>
      <c r="N19" s="131">
        <v>794717.02999999991</v>
      </c>
      <c r="O19" s="131">
        <v>849768.61</v>
      </c>
      <c r="P19" s="131">
        <v>841183.75000000012</v>
      </c>
      <c r="Q19" s="131">
        <v>964936.30000000016</v>
      </c>
      <c r="R19" s="131">
        <v>849768.61</v>
      </c>
      <c r="S19" s="131">
        <v>995910.21654119028</v>
      </c>
      <c r="T19" s="131">
        <v>0</v>
      </c>
      <c r="U19" s="131">
        <v>841183.75000000012</v>
      </c>
      <c r="V19" s="131">
        <v>0</v>
      </c>
      <c r="W19" s="131">
        <v>0</v>
      </c>
      <c r="X19" s="131">
        <v>964936.30000000016</v>
      </c>
      <c r="Y19" s="131">
        <v>976670.1100000001</v>
      </c>
      <c r="Z19" s="131">
        <v>995910.21654119028</v>
      </c>
    </row>
    <row r="20" spans="1:26" x14ac:dyDescent="0.2">
      <c r="A20" s="128" t="s">
        <v>47</v>
      </c>
      <c r="B20" s="132">
        <f t="shared" ref="B20:Z20" si="1">SUM(B18:B19)</f>
        <v>0</v>
      </c>
      <c r="C20" s="132">
        <f t="shared" si="1"/>
        <v>0</v>
      </c>
      <c r="D20" s="132">
        <f t="shared" si="1"/>
        <v>0</v>
      </c>
      <c r="E20" s="132">
        <f t="shared" si="1"/>
        <v>0</v>
      </c>
      <c r="F20" s="132">
        <f t="shared" si="1"/>
        <v>0</v>
      </c>
      <c r="G20" s="132">
        <f t="shared" si="1"/>
        <v>0</v>
      </c>
      <c r="H20" s="132">
        <f t="shared" si="1"/>
        <v>0</v>
      </c>
      <c r="I20" s="132">
        <f t="shared" si="1"/>
        <v>0</v>
      </c>
      <c r="J20" s="132">
        <f t="shared" si="1"/>
        <v>0</v>
      </c>
      <c r="K20" s="132">
        <f t="shared" si="1"/>
        <v>0</v>
      </c>
      <c r="L20" s="132">
        <f t="shared" si="1"/>
        <v>0</v>
      </c>
      <c r="M20" s="132">
        <f t="shared" si="1"/>
        <v>1486214.2408469855</v>
      </c>
      <c r="N20" s="132">
        <f t="shared" si="1"/>
        <v>1333714.1399999999</v>
      </c>
      <c r="O20" s="132">
        <f t="shared" si="1"/>
        <v>1380579.7</v>
      </c>
      <c r="P20" s="132">
        <f t="shared" si="1"/>
        <v>1415788.79</v>
      </c>
      <c r="Q20" s="132">
        <f t="shared" si="1"/>
        <v>1529527.08</v>
      </c>
      <c r="R20" s="132">
        <f t="shared" si="1"/>
        <v>1380579.7</v>
      </c>
      <c r="S20" s="132">
        <f t="shared" si="1"/>
        <v>1661404.2389411903</v>
      </c>
      <c r="T20" s="132">
        <f t="shared" si="1"/>
        <v>0</v>
      </c>
      <c r="U20" s="132">
        <f t="shared" si="1"/>
        <v>1415788.79</v>
      </c>
      <c r="V20" s="132">
        <f t="shared" si="1"/>
        <v>0</v>
      </c>
      <c r="W20" s="132">
        <f t="shared" si="1"/>
        <v>0</v>
      </c>
      <c r="X20" s="132">
        <f t="shared" si="1"/>
        <v>1529527.08</v>
      </c>
      <c r="Y20" s="132">
        <f t="shared" si="1"/>
        <v>1645201.1400000001</v>
      </c>
      <c r="Z20" s="132">
        <f t="shared" si="1"/>
        <v>1661404.2389411903</v>
      </c>
    </row>
    <row r="21" spans="1:26" x14ac:dyDescent="0.2">
      <c r="A21" s="146" t="s">
        <v>143</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8"/>
    </row>
    <row r="22" spans="1:26" x14ac:dyDescent="0.2">
      <c r="A22" s="128" t="s">
        <v>140</v>
      </c>
      <c r="B22" s="131"/>
      <c r="C22" s="131"/>
      <c r="D22" s="131"/>
      <c r="E22" s="131"/>
      <c r="F22" s="131"/>
      <c r="G22" s="131"/>
      <c r="H22" s="131"/>
      <c r="I22" s="131"/>
      <c r="J22" s="131"/>
      <c r="K22" s="131"/>
      <c r="L22" s="131"/>
      <c r="M22" s="131">
        <v>130289.20723087844</v>
      </c>
      <c r="N22" s="131">
        <v>123542.46955256845</v>
      </c>
      <c r="O22" s="131">
        <v>99962.817728871436</v>
      </c>
      <c r="P22" s="131">
        <v>135695.60901721788</v>
      </c>
      <c r="Q22" s="131">
        <v>131592.17169015403</v>
      </c>
      <c r="R22" s="131">
        <v>99962.817728871436</v>
      </c>
      <c r="S22" s="131">
        <v>150441.96507413604</v>
      </c>
      <c r="T22" s="131">
        <v>0</v>
      </c>
      <c r="U22" s="131">
        <v>135695.60901721788</v>
      </c>
      <c r="V22" s="131">
        <v>0</v>
      </c>
      <c r="W22" s="131">
        <v>0</v>
      </c>
      <c r="X22" s="131">
        <v>131592.17169015403</v>
      </c>
      <c r="Y22" s="131">
        <v>146541.15254550576</v>
      </c>
      <c r="Z22" s="131">
        <v>150441.96507413604</v>
      </c>
    </row>
    <row r="23" spans="1:26" x14ac:dyDescent="0.2">
      <c r="A23" s="128" t="s">
        <v>141</v>
      </c>
      <c r="B23" s="131"/>
      <c r="C23" s="131"/>
      <c r="D23" s="131"/>
      <c r="E23" s="131"/>
      <c r="F23" s="131"/>
      <c r="G23" s="131"/>
      <c r="H23" s="131"/>
      <c r="I23" s="131"/>
      <c r="J23" s="131"/>
      <c r="K23" s="131"/>
      <c r="L23" s="131"/>
      <c r="M23" s="131">
        <v>197428.0029828453</v>
      </c>
      <c r="N23" s="131">
        <v>182155.53044743155</v>
      </c>
      <c r="O23" s="131">
        <v>160029.18227112858</v>
      </c>
      <c r="P23" s="131">
        <v>198649.39098278212</v>
      </c>
      <c r="Q23" s="131">
        <v>224902.82830984597</v>
      </c>
      <c r="R23" s="131">
        <v>160029.18227112858</v>
      </c>
      <c r="S23" s="131">
        <v>230564.98133327352</v>
      </c>
      <c r="T23" s="131">
        <v>0</v>
      </c>
      <c r="U23" s="131">
        <v>198649.39098278212</v>
      </c>
      <c r="V23" s="131">
        <v>0</v>
      </c>
      <c r="W23" s="131">
        <v>0</v>
      </c>
      <c r="X23" s="131">
        <v>224902.82830984597</v>
      </c>
      <c r="Y23" s="131">
        <v>214084.84745449424</v>
      </c>
      <c r="Z23" s="131">
        <v>230564.98133327352</v>
      </c>
    </row>
    <row r="24" spans="1:26" x14ac:dyDescent="0.2">
      <c r="A24" s="128" t="s">
        <v>47</v>
      </c>
      <c r="B24" s="132">
        <f>SUM(B22:B23)</f>
        <v>0</v>
      </c>
      <c r="C24" s="132">
        <f t="shared" ref="C24:Z24" si="2">SUM(C22:C23)</f>
        <v>0</v>
      </c>
      <c r="D24" s="132">
        <f t="shared" si="2"/>
        <v>0</v>
      </c>
      <c r="E24" s="132">
        <f t="shared" si="2"/>
        <v>0</v>
      </c>
      <c r="F24" s="132">
        <f t="shared" si="2"/>
        <v>0</v>
      </c>
      <c r="G24" s="132">
        <f t="shared" si="2"/>
        <v>0</v>
      </c>
      <c r="H24" s="132">
        <f t="shared" si="2"/>
        <v>0</v>
      </c>
      <c r="I24" s="132">
        <f t="shared" si="2"/>
        <v>0</v>
      </c>
      <c r="J24" s="132">
        <f t="shared" si="2"/>
        <v>0</v>
      </c>
      <c r="K24" s="132">
        <f t="shared" si="2"/>
        <v>0</v>
      </c>
      <c r="L24" s="132">
        <f t="shared" si="2"/>
        <v>0</v>
      </c>
      <c r="M24" s="132">
        <f t="shared" si="2"/>
        <v>327717.21021372371</v>
      </c>
      <c r="N24" s="132">
        <f t="shared" si="2"/>
        <v>305698</v>
      </c>
      <c r="O24" s="132">
        <f t="shared" si="2"/>
        <v>259992</v>
      </c>
      <c r="P24" s="132">
        <f t="shared" si="2"/>
        <v>334345</v>
      </c>
      <c r="Q24" s="132">
        <f t="shared" si="2"/>
        <v>356495</v>
      </c>
      <c r="R24" s="132">
        <f t="shared" si="2"/>
        <v>259992</v>
      </c>
      <c r="S24" s="132">
        <f t="shared" si="2"/>
        <v>381006.94640740956</v>
      </c>
      <c r="T24" s="132">
        <f t="shared" si="2"/>
        <v>0</v>
      </c>
      <c r="U24" s="132">
        <f t="shared" si="2"/>
        <v>334345</v>
      </c>
      <c r="V24" s="132">
        <f t="shared" si="2"/>
        <v>0</v>
      </c>
      <c r="W24" s="132">
        <f t="shared" si="2"/>
        <v>0</v>
      </c>
      <c r="X24" s="132">
        <f t="shared" si="2"/>
        <v>356495</v>
      </c>
      <c r="Y24" s="132">
        <f t="shared" si="2"/>
        <v>360626</v>
      </c>
      <c r="Z24" s="132">
        <f t="shared" si="2"/>
        <v>381006.94640740956</v>
      </c>
    </row>
    <row r="25" spans="1:26" x14ac:dyDescent="0.2">
      <c r="A25" s="146" t="s">
        <v>144</v>
      </c>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8"/>
    </row>
    <row r="26" spans="1:26" x14ac:dyDescent="0.2">
      <c r="A26" s="128" t="s">
        <v>140</v>
      </c>
      <c r="B26" s="132">
        <f t="shared" ref="B26:Z28" si="3">B18+B22</f>
        <v>0</v>
      </c>
      <c r="C26" s="132">
        <f t="shared" si="3"/>
        <v>0</v>
      </c>
      <c r="D26" s="132">
        <f t="shared" si="3"/>
        <v>0</v>
      </c>
      <c r="E26" s="132">
        <f t="shared" si="3"/>
        <v>0</v>
      </c>
      <c r="F26" s="132">
        <f t="shared" si="3"/>
        <v>0</v>
      </c>
      <c r="G26" s="132">
        <f t="shared" si="3"/>
        <v>0</v>
      </c>
      <c r="H26" s="132">
        <f t="shared" si="3"/>
        <v>0</v>
      </c>
      <c r="I26" s="132">
        <f t="shared" si="3"/>
        <v>0</v>
      </c>
      <c r="J26" s="132">
        <f t="shared" si="3"/>
        <v>0</v>
      </c>
      <c r="K26" s="132">
        <f t="shared" si="3"/>
        <v>0</v>
      </c>
      <c r="L26" s="132">
        <f t="shared" si="3"/>
        <v>0</v>
      </c>
      <c r="M26" s="132">
        <f t="shared" si="3"/>
        <v>742194.75726078893</v>
      </c>
      <c r="N26" s="132">
        <f t="shared" si="3"/>
        <v>662539.5795525685</v>
      </c>
      <c r="O26" s="132">
        <f t="shared" si="3"/>
        <v>630773.90772887145</v>
      </c>
      <c r="P26" s="132">
        <f t="shared" si="3"/>
        <v>710300.6490172178</v>
      </c>
      <c r="Q26" s="132">
        <f t="shared" si="3"/>
        <v>696182.95169015392</v>
      </c>
      <c r="R26" s="132">
        <f t="shared" si="3"/>
        <v>630773.90772887145</v>
      </c>
      <c r="S26" s="132">
        <f t="shared" si="3"/>
        <v>815935.98747413605</v>
      </c>
      <c r="T26" s="132">
        <f t="shared" si="3"/>
        <v>0</v>
      </c>
      <c r="U26" s="132">
        <f t="shared" si="3"/>
        <v>710300.6490172178</v>
      </c>
      <c r="V26" s="132">
        <f t="shared" si="3"/>
        <v>0</v>
      </c>
      <c r="W26" s="132">
        <f t="shared" si="3"/>
        <v>0</v>
      </c>
      <c r="X26" s="132">
        <f t="shared" si="3"/>
        <v>696182.95169015392</v>
      </c>
      <c r="Y26" s="132">
        <f t="shared" si="3"/>
        <v>815072.18254550581</v>
      </c>
      <c r="Z26" s="132">
        <f t="shared" si="3"/>
        <v>815935.98747413605</v>
      </c>
    </row>
    <row r="27" spans="1:26" x14ac:dyDescent="0.2">
      <c r="A27" s="128" t="s">
        <v>141</v>
      </c>
      <c r="B27" s="132">
        <f t="shared" si="3"/>
        <v>0</v>
      </c>
      <c r="C27" s="132">
        <f t="shared" si="3"/>
        <v>0</v>
      </c>
      <c r="D27" s="132">
        <f t="shared" si="3"/>
        <v>0</v>
      </c>
      <c r="E27" s="132">
        <f t="shared" si="3"/>
        <v>0</v>
      </c>
      <c r="F27" s="132">
        <f t="shared" si="3"/>
        <v>0</v>
      </c>
      <c r="G27" s="132">
        <f t="shared" si="3"/>
        <v>0</v>
      </c>
      <c r="H27" s="132">
        <f t="shared" si="3"/>
        <v>0</v>
      </c>
      <c r="I27" s="132">
        <f t="shared" si="3"/>
        <v>0</v>
      </c>
      <c r="J27" s="132">
        <f t="shared" si="3"/>
        <v>0</v>
      </c>
      <c r="K27" s="132">
        <f t="shared" si="3"/>
        <v>0</v>
      </c>
      <c r="L27" s="132">
        <f t="shared" si="3"/>
        <v>0</v>
      </c>
      <c r="M27" s="132">
        <f t="shared" si="3"/>
        <v>1071736.6937999204</v>
      </c>
      <c r="N27" s="132">
        <f t="shared" si="3"/>
        <v>976872.5604474314</v>
      </c>
      <c r="O27" s="132">
        <f t="shared" si="3"/>
        <v>1009797.7922711286</v>
      </c>
      <c r="P27" s="132">
        <f t="shared" si="3"/>
        <v>1039833.1409827822</v>
      </c>
      <c r="Q27" s="132">
        <f t="shared" si="3"/>
        <v>1189839.1283098462</v>
      </c>
      <c r="R27" s="132">
        <f t="shared" si="3"/>
        <v>1009797.7922711286</v>
      </c>
      <c r="S27" s="132">
        <f t="shared" si="3"/>
        <v>1226475.1978744639</v>
      </c>
      <c r="T27" s="132">
        <f t="shared" si="3"/>
        <v>0</v>
      </c>
      <c r="U27" s="132">
        <f t="shared" si="3"/>
        <v>1039833.1409827822</v>
      </c>
      <c r="V27" s="132">
        <f t="shared" si="3"/>
        <v>0</v>
      </c>
      <c r="W27" s="132">
        <f t="shared" si="3"/>
        <v>0</v>
      </c>
      <c r="X27" s="132">
        <f t="shared" si="3"/>
        <v>1189839.1283098462</v>
      </c>
      <c r="Y27" s="132">
        <f t="shared" si="3"/>
        <v>1190754.9574544944</v>
      </c>
      <c r="Z27" s="132">
        <f t="shared" si="3"/>
        <v>1226475.1978744639</v>
      </c>
    </row>
    <row r="28" spans="1:26" x14ac:dyDescent="0.2">
      <c r="A28" s="128" t="s">
        <v>47</v>
      </c>
      <c r="B28" s="132">
        <f t="shared" si="3"/>
        <v>0</v>
      </c>
      <c r="C28" s="132">
        <f t="shared" si="3"/>
        <v>0</v>
      </c>
      <c r="D28" s="132">
        <f t="shared" si="3"/>
        <v>0</v>
      </c>
      <c r="E28" s="132">
        <f t="shared" si="3"/>
        <v>0</v>
      </c>
      <c r="F28" s="132">
        <f t="shared" si="3"/>
        <v>0</v>
      </c>
      <c r="G28" s="132">
        <f t="shared" si="3"/>
        <v>0</v>
      </c>
      <c r="H28" s="132">
        <f t="shared" si="3"/>
        <v>0</v>
      </c>
      <c r="I28" s="132">
        <f t="shared" si="3"/>
        <v>0</v>
      </c>
      <c r="J28" s="132">
        <f t="shared" si="3"/>
        <v>0</v>
      </c>
      <c r="K28" s="132">
        <f t="shared" si="3"/>
        <v>0</v>
      </c>
      <c r="L28" s="132">
        <f t="shared" si="3"/>
        <v>0</v>
      </c>
      <c r="M28" s="132">
        <f t="shared" si="3"/>
        <v>1813931.4510607091</v>
      </c>
      <c r="N28" s="132">
        <f t="shared" si="3"/>
        <v>1639412.14</v>
      </c>
      <c r="O28" s="132">
        <f t="shared" si="3"/>
        <v>1640571.7</v>
      </c>
      <c r="P28" s="132">
        <f t="shared" si="3"/>
        <v>1750133.79</v>
      </c>
      <c r="Q28" s="132">
        <f t="shared" si="3"/>
        <v>1886022.08</v>
      </c>
      <c r="R28" s="132">
        <f t="shared" si="3"/>
        <v>1640571.7</v>
      </c>
      <c r="S28" s="132">
        <f t="shared" si="3"/>
        <v>2042411.1853485999</v>
      </c>
      <c r="T28" s="132">
        <f t="shared" si="3"/>
        <v>0</v>
      </c>
      <c r="U28" s="132">
        <f t="shared" si="3"/>
        <v>1750133.79</v>
      </c>
      <c r="V28" s="132">
        <f t="shared" si="3"/>
        <v>0</v>
      </c>
      <c r="W28" s="132">
        <f t="shared" si="3"/>
        <v>0</v>
      </c>
      <c r="X28" s="132">
        <f t="shared" si="3"/>
        <v>1886022.08</v>
      </c>
      <c r="Y28" s="132">
        <f t="shared" si="3"/>
        <v>2005827.1400000001</v>
      </c>
      <c r="Z28" s="132">
        <f t="shared" si="3"/>
        <v>2042411.1853485999</v>
      </c>
    </row>
    <row r="30" spans="1:26" ht="19.5" customHeight="1" x14ac:dyDescent="0.2">
      <c r="A30" s="149" t="s">
        <v>68</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row>
    <row r="31" spans="1:26" ht="14.25" x14ac:dyDescent="0.2">
      <c r="A31" s="150" t="s">
        <v>145</v>
      </c>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row>
    <row r="32" spans="1:26" ht="29.25" customHeight="1" x14ac:dyDescent="0.2">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row>
  </sheetData>
  <mergeCells count="10">
    <mergeCell ref="A25:Z25"/>
    <mergeCell ref="A30:Z30"/>
    <mergeCell ref="A31:Z31"/>
    <mergeCell ref="A32:Z32"/>
    <mergeCell ref="A4:X4"/>
    <mergeCell ref="A9:Z9"/>
    <mergeCell ref="A10:Z10"/>
    <mergeCell ref="A13:Z13"/>
    <mergeCell ref="A17:Z17"/>
    <mergeCell ref="A21:Z21"/>
  </mergeCells>
  <dataValidations count="1">
    <dataValidation allowBlank="1" showInputMessage="1" showErrorMessage="1" promptTitle="Date Format" prompt="E.g:  &quot;August 1, 2011&quot;" sqref="Z7"/>
  </dataValidations>
  <printOptions horizontalCentered="1" headings="1" gridLines="1"/>
  <pageMargins left="0.74803149606299202" right="0.74803149606299202" top="0.98425196850393704" bottom="0.98425196850393704" header="0.511811023622047" footer="0.511811023622047"/>
  <pageSetup paperSize="17" scale="44" orientation="landscape"/>
  <headerFooter alignWithMargins="0"/>
</worksheet>
</file>

<file path=docProps/app.xml><?xml version="1.0" encoding="utf-8"?>
<Properties xmlns="http://schemas.openxmlformats.org/officeDocument/2006/extended-properties" xmlns:vt="http://schemas.openxmlformats.org/officeDocument/2006/docPropsVTypes">
  <TitlesOfParts>
    <vt:vector size="8" baseType="lpstr">
      <vt:lpstr>App.2-JA_OM&amp;A_Summary_Analys</vt:lpstr>
      <vt:lpstr>App.2-JB_OM&amp;A_Cost _Drivers</vt:lpstr>
      <vt:lpstr>App.2-JC_OMA Programs</vt:lpstr>
      <vt:lpstr>App.2-K_Employee Costs</vt:lpstr>
      <vt:lpstr>'App.2-JA_OM&amp;A_Summary_Analys'!Print_Area</vt:lpstr>
      <vt:lpstr>'App.2-JB_OM&amp;A_Cost _Drivers'!Print_Area</vt:lpstr>
      <vt:lpstr>'App.2-JC_OMA Programs'!Print_Area</vt:lpstr>
      <vt:lpstr>'App.2-K_Employee Costs'!Print_Area</vt:lpstr>
    </vt:vector>
  </TitlesOfParts>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file>