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Rates\OEB 2019\IRM\Question from OEB 20190124\"/>
    </mc:Choice>
  </mc:AlternateContent>
  <bookViews>
    <workbookView xWindow="0" yWindow="0" windowWidth="28800" windowHeight="12885" activeTab="1"/>
  </bookViews>
  <sheets>
    <sheet name="RPP True up  2016" sheetId="14" r:id="rId1"/>
    <sheet name="RPP True up  2017" sheetId="13" r:id="rId2"/>
  </sheets>
  <calcPr calcId="162913" calcOnSave="0"/>
</workbook>
</file>

<file path=xl/calcChain.xml><?xml version="1.0" encoding="utf-8"?>
<calcChain xmlns="http://schemas.openxmlformats.org/spreadsheetml/2006/main">
  <c r="L15" i="14" l="1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I14" i="14"/>
  <c r="H14" i="14"/>
  <c r="G14" i="14"/>
  <c r="F14" i="14"/>
  <c r="E14" i="14"/>
  <c r="D14" i="14"/>
  <c r="C14" i="14"/>
  <c r="B14" i="14"/>
  <c r="L13" i="14"/>
  <c r="K13" i="14"/>
  <c r="J13" i="14"/>
  <c r="I13" i="14"/>
  <c r="H13" i="14"/>
  <c r="G13" i="14"/>
  <c r="F13" i="14"/>
  <c r="E13" i="14"/>
  <c r="D13" i="14"/>
  <c r="C13" i="14"/>
  <c r="B13" i="14"/>
  <c r="M15" i="14"/>
  <c r="M14" i="14"/>
  <c r="M13" i="14"/>
  <c r="K15" i="13" l="1"/>
  <c r="J15" i="13"/>
  <c r="I15" i="13"/>
  <c r="H15" i="13"/>
  <c r="G15" i="13"/>
  <c r="F15" i="13"/>
  <c r="E15" i="13"/>
  <c r="D15" i="13"/>
  <c r="C15" i="13"/>
  <c r="B15" i="13"/>
  <c r="K14" i="13"/>
  <c r="J14" i="13"/>
  <c r="I14" i="13"/>
  <c r="H14" i="13"/>
  <c r="G14" i="13"/>
  <c r="F14" i="13"/>
  <c r="E14" i="13"/>
  <c r="D14" i="13"/>
  <c r="C14" i="13"/>
  <c r="B14" i="13"/>
  <c r="K13" i="13"/>
  <c r="J13" i="13"/>
  <c r="I13" i="13"/>
  <c r="H13" i="13"/>
  <c r="G13" i="13"/>
  <c r="F13" i="13"/>
  <c r="E13" i="13"/>
  <c r="D13" i="13"/>
  <c r="C13" i="13"/>
  <c r="B13" i="13"/>
  <c r="M15" i="13"/>
  <c r="M14" i="13"/>
  <c r="M13" i="13"/>
  <c r="L15" i="13"/>
  <c r="L14" i="13"/>
  <c r="L13" i="13"/>
  <c r="O40" i="14" l="1"/>
  <c r="B5" i="13" l="1"/>
  <c r="C5" i="13"/>
  <c r="D5" i="13"/>
  <c r="E5" i="13"/>
  <c r="F5" i="13"/>
  <c r="G5" i="13"/>
  <c r="H5" i="13"/>
  <c r="I5" i="13"/>
  <c r="J5" i="13"/>
  <c r="K5" i="13"/>
  <c r="L5" i="13"/>
  <c r="M5" i="13"/>
  <c r="N54" i="14" l="1"/>
  <c r="N53" i="14"/>
  <c r="N52" i="14"/>
  <c r="N45" i="14"/>
  <c r="M40" i="14"/>
  <c r="M49" i="14" s="1"/>
  <c r="M56" i="14" s="1"/>
  <c r="L40" i="14"/>
  <c r="L49" i="14" s="1"/>
  <c r="L56" i="14" s="1"/>
  <c r="K40" i="14"/>
  <c r="K49" i="14" s="1"/>
  <c r="K56" i="14" s="1"/>
  <c r="J40" i="14"/>
  <c r="J49" i="14" s="1"/>
  <c r="J56" i="14" s="1"/>
  <c r="I40" i="14"/>
  <c r="I49" i="14" s="1"/>
  <c r="I56" i="14" s="1"/>
  <c r="H40" i="14"/>
  <c r="H49" i="14" s="1"/>
  <c r="H56" i="14" s="1"/>
  <c r="G40" i="14"/>
  <c r="G49" i="14" s="1"/>
  <c r="G56" i="14" s="1"/>
  <c r="F40" i="14"/>
  <c r="F49" i="14" s="1"/>
  <c r="F56" i="14" s="1"/>
  <c r="E40" i="14"/>
  <c r="E49" i="14" s="1"/>
  <c r="E56" i="14" s="1"/>
  <c r="D40" i="14"/>
  <c r="D49" i="14" s="1"/>
  <c r="D56" i="14" s="1"/>
  <c r="C40" i="14"/>
  <c r="C49" i="14" s="1"/>
  <c r="C56" i="14" s="1"/>
  <c r="B40" i="14"/>
  <c r="B49" i="14" s="1"/>
  <c r="N39" i="14"/>
  <c r="N38" i="14"/>
  <c r="N37" i="14"/>
  <c r="N36" i="14"/>
  <c r="N35" i="14"/>
  <c r="N33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M25" i="14"/>
  <c r="M28" i="14" s="1"/>
  <c r="L25" i="14"/>
  <c r="K25" i="14"/>
  <c r="K28" i="14" s="1"/>
  <c r="J25" i="14"/>
  <c r="J28" i="14" s="1"/>
  <c r="I25" i="14"/>
  <c r="I28" i="14" s="1"/>
  <c r="H25" i="14"/>
  <c r="H28" i="14" s="1"/>
  <c r="G25" i="14"/>
  <c r="G28" i="14" s="1"/>
  <c r="F25" i="14"/>
  <c r="F28" i="14" s="1"/>
  <c r="E25" i="14"/>
  <c r="D25" i="14"/>
  <c r="D28" i="14" s="1"/>
  <c r="C25" i="14"/>
  <c r="C28" i="14" s="1"/>
  <c r="B25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N21" i="14"/>
  <c r="N20" i="14"/>
  <c r="N19" i="14"/>
  <c r="L28" i="14" l="1"/>
  <c r="E28" i="14"/>
  <c r="N15" i="14"/>
  <c r="N22" i="14"/>
  <c r="N25" i="14"/>
  <c r="N26" i="14"/>
  <c r="N27" i="14"/>
  <c r="K42" i="14"/>
  <c r="K47" i="14" s="1"/>
  <c r="N40" i="14"/>
  <c r="J42" i="14"/>
  <c r="J47" i="14" s="1"/>
  <c r="F42" i="14"/>
  <c r="F47" i="14" s="1"/>
  <c r="D42" i="14"/>
  <c r="D47" i="14" s="1"/>
  <c r="B42" i="14"/>
  <c r="B47" i="14" s="1"/>
  <c r="G42" i="14"/>
  <c r="G47" i="14" s="1"/>
  <c r="L42" i="14"/>
  <c r="L47" i="14" s="1"/>
  <c r="C42" i="14"/>
  <c r="C47" i="14" s="1"/>
  <c r="H42" i="14"/>
  <c r="H47" i="14" s="1"/>
  <c r="B56" i="14"/>
  <c r="N56" i="14" s="1"/>
  <c r="N49" i="14"/>
  <c r="N5" i="14"/>
  <c r="B28" i="14"/>
  <c r="E42" i="14"/>
  <c r="E47" i="14" s="1"/>
  <c r="I42" i="14"/>
  <c r="I47" i="14" s="1"/>
  <c r="M42" i="14"/>
  <c r="M47" i="14" s="1"/>
  <c r="G11" i="14"/>
  <c r="C16" i="14" l="1"/>
  <c r="C30" i="14" s="1"/>
  <c r="D16" i="14"/>
  <c r="D30" i="14" s="1"/>
  <c r="K11" i="14"/>
  <c r="L16" i="14"/>
  <c r="L30" i="14" s="1"/>
  <c r="G16" i="14"/>
  <c r="G30" i="14" s="1"/>
  <c r="D11" i="14"/>
  <c r="H16" i="14"/>
  <c r="H30" i="14" s="1"/>
  <c r="N10" i="14"/>
  <c r="C11" i="14"/>
  <c r="K16" i="14"/>
  <c r="K30" i="14" s="1"/>
  <c r="J16" i="14"/>
  <c r="J30" i="14" s="1"/>
  <c r="J11" i="14"/>
  <c r="I11" i="14"/>
  <c r="I16" i="14"/>
  <c r="I30" i="14" s="1"/>
  <c r="F16" i="14"/>
  <c r="F30" i="14" s="1"/>
  <c r="F11" i="14"/>
  <c r="E11" i="14"/>
  <c r="E16" i="14"/>
  <c r="E30" i="14" s="1"/>
  <c r="N42" i="14"/>
  <c r="N47" i="14" s="1"/>
  <c r="N9" i="14"/>
  <c r="N8" i="14"/>
  <c r="B11" i="14"/>
  <c r="N14" i="14"/>
  <c r="L11" i="14"/>
  <c r="N28" i="14"/>
  <c r="M16" i="14"/>
  <c r="M30" i="14" s="1"/>
  <c r="M11" i="14"/>
  <c r="H11" i="14"/>
  <c r="N13" i="14" l="1"/>
  <c r="B16" i="14"/>
  <c r="N11" i="14"/>
  <c r="N16" i="14" l="1"/>
  <c r="B30" i="14"/>
  <c r="N30" i="14" s="1"/>
  <c r="N56" i="13" l="1"/>
  <c r="N55" i="13"/>
  <c r="N53" i="13"/>
  <c r="N54" i="13"/>
  <c r="N52" i="13"/>
  <c r="N38" i="13" l="1"/>
  <c r="N45" i="13" l="1"/>
  <c r="L40" i="13"/>
  <c r="K40" i="13"/>
  <c r="J40" i="13"/>
  <c r="I40" i="13"/>
  <c r="H40" i="13"/>
  <c r="G40" i="13"/>
  <c r="F40" i="13"/>
  <c r="F49" i="13" s="1"/>
  <c r="F58" i="13" s="1"/>
  <c r="E40" i="13"/>
  <c r="D40" i="13"/>
  <c r="C40" i="13"/>
  <c r="B40" i="13"/>
  <c r="N39" i="13"/>
  <c r="M40" i="13"/>
  <c r="M49" i="13" s="1"/>
  <c r="M58" i="13" s="1"/>
  <c r="N37" i="13"/>
  <c r="N36" i="13"/>
  <c r="N35" i="13"/>
  <c r="M27" i="13"/>
  <c r="K27" i="13"/>
  <c r="J27" i="13"/>
  <c r="G27" i="13"/>
  <c r="F27" i="13"/>
  <c r="C27" i="13"/>
  <c r="B27" i="13"/>
  <c r="F10" i="13"/>
  <c r="K8" i="13"/>
  <c r="J8" i="13"/>
  <c r="I8" i="13"/>
  <c r="H8" i="13"/>
  <c r="G8" i="13"/>
  <c r="F8" i="13"/>
  <c r="E8" i="13"/>
  <c r="D8" i="13"/>
  <c r="C8" i="13"/>
  <c r="B8" i="13"/>
  <c r="N20" i="13"/>
  <c r="N19" i="13"/>
  <c r="K10" i="13"/>
  <c r="J10" i="13"/>
  <c r="I10" i="13"/>
  <c r="H10" i="13"/>
  <c r="G10" i="13"/>
  <c r="E10" i="13"/>
  <c r="D10" i="13"/>
  <c r="C10" i="13"/>
  <c r="B10" i="13"/>
  <c r="K9" i="13"/>
  <c r="J9" i="13"/>
  <c r="I9" i="13"/>
  <c r="H9" i="13"/>
  <c r="G9" i="13"/>
  <c r="F9" i="13"/>
  <c r="E9" i="13"/>
  <c r="D9" i="13"/>
  <c r="C9" i="13"/>
  <c r="B9" i="13"/>
  <c r="L26" i="13"/>
  <c r="K26" i="13"/>
  <c r="J26" i="13"/>
  <c r="I26" i="13"/>
  <c r="H26" i="13"/>
  <c r="G26" i="13"/>
  <c r="F26" i="13"/>
  <c r="E26" i="13"/>
  <c r="D26" i="13"/>
  <c r="C26" i="13"/>
  <c r="B26" i="13"/>
  <c r="L25" i="13"/>
  <c r="K25" i="13"/>
  <c r="J25" i="13"/>
  <c r="I25" i="13"/>
  <c r="H25" i="13"/>
  <c r="G25" i="13"/>
  <c r="F25" i="13"/>
  <c r="E25" i="13"/>
  <c r="D25" i="13"/>
  <c r="C25" i="13"/>
  <c r="B25" i="13"/>
  <c r="M26" i="13"/>
  <c r="M25" i="13"/>
  <c r="F42" i="13" l="1"/>
  <c r="F47" i="13" s="1"/>
  <c r="C42" i="13"/>
  <c r="C47" i="13" s="1"/>
  <c r="C49" i="13"/>
  <c r="C58" i="13" s="1"/>
  <c r="B42" i="13"/>
  <c r="B47" i="13" s="1"/>
  <c r="B49" i="13"/>
  <c r="J42" i="13"/>
  <c r="J47" i="13" s="1"/>
  <c r="J49" i="13"/>
  <c r="J58" i="13" s="1"/>
  <c r="G42" i="13"/>
  <c r="G47" i="13" s="1"/>
  <c r="G49" i="13"/>
  <c r="G58" i="13" s="1"/>
  <c r="D42" i="13"/>
  <c r="D47" i="13" s="1"/>
  <c r="D49" i="13"/>
  <c r="D58" i="13" s="1"/>
  <c r="H42" i="13"/>
  <c r="H47" i="13" s="1"/>
  <c r="H49" i="13"/>
  <c r="H58" i="13" s="1"/>
  <c r="L42" i="13"/>
  <c r="L47" i="13" s="1"/>
  <c r="L49" i="13"/>
  <c r="L58" i="13" s="1"/>
  <c r="K42" i="13"/>
  <c r="K47" i="13" s="1"/>
  <c r="K49" i="13"/>
  <c r="K58" i="13" s="1"/>
  <c r="E42" i="13"/>
  <c r="E47" i="13" s="1"/>
  <c r="E49" i="13"/>
  <c r="E58" i="13" s="1"/>
  <c r="I42" i="13"/>
  <c r="I47" i="13" s="1"/>
  <c r="I49" i="13"/>
  <c r="I58" i="13" s="1"/>
  <c r="L27" i="13"/>
  <c r="M42" i="13"/>
  <c r="M47" i="13" s="1"/>
  <c r="N40" i="13"/>
  <c r="N33" i="13"/>
  <c r="D22" i="13"/>
  <c r="D27" i="13"/>
  <c r="D28" i="13" s="1"/>
  <c r="H22" i="13"/>
  <c r="H27" i="13"/>
  <c r="H28" i="13" s="1"/>
  <c r="E27" i="13"/>
  <c r="E28" i="13" s="1"/>
  <c r="E22" i="13"/>
  <c r="I27" i="13"/>
  <c r="I28" i="13" s="1"/>
  <c r="I22" i="13"/>
  <c r="N26" i="13"/>
  <c r="N25" i="13"/>
  <c r="N21" i="13"/>
  <c r="B28" i="13"/>
  <c r="F28" i="13"/>
  <c r="J28" i="13"/>
  <c r="C28" i="13"/>
  <c r="G28" i="13"/>
  <c r="K28" i="13"/>
  <c r="B22" i="13"/>
  <c r="F22" i="13"/>
  <c r="J22" i="13"/>
  <c r="C22" i="13"/>
  <c r="G22" i="13"/>
  <c r="K22" i="13"/>
  <c r="N49" i="13" l="1"/>
  <c r="B58" i="13"/>
  <c r="N58" i="13" s="1"/>
  <c r="N42" i="13"/>
  <c r="N27" i="13"/>
  <c r="B16" i="13"/>
  <c r="B11" i="13"/>
  <c r="E11" i="13"/>
  <c r="E16" i="13"/>
  <c r="E30" i="13" s="1"/>
  <c r="C16" i="13"/>
  <c r="C30" i="13" s="1"/>
  <c r="C11" i="13"/>
  <c r="J16" i="13"/>
  <c r="J30" i="13" s="1"/>
  <c r="J11" i="13"/>
  <c r="K16" i="13"/>
  <c r="K30" i="13" s="1"/>
  <c r="K11" i="13"/>
  <c r="F16" i="13"/>
  <c r="F30" i="13" s="1"/>
  <c r="F11" i="13"/>
  <c r="I11" i="13"/>
  <c r="I16" i="13"/>
  <c r="I30" i="13" s="1"/>
  <c r="H11" i="13"/>
  <c r="H16" i="13"/>
  <c r="H30" i="13" s="1"/>
  <c r="G16" i="13"/>
  <c r="G30" i="13" s="1"/>
  <c r="G11" i="13"/>
  <c r="D11" i="13"/>
  <c r="D16" i="13"/>
  <c r="D30" i="13" s="1"/>
  <c r="N47" i="13" l="1"/>
  <c r="B30" i="13"/>
  <c r="M8" i="13" l="1"/>
  <c r="M22" i="13"/>
  <c r="M10" i="13"/>
  <c r="M9" i="13"/>
  <c r="L8" i="13" l="1"/>
  <c r="N5" i="13"/>
  <c r="L22" i="13"/>
  <c r="M11" i="13"/>
  <c r="M16" i="13"/>
  <c r="L10" i="13"/>
  <c r="L9" i="13"/>
  <c r="L28" i="13"/>
  <c r="N22" i="13" l="1"/>
  <c r="N9" i="13"/>
  <c r="N10" i="13"/>
  <c r="N8" i="13"/>
  <c r="L11" i="13"/>
  <c r="M28" i="13"/>
  <c r="N13" i="13" l="1"/>
  <c r="N14" i="13"/>
  <c r="N15" i="13"/>
  <c r="N11" i="13"/>
  <c r="M30" i="13"/>
  <c r="N28" i="13"/>
  <c r="L16" i="13"/>
  <c r="O40" i="13" l="1"/>
  <c r="N16" i="13"/>
  <c r="L30" i="13"/>
  <c r="N30" i="13" l="1"/>
</calcChain>
</file>

<file path=xl/comments1.xml><?xml version="1.0" encoding="utf-8"?>
<comments xmlns="http://schemas.openxmlformats.org/spreadsheetml/2006/main">
  <authors>
    <author>Navneet Malik</author>
  </authors>
  <commentList>
    <comment ref="M38" authorId="0" shapeId="0">
      <text>
        <r>
          <rPr>
            <b/>
            <sz val="9"/>
            <color indexed="81"/>
            <rFont val="Tahoma"/>
            <family val="2"/>
          </rPr>
          <t>Navneet Malik:</t>
        </r>
        <r>
          <rPr>
            <sz val="9"/>
            <color indexed="81"/>
            <rFont val="Tahoma"/>
            <family val="2"/>
          </rPr>
          <t xml:space="preserve">
Row 120 1598 - Reconcilliation GA to keep RPP out of variance for other classes (a)*(b)/1000 </t>
        </r>
      </text>
    </comment>
  </commentList>
</comments>
</file>

<file path=xl/comments2.xml><?xml version="1.0" encoding="utf-8"?>
<comments xmlns="http://schemas.openxmlformats.org/spreadsheetml/2006/main">
  <authors>
    <author>Navneet Malik</author>
  </authors>
  <commentList>
    <comment ref="M38" authorId="0" shapeId="0">
      <text>
        <r>
          <rPr>
            <b/>
            <sz val="9"/>
            <color indexed="81"/>
            <rFont val="Tahoma"/>
            <family val="2"/>
          </rPr>
          <t>Navneet Malik:</t>
        </r>
        <r>
          <rPr>
            <sz val="9"/>
            <color indexed="81"/>
            <rFont val="Tahoma"/>
            <family val="2"/>
          </rPr>
          <t xml:space="preserve">
Row 120 1598 - Reconcilliation GA to keep RPP out of variance for other classes (a)*(b)/1000 </t>
        </r>
      </text>
    </comment>
  </commentList>
</comments>
</file>

<file path=xl/sharedStrings.xml><?xml version="1.0" encoding="utf-8"?>
<sst xmlns="http://schemas.openxmlformats.org/spreadsheetml/2006/main" count="84" uniqueCount="30">
  <si>
    <t>Total</t>
  </si>
  <si>
    <t>Global Adjustment for First Tier RPP - Class B</t>
  </si>
  <si>
    <t>Global Adjustment for Second Tier RPP - Class B</t>
  </si>
  <si>
    <t>Global Adjustment for TOU RPP - Class B</t>
  </si>
  <si>
    <t>Estimated Consumption</t>
  </si>
  <si>
    <t>Actual Consumption</t>
  </si>
  <si>
    <t>GA Actual rate</t>
  </si>
  <si>
    <t>RPP True up</t>
  </si>
  <si>
    <t>Actual Amount (actual consumption x GA actual rate)</t>
  </si>
  <si>
    <t>.</t>
  </si>
  <si>
    <t>Less:  GA Class B (from 1598 Report)</t>
  </si>
  <si>
    <t>Add:</t>
  </si>
  <si>
    <t>CLASS A GLOBAL ADJUSTMENT SETTLEMENT AMOUNT</t>
  </si>
  <si>
    <t>Total GA to Account 4014</t>
  </si>
  <si>
    <t>Final Variance Settlement amount for RPP (from 1598 report - Line 141)</t>
  </si>
  <si>
    <t>Total Power Purchased to Account 4008</t>
  </si>
  <si>
    <t>148 -CLASS B GLOBAL ADJUSTMENT SETTLEMENT AMOUNT</t>
  </si>
  <si>
    <t>101 - NET ENERGY MARKET SETTLEMENT FOR NON-DISPATCHABLE LOAD</t>
  </si>
  <si>
    <t>142 - REGULATED PRICE PLAN SETTLEMENT AMOUNT</t>
  </si>
  <si>
    <t>Non-RPP Class B GA</t>
  </si>
  <si>
    <t>IESO Invoice</t>
  </si>
  <si>
    <t>1143 - OFHP NON RPP CONSUMER DISCOUNT SETTLEMENT ACCOUNT</t>
  </si>
  <si>
    <t>1142 - OFHP RPP CONSUMER DISCOUNT SETTLEMENT</t>
  </si>
  <si>
    <t>Sub-total Class B items from 1598 Report</t>
  </si>
  <si>
    <t>Estimated Consumption RPP</t>
  </si>
  <si>
    <t>Variance</t>
  </si>
  <si>
    <t>Reconciling difference between estimated consumption using first estimate from last two months and actual consumption using first estimate</t>
  </si>
  <si>
    <t>Reconciling difference between GA first estimate and actual GA rate x billed RPP consumption (RPP first tier, second tier, TOU on peak, mid peak and off peak)</t>
  </si>
  <si>
    <t>GA first estimate</t>
  </si>
  <si>
    <t>Estimated Amount (estimated consumption x GA first 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</si>
</sst>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0"/>
    <numFmt numFmtId="168" formatCode="&quot;$&quot;#,##0.00_);[Red]\(&quot;$&quot;#,##0.00\)"/>
    <numFmt numFmtId="169" formatCode="#,##0.00_ ;[Red]\-#,##0.00\ "/>
    <numFmt numFmtId="170" formatCode="&quot;$&quot;#,##0.00;[Red]&quot;$&quot;#,##0.00"/>
  </numFmts>
  <fonts count="6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theme="1"/>
      <name val="Ariel"/>
    </font>
    <font>
      <sz val="11"/>
      <color rgb="FF9C6500"/>
      <name val="Calibri"/>
      <family val="2"/>
      <scheme val="minor"/>
    </font>
    <font>
      <u val="singleAccounting"/>
      <sz val="8"/>
      <color theme="1"/>
      <name val="Ariel"/>
    </font>
    <font>
      <sz val="8"/>
      <color theme="1"/>
      <name val="Ariel"/>
    </font>
    <font>
      <b/>
      <sz val="10"/>
      <color theme="1"/>
      <name val="Ariel"/>
    </font>
    <font>
      <u val="doubleAccounting"/>
      <sz val="8"/>
      <color theme="1"/>
      <name val="Ariel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48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8" fillId="0" borderId="0"/>
    <xf numFmtId="0" fontId="9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9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9" fillId="0" borderId="0"/>
    <xf numFmtId="0" fontId="9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5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  <xf numFmtId="0" fontId="7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2" fillId="27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54" fillId="2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55" fillId="3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30" fillId="35" borderId="0" applyNumberFormat="0" applyBorder="0" applyAlignment="0" applyProtection="0"/>
    <xf numFmtId="0" fontId="57" fillId="0" borderId="0">
      <alignment horizontal="center"/>
    </xf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58" fillId="4" borderId="0" applyNumberFormat="0" applyBorder="0" applyAlignment="0" applyProtection="0"/>
    <xf numFmtId="0" fontId="36" fillId="53" borderId="0" applyNumberFormat="0" applyBorder="0" applyAlignment="0" applyProtection="0"/>
    <xf numFmtId="0" fontId="7" fillId="0" borderId="0"/>
    <xf numFmtId="0" fontId="22" fillId="0" borderId="0"/>
    <xf numFmtId="0" fontId="1" fillId="0" borderId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9" fillId="0" borderId="0"/>
    <xf numFmtId="0" fontId="60" fillId="0" borderId="0"/>
    <xf numFmtId="0" fontId="38" fillId="0" borderId="0" applyNumberFormat="0" applyFill="0" applyBorder="0" applyAlignment="0" applyProtection="0"/>
    <xf numFmtId="0" fontId="61" fillId="0" borderId="0">
      <alignment wrapText="1"/>
    </xf>
    <xf numFmtId="0" fontId="39" fillId="0" borderId="18" applyNumberFormat="0" applyFill="0" applyAlignment="0" applyProtection="0"/>
    <xf numFmtId="0" fontId="62" fillId="0" borderId="0"/>
    <xf numFmtId="0" fontId="40" fillId="0" borderId="0" applyNumberFormat="0" applyFill="0" applyBorder="0" applyAlignment="0" applyProtection="0"/>
    <xf numFmtId="0" fontId="1" fillId="0" borderId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4" fillId="0" borderId="0"/>
    <xf numFmtId="0" fontId="7" fillId="0" borderId="0"/>
    <xf numFmtId="0" fontId="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8" fillId="0" borderId="0"/>
    <xf numFmtId="0" fontId="7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4" borderId="0" applyNumberFormat="0" applyBorder="0" applyAlignment="0" applyProtection="0"/>
    <xf numFmtId="0" fontId="26" fillId="34" borderId="0" applyNumberFormat="0" applyBorder="0" applyAlignment="0" applyProtection="0"/>
    <xf numFmtId="0" fontId="30" fillId="35" borderId="0" applyNumberFormat="0" applyBorder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7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5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4" fillId="0" borderId="0"/>
  </cellStyleXfs>
  <cellXfs count="42">
    <xf numFmtId="0" fontId="0" fillId="0" borderId="0" xfId="0"/>
    <xf numFmtId="17" fontId="6" fillId="0" borderId="19" xfId="0" applyNumberFormat="1" applyFont="1" applyBorder="1"/>
    <xf numFmtId="0" fontId="6" fillId="0" borderId="19" xfId="0" applyFont="1" applyBorder="1" applyAlignment="1">
      <alignment horizontal="center"/>
    </xf>
    <xf numFmtId="0" fontId="0" fillId="0" borderId="19" xfId="0" applyBorder="1"/>
    <xf numFmtId="0" fontId="6" fillId="0" borderId="19" xfId="0" applyFont="1" applyBorder="1"/>
    <xf numFmtId="0" fontId="0" fillId="0" borderId="0" xfId="0"/>
    <xf numFmtId="0" fontId="7" fillId="0" borderId="19" xfId="0" applyFont="1" applyFill="1" applyBorder="1" applyAlignment="1" applyProtection="1">
      <alignment wrapText="1"/>
    </xf>
    <xf numFmtId="0" fontId="0" fillId="0" borderId="19" xfId="0" applyFill="1" applyBorder="1"/>
    <xf numFmtId="166" fontId="0" fillId="0" borderId="19" xfId="1" applyNumberFormat="1" applyFont="1" applyFill="1" applyBorder="1"/>
    <xf numFmtId="166" fontId="6" fillId="0" borderId="19" xfId="1" applyNumberFormat="1" applyFont="1" applyFill="1" applyBorder="1"/>
    <xf numFmtId="0" fontId="6" fillId="55" borderId="19" xfId="0" applyFont="1" applyFill="1" applyBorder="1"/>
    <xf numFmtId="167" fontId="63" fillId="55" borderId="19" xfId="0" applyNumberFormat="1" applyFont="1" applyFill="1" applyBorder="1"/>
    <xf numFmtId="0" fontId="42" fillId="55" borderId="19" xfId="0" applyFont="1" applyFill="1" applyBorder="1" applyAlignment="1" applyProtection="1">
      <alignment wrapText="1"/>
    </xf>
    <xf numFmtId="166" fontId="6" fillId="55" borderId="19" xfId="1" applyNumberFormat="1" applyFont="1" applyFill="1" applyBorder="1"/>
    <xf numFmtId="166" fontId="6" fillId="0" borderId="19" xfId="0" applyNumberFormat="1" applyFont="1" applyFill="1" applyBorder="1"/>
    <xf numFmtId="0" fontId="6" fillId="0" borderId="0" xfId="0" applyFont="1"/>
    <xf numFmtId="166" fontId="0" fillId="0" borderId="0" xfId="0" applyNumberFormat="1"/>
    <xf numFmtId="43" fontId="0" fillId="0" borderId="0" xfId="0" applyNumberFormat="1"/>
    <xf numFmtId="0" fontId="6" fillId="55" borderId="19" xfId="0" applyFont="1" applyFill="1" applyBorder="1" applyAlignment="1">
      <alignment horizontal="center"/>
    </xf>
    <xf numFmtId="168" fontId="0" fillId="0" borderId="0" xfId="0" applyNumberFormat="1"/>
    <xf numFmtId="169" fontId="65" fillId="0" borderId="0" xfId="0" applyNumberFormat="1" applyFont="1" applyFill="1"/>
    <xf numFmtId="169" fontId="65" fillId="0" borderId="0" xfId="0" applyNumberFormat="1" applyFont="1"/>
    <xf numFmtId="4" fontId="0" fillId="0" borderId="20" xfId="0" applyNumberFormat="1" applyBorder="1"/>
    <xf numFmtId="4" fontId="0" fillId="0" borderId="0" xfId="0" applyNumberFormat="1" applyBorder="1"/>
    <xf numFmtId="4" fontId="0" fillId="0" borderId="20" xfId="0" applyNumberFormat="1" applyFill="1" applyBorder="1"/>
    <xf numFmtId="166" fontId="0" fillId="0" borderId="0" xfId="1" applyNumberFormat="1" applyFont="1" applyFill="1"/>
    <xf numFmtId="168" fontId="6" fillId="0" borderId="0" xfId="0" applyNumberFormat="1" applyFont="1"/>
    <xf numFmtId="168" fontId="6" fillId="0" borderId="0" xfId="0" applyNumberFormat="1" applyFont="1" applyFill="1"/>
    <xf numFmtId="4" fontId="6" fillId="0" borderId="20" xfId="0" applyNumberFormat="1" applyFont="1" applyFill="1" applyBorder="1"/>
    <xf numFmtId="4" fontId="6" fillId="0" borderId="21" xfId="0" applyNumberFormat="1" applyFont="1" applyBorder="1"/>
    <xf numFmtId="17" fontId="6" fillId="0" borderId="0" xfId="0" applyNumberFormat="1" applyFont="1"/>
    <xf numFmtId="0" fontId="42" fillId="56" borderId="0" xfId="0" applyFont="1" applyFill="1" applyBorder="1" applyAlignment="1" applyProtection="1">
      <alignment horizontal="left" wrapText="1"/>
    </xf>
    <xf numFmtId="0" fontId="0" fillId="0" borderId="0" xfId="0" applyFont="1"/>
    <xf numFmtId="4" fontId="0" fillId="0" borderId="0" xfId="0" applyNumberFormat="1"/>
    <xf numFmtId="169" fontId="0" fillId="0" borderId="0" xfId="0" applyNumberFormat="1"/>
    <xf numFmtId="170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left"/>
    </xf>
    <xf numFmtId="170" fontId="6" fillId="56" borderId="0" xfId="0" applyNumberFormat="1" applyFont="1" applyFill="1"/>
    <xf numFmtId="168" fontId="6" fillId="56" borderId="0" xfId="0" applyNumberFormat="1" applyFont="1" applyFill="1" applyAlignment="1">
      <alignment horizontal="right"/>
    </xf>
    <xf numFmtId="0" fontId="0" fillId="0" borderId="22" xfId="0" quotePrefix="1" applyFill="1" applyBorder="1" applyAlignment="1">
      <alignment wrapText="1"/>
    </xf>
    <xf numFmtId="0" fontId="0" fillId="0" borderId="22" xfId="0" quotePrefix="1" applyBorder="1" applyAlignment="1">
      <alignment wrapText="1"/>
    </xf>
  </cellXfs>
  <cellStyles count="1487">
    <cellStyle name="20% - Accent1" xfId="211" builtinId="30" customBuiltin="1"/>
    <cellStyle name="20% - Accent1 10" xfId="891"/>
    <cellStyle name="20% - Accent1 10 2" xfId="1414"/>
    <cellStyle name="20% - Accent1 11" xfId="905"/>
    <cellStyle name="20% - Accent1 11 2" xfId="1474"/>
    <cellStyle name="20% - Accent1 2" xfId="110"/>
    <cellStyle name="20% - Accent1 2 2" xfId="182"/>
    <cellStyle name="20% - Accent1 2 2 2" xfId="495"/>
    <cellStyle name="20% - Accent1 2 2 2 2" xfId="712"/>
    <cellStyle name="20% - Accent1 2 2 2 2 2" xfId="1290"/>
    <cellStyle name="20% - Accent1 2 2 2 3" xfId="612"/>
    <cellStyle name="20% - Accent1 2 2 2 3 2" xfId="1190"/>
    <cellStyle name="20% - Accent1 2 2 2 4" xfId="1057"/>
    <cellStyle name="20% - Accent1 2 2 3" xfId="452"/>
    <cellStyle name="20% - Accent1 2 2 3 2" xfId="798"/>
    <cellStyle name="20% - Accent1 2 2 4" xfId="669"/>
    <cellStyle name="20% - Accent1 2 2 4 2" xfId="1247"/>
    <cellStyle name="20% - Accent1 2 2 5" xfId="569"/>
    <cellStyle name="20% - Accent1 2 2 5 2" xfId="1145"/>
    <cellStyle name="20% - Accent1 2 2 6" xfId="974"/>
    <cellStyle name="20% - Accent1 2 3" xfId="235"/>
    <cellStyle name="20% - Accent1 2 3 2" xfId="509"/>
    <cellStyle name="20% - Accent1 2 3 2 2" xfId="726"/>
    <cellStyle name="20% - Accent1 2 3 2 2 2" xfId="1304"/>
    <cellStyle name="20% - Accent1 2 3 2 3" xfId="1085"/>
    <cellStyle name="20% - Accent1 2 3 3" xfId="626"/>
    <cellStyle name="20% - Accent1 2 3 3 2" xfId="1204"/>
    <cellStyle name="20% - Accent1 2 3 4" xfId="1001"/>
    <cellStyle name="20% - Accent1 2 3 5" xfId="422"/>
    <cellStyle name="20% - Accent1 2 4" xfId="481"/>
    <cellStyle name="20% - Accent1 2 4 2" xfId="697"/>
    <cellStyle name="20% - Accent1 2 4 2 2" xfId="1275"/>
    <cellStyle name="20% - Accent1 2 4 3" xfId="597"/>
    <cellStyle name="20% - Accent1 2 4 3 2" xfId="1173"/>
    <cellStyle name="20% - Accent1 2 4 4" xfId="1042"/>
    <cellStyle name="20% - Accent1 2 5" xfId="436"/>
    <cellStyle name="20% - Accent1 2 5 2" xfId="770"/>
    <cellStyle name="20% - Accent1 2 5 2 2" xfId="1344"/>
    <cellStyle name="20% - Accent1 2 5 3" xfId="554"/>
    <cellStyle name="20% - Accent1 2 6" xfId="654"/>
    <cellStyle name="20% - Accent1 2 6 2" xfId="1232"/>
    <cellStyle name="20% - Accent1 2 7" xfId="539"/>
    <cellStyle name="20% - Accent1 2 7 2" xfId="1127"/>
    <cellStyle name="20% - Accent1 2 8" xfId="365"/>
    <cellStyle name="20% - Accent1 3" xfId="135"/>
    <cellStyle name="20% - Accent1 3 2" xfId="305"/>
    <cellStyle name="20% - Accent1 3 2 2" xfId="1429"/>
    <cellStyle name="20% - Accent1 3 2 3" xfId="390"/>
    <cellStyle name="20% - Accent1 4" xfId="49"/>
    <cellStyle name="20% - Accent1 4 2" xfId="466"/>
    <cellStyle name="20% - Accent1 4 2 2" xfId="784"/>
    <cellStyle name="20% - Accent1 4 2 2 2" xfId="1358"/>
    <cellStyle name="20% - Accent1 4 2 3" xfId="1071"/>
    <cellStyle name="20% - Accent1 4 3" xfId="683"/>
    <cellStyle name="20% - Accent1 4 3 2" xfId="1261"/>
    <cellStyle name="20% - Accent1 4 4" xfId="583"/>
    <cellStyle name="20% - Accent1 4 4 2" xfId="1159"/>
    <cellStyle name="20% - Accent1 4 5" xfId="986"/>
    <cellStyle name="20% - Accent1 4 6" xfId="409"/>
    <cellStyle name="20% - Accent1 5" xfId="21"/>
    <cellStyle name="20% - Accent1 5 2" xfId="812"/>
    <cellStyle name="20% - Accent1 5 2 2" xfId="954"/>
    <cellStyle name="20% - Accent1 5 2 2 2" xfId="1374"/>
    <cellStyle name="20% - Accent1 5 2 3" xfId="1099"/>
    <cellStyle name="20% - Accent1 5 3" xfId="740"/>
    <cellStyle name="20% - Accent1 5 3 2" xfId="1318"/>
    <cellStyle name="20% - Accent1 5 4" xfId="640"/>
    <cellStyle name="20% - Accent1 5 4 2" xfId="1218"/>
    <cellStyle name="20% - Accent1 5 5" xfId="1014"/>
    <cellStyle name="20% - Accent1 6" xfId="525"/>
    <cellStyle name="20% - Accent1 6 2" xfId="754"/>
    <cellStyle name="20% - Accent1 6 2 2" xfId="1113"/>
    <cellStyle name="20% - Accent1 6 3" xfId="940"/>
    <cellStyle name="20% - Accent1 6 3 2" xfId="1330"/>
    <cellStyle name="20% - Accent1 6 4" xfId="1028"/>
    <cellStyle name="20% - Accent1 7" xfId="826"/>
    <cellStyle name="20% - Accent1 7 2" xfId="1388"/>
    <cellStyle name="20% - Accent1 8" xfId="840"/>
    <cellStyle name="20% - Accent1 8 2" xfId="1445"/>
    <cellStyle name="20% - Accent1 9" xfId="866"/>
    <cellStyle name="20% - Accent1 9 2" xfId="1459"/>
    <cellStyle name="20% - Accent1 9 3" xfId="1402"/>
    <cellStyle name="20% - Accent2" xfId="215" builtinId="34" customBuiltin="1"/>
    <cellStyle name="20% - Accent2 10" xfId="893"/>
    <cellStyle name="20% - Accent2 10 2" xfId="1416"/>
    <cellStyle name="20% - Accent2 11" xfId="907"/>
    <cellStyle name="20% - Accent2 11 2" xfId="1476"/>
    <cellStyle name="20% - Accent2 2" xfId="114"/>
    <cellStyle name="20% - Accent2 2 2" xfId="184"/>
    <cellStyle name="20% - Accent2 2 2 2" xfId="497"/>
    <cellStyle name="20% - Accent2 2 2 2 2" xfId="714"/>
    <cellStyle name="20% - Accent2 2 2 2 2 2" xfId="1292"/>
    <cellStyle name="20% - Accent2 2 2 2 3" xfId="614"/>
    <cellStyle name="20% - Accent2 2 2 2 3 2" xfId="1192"/>
    <cellStyle name="20% - Accent2 2 2 2 4" xfId="1059"/>
    <cellStyle name="20% - Accent2 2 2 3" xfId="454"/>
    <cellStyle name="20% - Accent2 2 2 3 2" xfId="800"/>
    <cellStyle name="20% - Accent2 2 2 4" xfId="671"/>
    <cellStyle name="20% - Accent2 2 2 4 2" xfId="1249"/>
    <cellStyle name="20% - Accent2 2 2 5" xfId="571"/>
    <cellStyle name="20% - Accent2 2 2 5 2" xfId="1147"/>
    <cellStyle name="20% - Accent2 2 2 6" xfId="976"/>
    <cellStyle name="20% - Accent2 2 3" xfId="236"/>
    <cellStyle name="20% - Accent2 2 3 2" xfId="511"/>
    <cellStyle name="20% - Accent2 2 3 2 2" xfId="728"/>
    <cellStyle name="20% - Accent2 2 3 2 2 2" xfId="1306"/>
    <cellStyle name="20% - Accent2 2 3 2 3" xfId="1087"/>
    <cellStyle name="20% - Accent2 2 3 3" xfId="628"/>
    <cellStyle name="20% - Accent2 2 3 3 2" xfId="1206"/>
    <cellStyle name="20% - Accent2 2 3 4" xfId="1003"/>
    <cellStyle name="20% - Accent2 2 3 5" xfId="424"/>
    <cellStyle name="20% - Accent2 2 4" xfId="483"/>
    <cellStyle name="20% - Accent2 2 4 2" xfId="699"/>
    <cellStyle name="20% - Accent2 2 4 2 2" xfId="1277"/>
    <cellStyle name="20% - Accent2 2 4 3" xfId="599"/>
    <cellStyle name="20% - Accent2 2 4 3 2" xfId="1175"/>
    <cellStyle name="20% - Accent2 2 4 4" xfId="1044"/>
    <cellStyle name="20% - Accent2 2 5" xfId="438"/>
    <cellStyle name="20% - Accent2 2 5 2" xfId="772"/>
    <cellStyle name="20% - Accent2 2 5 2 2" xfId="1346"/>
    <cellStyle name="20% - Accent2 2 5 3" xfId="556"/>
    <cellStyle name="20% - Accent2 2 6" xfId="656"/>
    <cellStyle name="20% - Accent2 2 6 2" xfId="1234"/>
    <cellStyle name="20% - Accent2 2 7" xfId="541"/>
    <cellStyle name="20% - Accent2 2 7 2" xfId="1129"/>
    <cellStyle name="20% - Accent2 2 8" xfId="369"/>
    <cellStyle name="20% - Accent2 3" xfId="136"/>
    <cellStyle name="20% - Accent2 3 2" xfId="300"/>
    <cellStyle name="20% - Accent2 3 2 2" xfId="1431"/>
    <cellStyle name="20% - Accent2 3 2 3" xfId="391"/>
    <cellStyle name="20% - Accent2 4" xfId="50"/>
    <cellStyle name="20% - Accent2 4 2" xfId="307"/>
    <cellStyle name="20% - Accent2 4 2 2" xfId="786"/>
    <cellStyle name="20% - Accent2 4 2 2 2" xfId="1360"/>
    <cellStyle name="20% - Accent2 4 2 3" xfId="1073"/>
    <cellStyle name="20% - Accent2 4 2 4" xfId="468"/>
    <cellStyle name="20% - Accent2 4 3" xfId="685"/>
    <cellStyle name="20% - Accent2 4 3 2" xfId="1263"/>
    <cellStyle name="20% - Accent2 4 4" xfId="585"/>
    <cellStyle name="20% - Accent2 4 4 2" xfId="1161"/>
    <cellStyle name="20% - Accent2 4 5" xfId="411"/>
    <cellStyle name="20% - Accent2 5" xfId="25"/>
    <cellStyle name="20% - Accent2 5 2" xfId="814"/>
    <cellStyle name="20% - Accent2 5 2 2" xfId="956"/>
    <cellStyle name="20% - Accent2 5 2 2 2" xfId="1376"/>
    <cellStyle name="20% - Accent2 5 2 3" xfId="1101"/>
    <cellStyle name="20% - Accent2 5 3" xfId="742"/>
    <cellStyle name="20% - Accent2 5 3 2" xfId="1320"/>
    <cellStyle name="20% - Accent2 5 4" xfId="642"/>
    <cellStyle name="20% - Accent2 5 4 2" xfId="1220"/>
    <cellStyle name="20% - Accent2 5 5" xfId="1016"/>
    <cellStyle name="20% - Accent2 6" xfId="527"/>
    <cellStyle name="20% - Accent2 6 2" xfId="756"/>
    <cellStyle name="20% - Accent2 6 2 2" xfId="1115"/>
    <cellStyle name="20% - Accent2 6 3" xfId="942"/>
    <cellStyle name="20% - Accent2 6 3 2" xfId="1332"/>
    <cellStyle name="20% - Accent2 6 4" xfId="1030"/>
    <cellStyle name="20% - Accent2 7" xfId="828"/>
    <cellStyle name="20% - Accent2 7 2" xfId="1390"/>
    <cellStyle name="20% - Accent2 8" xfId="842"/>
    <cellStyle name="20% - Accent2 8 2" xfId="1447"/>
    <cellStyle name="20% - Accent2 9" xfId="870"/>
    <cellStyle name="20% - Accent2 9 2" xfId="1461"/>
    <cellStyle name="20% - Accent2 9 3" xfId="1404"/>
    <cellStyle name="20% - Accent3" xfId="219" builtinId="38" customBuiltin="1"/>
    <cellStyle name="20% - Accent3 10" xfId="895"/>
    <cellStyle name="20% - Accent3 10 2" xfId="1418"/>
    <cellStyle name="20% - Accent3 11" xfId="909"/>
    <cellStyle name="20% - Accent3 11 2" xfId="1478"/>
    <cellStyle name="20% - Accent3 2" xfId="118"/>
    <cellStyle name="20% - Accent3 2 2" xfId="186"/>
    <cellStyle name="20% - Accent3 2 2 2" xfId="499"/>
    <cellStyle name="20% - Accent3 2 2 2 2" xfId="716"/>
    <cellStyle name="20% - Accent3 2 2 2 2 2" xfId="1294"/>
    <cellStyle name="20% - Accent3 2 2 2 3" xfId="616"/>
    <cellStyle name="20% - Accent3 2 2 2 3 2" xfId="1194"/>
    <cellStyle name="20% - Accent3 2 2 2 4" xfId="1061"/>
    <cellStyle name="20% - Accent3 2 2 3" xfId="456"/>
    <cellStyle name="20% - Accent3 2 2 3 2" xfId="802"/>
    <cellStyle name="20% - Accent3 2 2 4" xfId="673"/>
    <cellStyle name="20% - Accent3 2 2 4 2" xfId="1251"/>
    <cellStyle name="20% - Accent3 2 2 5" xfId="573"/>
    <cellStyle name="20% - Accent3 2 2 5 2" xfId="1149"/>
    <cellStyle name="20% - Accent3 2 2 6" xfId="978"/>
    <cellStyle name="20% - Accent3 2 3" xfId="237"/>
    <cellStyle name="20% - Accent3 2 3 2" xfId="513"/>
    <cellStyle name="20% - Accent3 2 3 2 2" xfId="730"/>
    <cellStyle name="20% - Accent3 2 3 2 2 2" xfId="1308"/>
    <cellStyle name="20% - Accent3 2 3 2 3" xfId="1089"/>
    <cellStyle name="20% - Accent3 2 3 3" xfId="630"/>
    <cellStyle name="20% - Accent3 2 3 3 2" xfId="1208"/>
    <cellStyle name="20% - Accent3 2 3 4" xfId="1005"/>
    <cellStyle name="20% - Accent3 2 3 5" xfId="426"/>
    <cellStyle name="20% - Accent3 2 4" xfId="485"/>
    <cellStyle name="20% - Accent3 2 4 2" xfId="701"/>
    <cellStyle name="20% - Accent3 2 4 2 2" xfId="1279"/>
    <cellStyle name="20% - Accent3 2 4 3" xfId="601"/>
    <cellStyle name="20% - Accent3 2 4 3 2" xfId="1177"/>
    <cellStyle name="20% - Accent3 2 4 4" xfId="1046"/>
    <cellStyle name="20% - Accent3 2 5" xfId="440"/>
    <cellStyle name="20% - Accent3 2 5 2" xfId="774"/>
    <cellStyle name="20% - Accent3 2 5 2 2" xfId="1348"/>
    <cellStyle name="20% - Accent3 2 5 3" xfId="558"/>
    <cellStyle name="20% - Accent3 2 6" xfId="658"/>
    <cellStyle name="20% - Accent3 2 6 2" xfId="1236"/>
    <cellStyle name="20% - Accent3 2 7" xfId="543"/>
    <cellStyle name="20% - Accent3 2 7 2" xfId="1131"/>
    <cellStyle name="20% - Accent3 2 8" xfId="373"/>
    <cellStyle name="20% - Accent3 3" xfId="137"/>
    <cellStyle name="20% - Accent3 3 2" xfId="309"/>
    <cellStyle name="20% - Accent3 3 2 2" xfId="1433"/>
    <cellStyle name="20% - Accent3 3 2 3" xfId="392"/>
    <cellStyle name="20% - Accent3 4" xfId="51"/>
    <cellStyle name="20% - Accent3 4 2" xfId="470"/>
    <cellStyle name="20% - Accent3 4 2 2" xfId="788"/>
    <cellStyle name="20% - Accent3 4 2 2 2" xfId="1362"/>
    <cellStyle name="20% - Accent3 4 2 3" xfId="1075"/>
    <cellStyle name="20% - Accent3 4 3" xfId="687"/>
    <cellStyle name="20% - Accent3 4 3 2" xfId="1265"/>
    <cellStyle name="20% - Accent3 4 4" xfId="587"/>
    <cellStyle name="20% - Accent3 4 4 2" xfId="1163"/>
    <cellStyle name="20% - Accent3 4 5" xfId="989"/>
    <cellStyle name="20% - Accent3 4 6" xfId="413"/>
    <cellStyle name="20% - Accent3 5" xfId="29"/>
    <cellStyle name="20% - Accent3 5 2" xfId="816"/>
    <cellStyle name="20% - Accent3 5 2 2" xfId="958"/>
    <cellStyle name="20% - Accent3 5 2 2 2" xfId="1378"/>
    <cellStyle name="20% - Accent3 5 2 3" xfId="1103"/>
    <cellStyle name="20% - Accent3 5 3" xfId="744"/>
    <cellStyle name="20% - Accent3 5 3 2" xfId="1322"/>
    <cellStyle name="20% - Accent3 5 4" xfId="644"/>
    <cellStyle name="20% - Accent3 5 4 2" xfId="1222"/>
    <cellStyle name="20% - Accent3 5 5" xfId="1018"/>
    <cellStyle name="20% - Accent3 6" xfId="529"/>
    <cellStyle name="20% - Accent3 6 2" xfId="758"/>
    <cellStyle name="20% - Accent3 6 2 2" xfId="1117"/>
    <cellStyle name="20% - Accent3 6 3" xfId="944"/>
    <cellStyle name="20% - Accent3 6 3 2" xfId="1334"/>
    <cellStyle name="20% - Accent3 6 4" xfId="1032"/>
    <cellStyle name="20% - Accent3 7" xfId="830"/>
    <cellStyle name="20% - Accent3 7 2" xfId="1392"/>
    <cellStyle name="20% - Accent3 8" xfId="844"/>
    <cellStyle name="20% - Accent3 8 2" xfId="1449"/>
    <cellStyle name="20% - Accent3 9" xfId="874"/>
    <cellStyle name="20% - Accent3 9 2" xfId="1463"/>
    <cellStyle name="20% - Accent3 9 3" xfId="1406"/>
    <cellStyle name="20% - Accent4" xfId="223" builtinId="42" customBuiltin="1"/>
    <cellStyle name="20% - Accent4 10" xfId="897"/>
    <cellStyle name="20% - Accent4 10 2" xfId="1420"/>
    <cellStyle name="20% - Accent4 11" xfId="911"/>
    <cellStyle name="20% - Accent4 11 2" xfId="1480"/>
    <cellStyle name="20% - Accent4 2" xfId="122"/>
    <cellStyle name="20% - Accent4 2 2" xfId="188"/>
    <cellStyle name="20% - Accent4 2 2 2" xfId="501"/>
    <cellStyle name="20% - Accent4 2 2 2 2" xfId="718"/>
    <cellStyle name="20% - Accent4 2 2 2 2 2" xfId="1296"/>
    <cellStyle name="20% - Accent4 2 2 2 3" xfId="618"/>
    <cellStyle name="20% - Accent4 2 2 2 3 2" xfId="1196"/>
    <cellStyle name="20% - Accent4 2 2 2 4" xfId="1063"/>
    <cellStyle name="20% - Accent4 2 2 3" xfId="458"/>
    <cellStyle name="20% - Accent4 2 2 3 2" xfId="804"/>
    <cellStyle name="20% - Accent4 2 2 4" xfId="675"/>
    <cellStyle name="20% - Accent4 2 2 4 2" xfId="1253"/>
    <cellStyle name="20% - Accent4 2 2 5" xfId="575"/>
    <cellStyle name="20% - Accent4 2 2 5 2" xfId="1151"/>
    <cellStyle name="20% - Accent4 2 2 6" xfId="980"/>
    <cellStyle name="20% - Accent4 2 3" xfId="238"/>
    <cellStyle name="20% - Accent4 2 3 2" xfId="515"/>
    <cellStyle name="20% - Accent4 2 3 2 2" xfId="732"/>
    <cellStyle name="20% - Accent4 2 3 2 2 2" xfId="1310"/>
    <cellStyle name="20% - Accent4 2 3 2 3" xfId="1091"/>
    <cellStyle name="20% - Accent4 2 3 3" xfId="632"/>
    <cellStyle name="20% - Accent4 2 3 3 2" xfId="1210"/>
    <cellStyle name="20% - Accent4 2 3 4" xfId="1007"/>
    <cellStyle name="20% - Accent4 2 3 5" xfId="428"/>
    <cellStyle name="20% - Accent4 2 4" xfId="487"/>
    <cellStyle name="20% - Accent4 2 4 2" xfId="703"/>
    <cellStyle name="20% - Accent4 2 4 2 2" xfId="1281"/>
    <cellStyle name="20% - Accent4 2 4 3" xfId="603"/>
    <cellStyle name="20% - Accent4 2 4 3 2" xfId="1179"/>
    <cellStyle name="20% - Accent4 2 4 4" xfId="1048"/>
    <cellStyle name="20% - Accent4 2 5" xfId="442"/>
    <cellStyle name="20% - Accent4 2 5 2" xfId="776"/>
    <cellStyle name="20% - Accent4 2 5 2 2" xfId="1350"/>
    <cellStyle name="20% - Accent4 2 5 3" xfId="560"/>
    <cellStyle name="20% - Accent4 2 6" xfId="660"/>
    <cellStyle name="20% - Accent4 2 6 2" xfId="1238"/>
    <cellStyle name="20% - Accent4 2 7" xfId="545"/>
    <cellStyle name="20% - Accent4 2 7 2" xfId="1133"/>
    <cellStyle name="20% - Accent4 2 8" xfId="377"/>
    <cellStyle name="20% - Accent4 3" xfId="138"/>
    <cellStyle name="20% - Accent4 3 2" xfId="311"/>
    <cellStyle name="20% - Accent4 3 2 2" xfId="1435"/>
    <cellStyle name="20% - Accent4 3 2 3" xfId="393"/>
    <cellStyle name="20% - Accent4 4" xfId="52"/>
    <cellStyle name="20% - Accent4 4 2" xfId="472"/>
    <cellStyle name="20% - Accent4 4 2 2" xfId="790"/>
    <cellStyle name="20% - Accent4 4 2 2 2" xfId="1364"/>
    <cellStyle name="20% - Accent4 4 2 3" xfId="1077"/>
    <cellStyle name="20% - Accent4 4 3" xfId="689"/>
    <cellStyle name="20% - Accent4 4 3 2" xfId="1267"/>
    <cellStyle name="20% - Accent4 4 4" xfId="589"/>
    <cellStyle name="20% - Accent4 4 4 2" xfId="1165"/>
    <cellStyle name="20% - Accent4 4 5" xfId="991"/>
    <cellStyle name="20% - Accent4 4 6" xfId="415"/>
    <cellStyle name="20% - Accent4 5" xfId="33"/>
    <cellStyle name="20% - Accent4 5 2" xfId="818"/>
    <cellStyle name="20% - Accent4 5 2 2" xfId="960"/>
    <cellStyle name="20% - Accent4 5 2 2 2" xfId="1380"/>
    <cellStyle name="20% - Accent4 5 2 3" xfId="1105"/>
    <cellStyle name="20% - Accent4 5 3" xfId="746"/>
    <cellStyle name="20% - Accent4 5 3 2" xfId="1324"/>
    <cellStyle name="20% - Accent4 5 4" xfId="646"/>
    <cellStyle name="20% - Accent4 5 4 2" xfId="1224"/>
    <cellStyle name="20% - Accent4 5 5" xfId="1020"/>
    <cellStyle name="20% - Accent4 6" xfId="531"/>
    <cellStyle name="20% - Accent4 6 2" xfId="760"/>
    <cellStyle name="20% - Accent4 6 2 2" xfId="1119"/>
    <cellStyle name="20% - Accent4 6 3" xfId="946"/>
    <cellStyle name="20% - Accent4 6 3 2" xfId="1336"/>
    <cellStyle name="20% - Accent4 6 4" xfId="1034"/>
    <cellStyle name="20% - Accent4 7" xfId="832"/>
    <cellStyle name="20% - Accent4 7 2" xfId="1394"/>
    <cellStyle name="20% - Accent4 8" xfId="846"/>
    <cellStyle name="20% - Accent4 8 2" xfId="1451"/>
    <cellStyle name="20% - Accent4 9" xfId="878"/>
    <cellStyle name="20% - Accent4 9 2" xfId="1465"/>
    <cellStyle name="20% - Accent4 9 3" xfId="1408"/>
    <cellStyle name="20% - Accent5" xfId="227" builtinId="46" customBuiltin="1"/>
    <cellStyle name="20% - Accent5 10" xfId="899"/>
    <cellStyle name="20% - Accent5 10 2" xfId="1422"/>
    <cellStyle name="20% - Accent5 11" xfId="913"/>
    <cellStyle name="20% - Accent5 11 2" xfId="1482"/>
    <cellStyle name="20% - Accent5 2" xfId="126"/>
    <cellStyle name="20% - Accent5 2 2" xfId="190"/>
    <cellStyle name="20% - Accent5 2 2 2" xfId="503"/>
    <cellStyle name="20% - Accent5 2 2 2 2" xfId="720"/>
    <cellStyle name="20% - Accent5 2 2 2 2 2" xfId="1298"/>
    <cellStyle name="20% - Accent5 2 2 2 3" xfId="620"/>
    <cellStyle name="20% - Accent5 2 2 2 3 2" xfId="1198"/>
    <cellStyle name="20% - Accent5 2 2 2 4" xfId="1065"/>
    <cellStyle name="20% - Accent5 2 2 3" xfId="460"/>
    <cellStyle name="20% - Accent5 2 2 3 2" xfId="806"/>
    <cellStyle name="20% - Accent5 2 2 4" xfId="677"/>
    <cellStyle name="20% - Accent5 2 2 4 2" xfId="1255"/>
    <cellStyle name="20% - Accent5 2 2 5" xfId="577"/>
    <cellStyle name="20% - Accent5 2 2 5 2" xfId="1153"/>
    <cellStyle name="20% - Accent5 2 2 6" xfId="982"/>
    <cellStyle name="20% - Accent5 2 3" xfId="239"/>
    <cellStyle name="20% - Accent5 2 3 2" xfId="517"/>
    <cellStyle name="20% - Accent5 2 3 2 2" xfId="734"/>
    <cellStyle name="20% - Accent5 2 3 2 2 2" xfId="1312"/>
    <cellStyle name="20% - Accent5 2 3 2 3" xfId="1093"/>
    <cellStyle name="20% - Accent5 2 3 3" xfId="634"/>
    <cellStyle name="20% - Accent5 2 3 3 2" xfId="1212"/>
    <cellStyle name="20% - Accent5 2 3 4" xfId="1009"/>
    <cellStyle name="20% - Accent5 2 3 5" xfId="430"/>
    <cellStyle name="20% - Accent5 2 4" xfId="489"/>
    <cellStyle name="20% - Accent5 2 4 2" xfId="705"/>
    <cellStyle name="20% - Accent5 2 4 2 2" xfId="1283"/>
    <cellStyle name="20% - Accent5 2 4 3" xfId="605"/>
    <cellStyle name="20% - Accent5 2 4 3 2" xfId="1181"/>
    <cellStyle name="20% - Accent5 2 4 4" xfId="1050"/>
    <cellStyle name="20% - Accent5 2 5" xfId="444"/>
    <cellStyle name="20% - Accent5 2 5 2" xfId="778"/>
    <cellStyle name="20% - Accent5 2 5 2 2" xfId="1352"/>
    <cellStyle name="20% - Accent5 2 5 3" xfId="562"/>
    <cellStyle name="20% - Accent5 2 6" xfId="662"/>
    <cellStyle name="20% - Accent5 2 6 2" xfId="1240"/>
    <cellStyle name="20% - Accent5 2 7" xfId="547"/>
    <cellStyle name="20% - Accent5 2 7 2" xfId="1135"/>
    <cellStyle name="20% - Accent5 2 8" xfId="381"/>
    <cellStyle name="20% - Accent5 3" xfId="139"/>
    <cellStyle name="20% - Accent5 3 2" xfId="313"/>
    <cellStyle name="20% - Accent5 3 2 2" xfId="1437"/>
    <cellStyle name="20% - Accent5 3 2 3" xfId="394"/>
    <cellStyle name="20% - Accent5 4" xfId="53"/>
    <cellStyle name="20% - Accent5 4 2" xfId="474"/>
    <cellStyle name="20% - Accent5 4 2 2" xfId="792"/>
    <cellStyle name="20% - Accent5 4 2 2 2" xfId="1366"/>
    <cellStyle name="20% - Accent5 4 2 3" xfId="1079"/>
    <cellStyle name="20% - Accent5 4 3" xfId="691"/>
    <cellStyle name="20% - Accent5 4 3 2" xfId="1269"/>
    <cellStyle name="20% - Accent5 4 4" xfId="591"/>
    <cellStyle name="20% - Accent5 4 4 2" xfId="1167"/>
    <cellStyle name="20% - Accent5 4 5" xfId="993"/>
    <cellStyle name="20% - Accent5 4 6" xfId="417"/>
    <cellStyle name="20% - Accent5 5" xfId="37"/>
    <cellStyle name="20% - Accent5 5 2" xfId="820"/>
    <cellStyle name="20% - Accent5 5 2 2" xfId="962"/>
    <cellStyle name="20% - Accent5 5 2 2 2" xfId="1382"/>
    <cellStyle name="20% - Accent5 5 2 3" xfId="1107"/>
    <cellStyle name="20% - Accent5 5 3" xfId="748"/>
    <cellStyle name="20% - Accent5 5 3 2" xfId="1326"/>
    <cellStyle name="20% - Accent5 5 4" xfId="648"/>
    <cellStyle name="20% - Accent5 5 4 2" xfId="1226"/>
    <cellStyle name="20% - Accent5 5 5" xfId="1022"/>
    <cellStyle name="20% - Accent5 6" xfId="533"/>
    <cellStyle name="20% - Accent5 6 2" xfId="762"/>
    <cellStyle name="20% - Accent5 6 2 2" xfId="1121"/>
    <cellStyle name="20% - Accent5 6 3" xfId="948"/>
    <cellStyle name="20% - Accent5 6 3 2" xfId="1338"/>
    <cellStyle name="20% - Accent5 6 4" xfId="1036"/>
    <cellStyle name="20% - Accent5 7" xfId="834"/>
    <cellStyle name="20% - Accent5 7 2" xfId="1396"/>
    <cellStyle name="20% - Accent5 8" xfId="848"/>
    <cellStyle name="20% - Accent5 8 2" xfId="1453"/>
    <cellStyle name="20% - Accent5 9" xfId="882"/>
    <cellStyle name="20% - Accent5 9 2" xfId="1467"/>
    <cellStyle name="20% - Accent5 9 3" xfId="1410"/>
    <cellStyle name="20% - Accent6" xfId="231" builtinId="50" customBuiltin="1"/>
    <cellStyle name="20% - Accent6 10" xfId="901"/>
    <cellStyle name="20% - Accent6 10 2" xfId="1424"/>
    <cellStyle name="20% - Accent6 11" xfId="915"/>
    <cellStyle name="20% - Accent6 11 2" xfId="1484"/>
    <cellStyle name="20% - Accent6 2" xfId="130"/>
    <cellStyle name="20% - Accent6 2 2" xfId="192"/>
    <cellStyle name="20% - Accent6 2 2 2" xfId="505"/>
    <cellStyle name="20% - Accent6 2 2 2 2" xfId="722"/>
    <cellStyle name="20% - Accent6 2 2 2 2 2" xfId="1300"/>
    <cellStyle name="20% - Accent6 2 2 2 3" xfId="622"/>
    <cellStyle name="20% - Accent6 2 2 2 3 2" xfId="1200"/>
    <cellStyle name="20% - Accent6 2 2 2 4" xfId="1067"/>
    <cellStyle name="20% - Accent6 2 2 3" xfId="462"/>
    <cellStyle name="20% - Accent6 2 2 3 2" xfId="808"/>
    <cellStyle name="20% - Accent6 2 2 4" xfId="679"/>
    <cellStyle name="20% - Accent6 2 2 4 2" xfId="1257"/>
    <cellStyle name="20% - Accent6 2 2 5" xfId="579"/>
    <cellStyle name="20% - Accent6 2 2 5 2" xfId="1155"/>
    <cellStyle name="20% - Accent6 2 2 6" xfId="984"/>
    <cellStyle name="20% - Accent6 2 3" xfId="240"/>
    <cellStyle name="20% - Accent6 2 3 2" xfId="519"/>
    <cellStyle name="20% - Accent6 2 3 2 2" xfId="736"/>
    <cellStyle name="20% - Accent6 2 3 2 2 2" xfId="1314"/>
    <cellStyle name="20% - Accent6 2 3 2 3" xfId="1095"/>
    <cellStyle name="20% - Accent6 2 3 3" xfId="636"/>
    <cellStyle name="20% - Accent6 2 3 3 2" xfId="1214"/>
    <cellStyle name="20% - Accent6 2 3 4" xfId="1011"/>
    <cellStyle name="20% - Accent6 2 3 5" xfId="432"/>
    <cellStyle name="20% - Accent6 2 4" xfId="491"/>
    <cellStyle name="20% - Accent6 2 4 2" xfId="707"/>
    <cellStyle name="20% - Accent6 2 4 2 2" xfId="1285"/>
    <cellStyle name="20% - Accent6 2 4 3" xfId="607"/>
    <cellStyle name="20% - Accent6 2 4 3 2" xfId="1183"/>
    <cellStyle name="20% - Accent6 2 4 4" xfId="1052"/>
    <cellStyle name="20% - Accent6 2 5" xfId="446"/>
    <cellStyle name="20% - Accent6 2 5 2" xfId="780"/>
    <cellStyle name="20% - Accent6 2 5 2 2" xfId="1354"/>
    <cellStyle name="20% - Accent6 2 5 3" xfId="564"/>
    <cellStyle name="20% - Accent6 2 6" xfId="664"/>
    <cellStyle name="20% - Accent6 2 6 2" xfId="1242"/>
    <cellStyle name="20% - Accent6 2 7" xfId="549"/>
    <cellStyle name="20% - Accent6 2 7 2" xfId="1137"/>
    <cellStyle name="20% - Accent6 2 8" xfId="385"/>
    <cellStyle name="20% - Accent6 3" xfId="140"/>
    <cellStyle name="20% - Accent6 3 2" xfId="315"/>
    <cellStyle name="20% - Accent6 3 2 2" xfId="1439"/>
    <cellStyle name="20% - Accent6 3 2 3" xfId="395"/>
    <cellStyle name="20% - Accent6 4" xfId="54"/>
    <cellStyle name="20% - Accent6 4 2" xfId="476"/>
    <cellStyle name="20% - Accent6 4 2 2" xfId="794"/>
    <cellStyle name="20% - Accent6 4 2 2 2" xfId="1368"/>
    <cellStyle name="20% - Accent6 4 2 3" xfId="1081"/>
    <cellStyle name="20% - Accent6 4 3" xfId="693"/>
    <cellStyle name="20% - Accent6 4 3 2" xfId="1271"/>
    <cellStyle name="20% - Accent6 4 4" xfId="593"/>
    <cellStyle name="20% - Accent6 4 4 2" xfId="1169"/>
    <cellStyle name="20% - Accent6 4 5" xfId="994"/>
    <cellStyle name="20% - Accent6 4 6" xfId="419"/>
    <cellStyle name="20% - Accent6 5" xfId="41"/>
    <cellStyle name="20% - Accent6 5 2" xfId="822"/>
    <cellStyle name="20% - Accent6 5 2 2" xfId="964"/>
    <cellStyle name="20% - Accent6 5 2 2 2" xfId="1384"/>
    <cellStyle name="20% - Accent6 5 2 3" xfId="1109"/>
    <cellStyle name="20% - Accent6 5 3" xfId="750"/>
    <cellStyle name="20% - Accent6 5 3 2" xfId="1328"/>
    <cellStyle name="20% - Accent6 5 4" xfId="650"/>
    <cellStyle name="20% - Accent6 5 4 2" xfId="1228"/>
    <cellStyle name="20% - Accent6 5 5" xfId="1024"/>
    <cellStyle name="20% - Accent6 6" xfId="535"/>
    <cellStyle name="20% - Accent6 6 2" xfId="764"/>
    <cellStyle name="20% - Accent6 6 2 2" xfId="1123"/>
    <cellStyle name="20% - Accent6 6 3" xfId="950"/>
    <cellStyle name="20% - Accent6 6 3 2" xfId="1340"/>
    <cellStyle name="20% - Accent6 6 4" xfId="1038"/>
    <cellStyle name="20% - Accent6 7" xfId="836"/>
    <cellStyle name="20% - Accent6 7 2" xfId="1398"/>
    <cellStyle name="20% - Accent6 8" xfId="850"/>
    <cellStyle name="20% - Accent6 8 2" xfId="1455"/>
    <cellStyle name="20% - Accent6 9" xfId="886"/>
    <cellStyle name="20% - Accent6 9 2" xfId="1469"/>
    <cellStyle name="20% - Accent6 9 3" xfId="1412"/>
    <cellStyle name="40% - Accent1" xfId="212" builtinId="31" customBuiltin="1"/>
    <cellStyle name="40% - Accent1 10" xfId="892"/>
    <cellStyle name="40% - Accent1 10 2" xfId="1415"/>
    <cellStyle name="40% - Accent1 11" xfId="906"/>
    <cellStyle name="40% - Accent1 11 2" xfId="1475"/>
    <cellStyle name="40% - Accent1 2" xfId="111"/>
    <cellStyle name="40% - Accent1 2 2" xfId="183"/>
    <cellStyle name="40% - Accent1 2 2 2" xfId="496"/>
    <cellStyle name="40% - Accent1 2 2 2 2" xfId="713"/>
    <cellStyle name="40% - Accent1 2 2 2 2 2" xfId="1291"/>
    <cellStyle name="40% - Accent1 2 2 2 3" xfId="613"/>
    <cellStyle name="40% - Accent1 2 2 2 3 2" xfId="1191"/>
    <cellStyle name="40% - Accent1 2 2 2 4" xfId="1058"/>
    <cellStyle name="40% - Accent1 2 2 3" xfId="453"/>
    <cellStyle name="40% - Accent1 2 2 3 2" xfId="799"/>
    <cellStyle name="40% - Accent1 2 2 4" xfId="670"/>
    <cellStyle name="40% - Accent1 2 2 4 2" xfId="1248"/>
    <cellStyle name="40% - Accent1 2 2 5" xfId="570"/>
    <cellStyle name="40% - Accent1 2 2 5 2" xfId="1146"/>
    <cellStyle name="40% - Accent1 2 2 6" xfId="975"/>
    <cellStyle name="40% - Accent1 2 3" xfId="241"/>
    <cellStyle name="40% - Accent1 2 3 2" xfId="510"/>
    <cellStyle name="40% - Accent1 2 3 2 2" xfId="727"/>
    <cellStyle name="40% - Accent1 2 3 2 2 2" xfId="1305"/>
    <cellStyle name="40% - Accent1 2 3 2 3" xfId="1086"/>
    <cellStyle name="40% - Accent1 2 3 3" xfId="627"/>
    <cellStyle name="40% - Accent1 2 3 3 2" xfId="1205"/>
    <cellStyle name="40% - Accent1 2 3 4" xfId="1002"/>
    <cellStyle name="40% - Accent1 2 3 5" xfId="423"/>
    <cellStyle name="40% - Accent1 2 4" xfId="482"/>
    <cellStyle name="40% - Accent1 2 4 2" xfId="698"/>
    <cellStyle name="40% - Accent1 2 4 2 2" xfId="1276"/>
    <cellStyle name="40% - Accent1 2 4 3" xfId="598"/>
    <cellStyle name="40% - Accent1 2 4 3 2" xfId="1174"/>
    <cellStyle name="40% - Accent1 2 4 4" xfId="1043"/>
    <cellStyle name="40% - Accent1 2 5" xfId="437"/>
    <cellStyle name="40% - Accent1 2 5 2" xfId="771"/>
    <cellStyle name="40% - Accent1 2 5 2 2" xfId="1345"/>
    <cellStyle name="40% - Accent1 2 5 3" xfId="555"/>
    <cellStyle name="40% - Accent1 2 6" xfId="655"/>
    <cellStyle name="40% - Accent1 2 6 2" xfId="1233"/>
    <cellStyle name="40% - Accent1 2 7" xfId="540"/>
    <cellStyle name="40% - Accent1 2 7 2" xfId="1128"/>
    <cellStyle name="40% - Accent1 2 8" xfId="366"/>
    <cellStyle name="40% - Accent1 3" xfId="141"/>
    <cellStyle name="40% - Accent1 3 2" xfId="306"/>
    <cellStyle name="40% - Accent1 3 2 2" xfId="1430"/>
    <cellStyle name="40% - Accent1 3 2 3" xfId="396"/>
    <cellStyle name="40% - Accent1 4" xfId="55"/>
    <cellStyle name="40% - Accent1 4 2" xfId="467"/>
    <cellStyle name="40% - Accent1 4 2 2" xfId="785"/>
    <cellStyle name="40% - Accent1 4 2 2 2" xfId="1359"/>
    <cellStyle name="40% - Accent1 4 2 3" xfId="1072"/>
    <cellStyle name="40% - Accent1 4 3" xfId="684"/>
    <cellStyle name="40% - Accent1 4 3 2" xfId="1262"/>
    <cellStyle name="40% - Accent1 4 4" xfId="584"/>
    <cellStyle name="40% - Accent1 4 4 2" xfId="1160"/>
    <cellStyle name="40% - Accent1 4 5" xfId="987"/>
    <cellStyle name="40% - Accent1 4 6" xfId="410"/>
    <cellStyle name="40% - Accent1 5" xfId="22"/>
    <cellStyle name="40% - Accent1 5 2" xfId="813"/>
    <cellStyle name="40% - Accent1 5 2 2" xfId="955"/>
    <cellStyle name="40% - Accent1 5 2 2 2" xfId="1375"/>
    <cellStyle name="40% - Accent1 5 2 3" xfId="1100"/>
    <cellStyle name="40% - Accent1 5 3" xfId="741"/>
    <cellStyle name="40% - Accent1 5 3 2" xfId="1319"/>
    <cellStyle name="40% - Accent1 5 4" xfId="641"/>
    <cellStyle name="40% - Accent1 5 4 2" xfId="1219"/>
    <cellStyle name="40% - Accent1 5 5" xfId="1015"/>
    <cellStyle name="40% - Accent1 6" xfId="526"/>
    <cellStyle name="40% - Accent1 6 2" xfId="755"/>
    <cellStyle name="40% - Accent1 6 2 2" xfId="1114"/>
    <cellStyle name="40% - Accent1 6 3" xfId="941"/>
    <cellStyle name="40% - Accent1 6 3 2" xfId="1331"/>
    <cellStyle name="40% - Accent1 6 4" xfId="1029"/>
    <cellStyle name="40% - Accent1 7" xfId="827"/>
    <cellStyle name="40% - Accent1 7 2" xfId="1389"/>
    <cellStyle name="40% - Accent1 8" xfId="841"/>
    <cellStyle name="40% - Accent1 8 2" xfId="1446"/>
    <cellStyle name="40% - Accent1 9" xfId="867"/>
    <cellStyle name="40% - Accent1 9 2" xfId="1460"/>
    <cellStyle name="40% - Accent1 9 3" xfId="1403"/>
    <cellStyle name="40% - Accent2" xfId="216" builtinId="35" customBuiltin="1"/>
    <cellStyle name="40% - Accent2 10" xfId="894"/>
    <cellStyle name="40% - Accent2 10 2" xfId="1417"/>
    <cellStyle name="40% - Accent2 11" xfId="908"/>
    <cellStyle name="40% - Accent2 11 2" xfId="1477"/>
    <cellStyle name="40% - Accent2 2" xfId="115"/>
    <cellStyle name="40% - Accent2 2 2" xfId="185"/>
    <cellStyle name="40% - Accent2 2 2 2" xfId="498"/>
    <cellStyle name="40% - Accent2 2 2 2 2" xfId="715"/>
    <cellStyle name="40% - Accent2 2 2 2 2 2" xfId="1293"/>
    <cellStyle name="40% - Accent2 2 2 2 3" xfId="615"/>
    <cellStyle name="40% - Accent2 2 2 2 3 2" xfId="1193"/>
    <cellStyle name="40% - Accent2 2 2 2 4" xfId="1060"/>
    <cellStyle name="40% - Accent2 2 2 3" xfId="455"/>
    <cellStyle name="40% - Accent2 2 2 3 2" xfId="801"/>
    <cellStyle name="40% - Accent2 2 2 4" xfId="672"/>
    <cellStyle name="40% - Accent2 2 2 4 2" xfId="1250"/>
    <cellStyle name="40% - Accent2 2 2 5" xfId="572"/>
    <cellStyle name="40% - Accent2 2 2 5 2" xfId="1148"/>
    <cellStyle name="40% - Accent2 2 2 6" xfId="977"/>
    <cellStyle name="40% - Accent2 2 3" xfId="242"/>
    <cellStyle name="40% - Accent2 2 3 2" xfId="512"/>
    <cellStyle name="40% - Accent2 2 3 2 2" xfId="729"/>
    <cellStyle name="40% - Accent2 2 3 2 2 2" xfId="1307"/>
    <cellStyle name="40% - Accent2 2 3 2 3" xfId="1088"/>
    <cellStyle name="40% - Accent2 2 3 3" xfId="629"/>
    <cellStyle name="40% - Accent2 2 3 3 2" xfId="1207"/>
    <cellStyle name="40% - Accent2 2 3 4" xfId="1004"/>
    <cellStyle name="40% - Accent2 2 3 5" xfId="425"/>
    <cellStyle name="40% - Accent2 2 4" xfId="484"/>
    <cellStyle name="40% - Accent2 2 4 2" xfId="700"/>
    <cellStyle name="40% - Accent2 2 4 2 2" xfId="1278"/>
    <cellStyle name="40% - Accent2 2 4 3" xfId="600"/>
    <cellStyle name="40% - Accent2 2 4 3 2" xfId="1176"/>
    <cellStyle name="40% - Accent2 2 4 4" xfId="1045"/>
    <cellStyle name="40% - Accent2 2 5" xfId="439"/>
    <cellStyle name="40% - Accent2 2 5 2" xfId="773"/>
    <cellStyle name="40% - Accent2 2 5 2 2" xfId="1347"/>
    <cellStyle name="40% - Accent2 2 5 3" xfId="557"/>
    <cellStyle name="40% - Accent2 2 6" xfId="657"/>
    <cellStyle name="40% - Accent2 2 6 2" xfId="1235"/>
    <cellStyle name="40% - Accent2 2 7" xfId="542"/>
    <cellStyle name="40% - Accent2 2 7 2" xfId="1130"/>
    <cellStyle name="40% - Accent2 2 8" xfId="370"/>
    <cellStyle name="40% - Accent2 3" xfId="142"/>
    <cellStyle name="40% - Accent2 3 2" xfId="308"/>
    <cellStyle name="40% - Accent2 3 2 2" xfId="1432"/>
    <cellStyle name="40% - Accent2 3 2 3" xfId="397"/>
    <cellStyle name="40% - Accent2 4" xfId="56"/>
    <cellStyle name="40% - Accent2 4 2" xfId="469"/>
    <cellStyle name="40% - Accent2 4 2 2" xfId="787"/>
    <cellStyle name="40% - Accent2 4 2 2 2" xfId="1361"/>
    <cellStyle name="40% - Accent2 4 2 3" xfId="1074"/>
    <cellStyle name="40% - Accent2 4 3" xfId="686"/>
    <cellStyle name="40% - Accent2 4 3 2" xfId="1264"/>
    <cellStyle name="40% - Accent2 4 4" xfId="586"/>
    <cellStyle name="40% - Accent2 4 4 2" xfId="1162"/>
    <cellStyle name="40% - Accent2 4 5" xfId="988"/>
    <cellStyle name="40% - Accent2 4 6" xfId="412"/>
    <cellStyle name="40% - Accent2 5" xfId="26"/>
    <cellStyle name="40% - Accent2 5 2" xfId="815"/>
    <cellStyle name="40% - Accent2 5 2 2" xfId="957"/>
    <cellStyle name="40% - Accent2 5 2 2 2" xfId="1377"/>
    <cellStyle name="40% - Accent2 5 2 3" xfId="1102"/>
    <cellStyle name="40% - Accent2 5 3" xfId="743"/>
    <cellStyle name="40% - Accent2 5 3 2" xfId="1321"/>
    <cellStyle name="40% - Accent2 5 4" xfId="643"/>
    <cellStyle name="40% - Accent2 5 4 2" xfId="1221"/>
    <cellStyle name="40% - Accent2 5 5" xfId="1017"/>
    <cellStyle name="40% - Accent2 6" xfId="528"/>
    <cellStyle name="40% - Accent2 6 2" xfId="757"/>
    <cellStyle name="40% - Accent2 6 2 2" xfId="1116"/>
    <cellStyle name="40% - Accent2 6 3" xfId="943"/>
    <cellStyle name="40% - Accent2 6 3 2" xfId="1333"/>
    <cellStyle name="40% - Accent2 6 4" xfId="1031"/>
    <cellStyle name="40% - Accent2 7" xfId="829"/>
    <cellStyle name="40% - Accent2 7 2" xfId="1391"/>
    <cellStyle name="40% - Accent2 8" xfId="843"/>
    <cellStyle name="40% - Accent2 8 2" xfId="1448"/>
    <cellStyle name="40% - Accent2 9" xfId="871"/>
    <cellStyle name="40% - Accent2 9 2" xfId="1462"/>
    <cellStyle name="40% - Accent2 9 3" xfId="1405"/>
    <cellStyle name="40% - Accent3" xfId="220" builtinId="39" customBuiltin="1"/>
    <cellStyle name="40% - Accent3 10" xfId="896"/>
    <cellStyle name="40% - Accent3 10 2" xfId="1419"/>
    <cellStyle name="40% - Accent3 11" xfId="910"/>
    <cellStyle name="40% - Accent3 11 2" xfId="1479"/>
    <cellStyle name="40% - Accent3 2" xfId="119"/>
    <cellStyle name="40% - Accent3 2 2" xfId="187"/>
    <cellStyle name="40% - Accent3 2 2 2" xfId="500"/>
    <cellStyle name="40% - Accent3 2 2 2 2" xfId="717"/>
    <cellStyle name="40% - Accent3 2 2 2 2 2" xfId="1295"/>
    <cellStyle name="40% - Accent3 2 2 2 3" xfId="617"/>
    <cellStyle name="40% - Accent3 2 2 2 3 2" xfId="1195"/>
    <cellStyle name="40% - Accent3 2 2 2 4" xfId="1062"/>
    <cellStyle name="40% - Accent3 2 2 3" xfId="457"/>
    <cellStyle name="40% - Accent3 2 2 3 2" xfId="803"/>
    <cellStyle name="40% - Accent3 2 2 4" xfId="674"/>
    <cellStyle name="40% - Accent3 2 2 4 2" xfId="1252"/>
    <cellStyle name="40% - Accent3 2 2 5" xfId="574"/>
    <cellStyle name="40% - Accent3 2 2 5 2" xfId="1150"/>
    <cellStyle name="40% - Accent3 2 2 6" xfId="979"/>
    <cellStyle name="40% - Accent3 2 3" xfId="243"/>
    <cellStyle name="40% - Accent3 2 3 2" xfId="514"/>
    <cellStyle name="40% - Accent3 2 3 2 2" xfId="731"/>
    <cellStyle name="40% - Accent3 2 3 2 2 2" xfId="1309"/>
    <cellStyle name="40% - Accent3 2 3 2 3" xfId="1090"/>
    <cellStyle name="40% - Accent3 2 3 3" xfId="631"/>
    <cellStyle name="40% - Accent3 2 3 3 2" xfId="1209"/>
    <cellStyle name="40% - Accent3 2 3 4" xfId="1006"/>
    <cellStyle name="40% - Accent3 2 3 5" xfId="427"/>
    <cellStyle name="40% - Accent3 2 4" xfId="486"/>
    <cellStyle name="40% - Accent3 2 4 2" xfId="702"/>
    <cellStyle name="40% - Accent3 2 4 2 2" xfId="1280"/>
    <cellStyle name="40% - Accent3 2 4 3" xfId="602"/>
    <cellStyle name="40% - Accent3 2 4 3 2" xfId="1178"/>
    <cellStyle name="40% - Accent3 2 4 4" xfId="1047"/>
    <cellStyle name="40% - Accent3 2 5" xfId="441"/>
    <cellStyle name="40% - Accent3 2 5 2" xfId="775"/>
    <cellStyle name="40% - Accent3 2 5 2 2" xfId="1349"/>
    <cellStyle name="40% - Accent3 2 5 3" xfId="559"/>
    <cellStyle name="40% - Accent3 2 6" xfId="659"/>
    <cellStyle name="40% - Accent3 2 6 2" xfId="1237"/>
    <cellStyle name="40% - Accent3 2 7" xfId="544"/>
    <cellStyle name="40% - Accent3 2 7 2" xfId="1132"/>
    <cellStyle name="40% - Accent3 2 8" xfId="374"/>
    <cellStyle name="40% - Accent3 3" xfId="143"/>
    <cellStyle name="40% - Accent3 3 2" xfId="310"/>
    <cellStyle name="40% - Accent3 3 2 2" xfId="1434"/>
    <cellStyle name="40% - Accent3 3 2 3" xfId="398"/>
    <cellStyle name="40% - Accent3 4" xfId="57"/>
    <cellStyle name="40% - Accent3 4 2" xfId="471"/>
    <cellStyle name="40% - Accent3 4 2 2" xfId="789"/>
    <cellStyle name="40% - Accent3 4 2 2 2" xfId="1363"/>
    <cellStyle name="40% - Accent3 4 2 3" xfId="1076"/>
    <cellStyle name="40% - Accent3 4 3" xfId="688"/>
    <cellStyle name="40% - Accent3 4 3 2" xfId="1266"/>
    <cellStyle name="40% - Accent3 4 4" xfId="588"/>
    <cellStyle name="40% - Accent3 4 4 2" xfId="1164"/>
    <cellStyle name="40% - Accent3 4 5" xfId="990"/>
    <cellStyle name="40% - Accent3 4 6" xfId="414"/>
    <cellStyle name="40% - Accent3 5" xfId="30"/>
    <cellStyle name="40% - Accent3 5 2" xfId="817"/>
    <cellStyle name="40% - Accent3 5 2 2" xfId="959"/>
    <cellStyle name="40% - Accent3 5 2 2 2" xfId="1379"/>
    <cellStyle name="40% - Accent3 5 2 3" xfId="1104"/>
    <cellStyle name="40% - Accent3 5 3" xfId="745"/>
    <cellStyle name="40% - Accent3 5 3 2" xfId="1323"/>
    <cellStyle name="40% - Accent3 5 4" xfId="645"/>
    <cellStyle name="40% - Accent3 5 4 2" xfId="1223"/>
    <cellStyle name="40% - Accent3 5 5" xfId="1019"/>
    <cellStyle name="40% - Accent3 6" xfId="530"/>
    <cellStyle name="40% - Accent3 6 2" xfId="759"/>
    <cellStyle name="40% - Accent3 6 2 2" xfId="1118"/>
    <cellStyle name="40% - Accent3 6 3" xfId="945"/>
    <cellStyle name="40% - Accent3 6 3 2" xfId="1335"/>
    <cellStyle name="40% - Accent3 6 4" xfId="1033"/>
    <cellStyle name="40% - Accent3 7" xfId="831"/>
    <cellStyle name="40% - Accent3 7 2" xfId="1393"/>
    <cellStyle name="40% - Accent3 8" xfId="845"/>
    <cellStyle name="40% - Accent3 8 2" xfId="1450"/>
    <cellStyle name="40% - Accent3 9" xfId="875"/>
    <cellStyle name="40% - Accent3 9 2" xfId="1464"/>
    <cellStyle name="40% - Accent3 9 3" xfId="1407"/>
    <cellStyle name="40% - Accent4" xfId="224" builtinId="43" customBuiltin="1"/>
    <cellStyle name="40% - Accent4 10" xfId="898"/>
    <cellStyle name="40% - Accent4 10 2" xfId="1421"/>
    <cellStyle name="40% - Accent4 11" xfId="912"/>
    <cellStyle name="40% - Accent4 11 2" xfId="1481"/>
    <cellStyle name="40% - Accent4 2" xfId="123"/>
    <cellStyle name="40% - Accent4 2 2" xfId="189"/>
    <cellStyle name="40% - Accent4 2 2 2" xfId="502"/>
    <cellStyle name="40% - Accent4 2 2 2 2" xfId="719"/>
    <cellStyle name="40% - Accent4 2 2 2 2 2" xfId="1297"/>
    <cellStyle name="40% - Accent4 2 2 2 3" xfId="619"/>
    <cellStyle name="40% - Accent4 2 2 2 3 2" xfId="1197"/>
    <cellStyle name="40% - Accent4 2 2 2 4" xfId="1064"/>
    <cellStyle name="40% - Accent4 2 2 3" xfId="459"/>
    <cellStyle name="40% - Accent4 2 2 3 2" xfId="805"/>
    <cellStyle name="40% - Accent4 2 2 4" xfId="676"/>
    <cellStyle name="40% - Accent4 2 2 4 2" xfId="1254"/>
    <cellStyle name="40% - Accent4 2 2 5" xfId="576"/>
    <cellStyle name="40% - Accent4 2 2 5 2" xfId="1152"/>
    <cellStyle name="40% - Accent4 2 2 6" xfId="981"/>
    <cellStyle name="40% - Accent4 2 3" xfId="244"/>
    <cellStyle name="40% - Accent4 2 3 2" xfId="516"/>
    <cellStyle name="40% - Accent4 2 3 2 2" xfId="733"/>
    <cellStyle name="40% - Accent4 2 3 2 2 2" xfId="1311"/>
    <cellStyle name="40% - Accent4 2 3 2 3" xfId="1092"/>
    <cellStyle name="40% - Accent4 2 3 3" xfId="633"/>
    <cellStyle name="40% - Accent4 2 3 3 2" xfId="1211"/>
    <cellStyle name="40% - Accent4 2 3 4" xfId="1008"/>
    <cellStyle name="40% - Accent4 2 3 5" xfId="429"/>
    <cellStyle name="40% - Accent4 2 4" xfId="488"/>
    <cellStyle name="40% - Accent4 2 4 2" xfId="704"/>
    <cellStyle name="40% - Accent4 2 4 2 2" xfId="1282"/>
    <cellStyle name="40% - Accent4 2 4 3" xfId="604"/>
    <cellStyle name="40% - Accent4 2 4 3 2" xfId="1180"/>
    <cellStyle name="40% - Accent4 2 4 4" xfId="1049"/>
    <cellStyle name="40% - Accent4 2 5" xfId="443"/>
    <cellStyle name="40% - Accent4 2 5 2" xfId="777"/>
    <cellStyle name="40% - Accent4 2 5 2 2" xfId="1351"/>
    <cellStyle name="40% - Accent4 2 5 3" xfId="561"/>
    <cellStyle name="40% - Accent4 2 6" xfId="661"/>
    <cellStyle name="40% - Accent4 2 6 2" xfId="1239"/>
    <cellStyle name="40% - Accent4 2 7" xfId="546"/>
    <cellStyle name="40% - Accent4 2 7 2" xfId="1134"/>
    <cellStyle name="40% - Accent4 2 8" xfId="378"/>
    <cellStyle name="40% - Accent4 3" xfId="144"/>
    <cellStyle name="40% - Accent4 3 2" xfId="312"/>
    <cellStyle name="40% - Accent4 3 2 2" xfId="1436"/>
    <cellStyle name="40% - Accent4 3 2 3" xfId="399"/>
    <cellStyle name="40% - Accent4 4" xfId="58"/>
    <cellStyle name="40% - Accent4 4 2" xfId="473"/>
    <cellStyle name="40% - Accent4 4 2 2" xfId="791"/>
    <cellStyle name="40% - Accent4 4 2 2 2" xfId="1365"/>
    <cellStyle name="40% - Accent4 4 2 3" xfId="1078"/>
    <cellStyle name="40% - Accent4 4 3" xfId="690"/>
    <cellStyle name="40% - Accent4 4 3 2" xfId="1268"/>
    <cellStyle name="40% - Accent4 4 4" xfId="590"/>
    <cellStyle name="40% - Accent4 4 4 2" xfId="1166"/>
    <cellStyle name="40% - Accent4 4 5" xfId="992"/>
    <cellStyle name="40% - Accent4 4 6" xfId="416"/>
    <cellStyle name="40% - Accent4 5" xfId="34"/>
    <cellStyle name="40% - Accent4 5 2" xfId="819"/>
    <cellStyle name="40% - Accent4 5 2 2" xfId="961"/>
    <cellStyle name="40% - Accent4 5 2 2 2" xfId="1381"/>
    <cellStyle name="40% - Accent4 5 2 3" xfId="1106"/>
    <cellStyle name="40% - Accent4 5 3" xfId="747"/>
    <cellStyle name="40% - Accent4 5 3 2" xfId="1325"/>
    <cellStyle name="40% - Accent4 5 4" xfId="647"/>
    <cellStyle name="40% - Accent4 5 4 2" xfId="1225"/>
    <cellStyle name="40% - Accent4 5 5" xfId="1021"/>
    <cellStyle name="40% - Accent4 6" xfId="532"/>
    <cellStyle name="40% - Accent4 6 2" xfId="761"/>
    <cellStyle name="40% - Accent4 6 2 2" xfId="1120"/>
    <cellStyle name="40% - Accent4 6 3" xfId="947"/>
    <cellStyle name="40% - Accent4 6 3 2" xfId="1337"/>
    <cellStyle name="40% - Accent4 6 4" xfId="1035"/>
    <cellStyle name="40% - Accent4 7" xfId="833"/>
    <cellStyle name="40% - Accent4 7 2" xfId="1395"/>
    <cellStyle name="40% - Accent4 8" xfId="847"/>
    <cellStyle name="40% - Accent4 8 2" xfId="1452"/>
    <cellStyle name="40% - Accent4 9" xfId="879"/>
    <cellStyle name="40% - Accent4 9 2" xfId="1466"/>
    <cellStyle name="40% - Accent4 9 3" xfId="1409"/>
    <cellStyle name="40% - Accent5" xfId="228" builtinId="47" customBuiltin="1"/>
    <cellStyle name="40% - Accent5 10" xfId="900"/>
    <cellStyle name="40% - Accent5 10 2" xfId="1423"/>
    <cellStyle name="40% - Accent5 11" xfId="914"/>
    <cellStyle name="40% - Accent5 11 2" xfId="1483"/>
    <cellStyle name="40% - Accent5 2" xfId="127"/>
    <cellStyle name="40% - Accent5 2 2" xfId="191"/>
    <cellStyle name="40% - Accent5 2 2 2" xfId="504"/>
    <cellStyle name="40% - Accent5 2 2 2 2" xfId="721"/>
    <cellStyle name="40% - Accent5 2 2 2 2 2" xfId="1299"/>
    <cellStyle name="40% - Accent5 2 2 2 3" xfId="621"/>
    <cellStyle name="40% - Accent5 2 2 2 3 2" xfId="1199"/>
    <cellStyle name="40% - Accent5 2 2 2 4" xfId="1066"/>
    <cellStyle name="40% - Accent5 2 2 3" xfId="461"/>
    <cellStyle name="40% - Accent5 2 2 3 2" xfId="807"/>
    <cellStyle name="40% - Accent5 2 2 4" xfId="678"/>
    <cellStyle name="40% - Accent5 2 2 4 2" xfId="1256"/>
    <cellStyle name="40% - Accent5 2 2 5" xfId="578"/>
    <cellStyle name="40% - Accent5 2 2 5 2" xfId="1154"/>
    <cellStyle name="40% - Accent5 2 2 6" xfId="983"/>
    <cellStyle name="40% - Accent5 2 3" xfId="246"/>
    <cellStyle name="40% - Accent5 2 3 2" xfId="518"/>
    <cellStyle name="40% - Accent5 2 3 2 2" xfId="735"/>
    <cellStyle name="40% - Accent5 2 3 2 2 2" xfId="1313"/>
    <cellStyle name="40% - Accent5 2 3 2 3" xfId="1094"/>
    <cellStyle name="40% - Accent5 2 3 3" xfId="635"/>
    <cellStyle name="40% - Accent5 2 3 3 2" xfId="1213"/>
    <cellStyle name="40% - Accent5 2 3 4" xfId="1010"/>
    <cellStyle name="40% - Accent5 2 3 5" xfId="431"/>
    <cellStyle name="40% - Accent5 2 4" xfId="490"/>
    <cellStyle name="40% - Accent5 2 4 2" xfId="706"/>
    <cellStyle name="40% - Accent5 2 4 2 2" xfId="1284"/>
    <cellStyle name="40% - Accent5 2 4 3" xfId="606"/>
    <cellStyle name="40% - Accent5 2 4 3 2" xfId="1182"/>
    <cellStyle name="40% - Accent5 2 4 4" xfId="1051"/>
    <cellStyle name="40% - Accent5 2 5" xfId="445"/>
    <cellStyle name="40% - Accent5 2 5 2" xfId="779"/>
    <cellStyle name="40% - Accent5 2 5 2 2" xfId="1353"/>
    <cellStyle name="40% - Accent5 2 5 3" xfId="563"/>
    <cellStyle name="40% - Accent5 2 6" xfId="663"/>
    <cellStyle name="40% - Accent5 2 6 2" xfId="1241"/>
    <cellStyle name="40% - Accent5 2 7" xfId="548"/>
    <cellStyle name="40% - Accent5 2 7 2" xfId="1136"/>
    <cellStyle name="40% - Accent5 2 8" xfId="382"/>
    <cellStyle name="40% - Accent5 3" xfId="145"/>
    <cellStyle name="40% - Accent5 3 2" xfId="302"/>
    <cellStyle name="40% - Accent5 3 2 2" xfId="1438"/>
    <cellStyle name="40% - Accent5 3 2 3" xfId="400"/>
    <cellStyle name="40% - Accent5 4" xfId="59"/>
    <cellStyle name="40% - Accent5 4 2" xfId="314"/>
    <cellStyle name="40% - Accent5 4 2 2" xfId="793"/>
    <cellStyle name="40% - Accent5 4 2 2 2" xfId="1367"/>
    <cellStyle name="40% - Accent5 4 2 3" xfId="1080"/>
    <cellStyle name="40% - Accent5 4 2 4" xfId="475"/>
    <cellStyle name="40% - Accent5 4 3" xfId="692"/>
    <cellStyle name="40% - Accent5 4 3 2" xfId="1270"/>
    <cellStyle name="40% - Accent5 4 4" xfId="592"/>
    <cellStyle name="40% - Accent5 4 4 2" xfId="1168"/>
    <cellStyle name="40% - Accent5 4 5" xfId="418"/>
    <cellStyle name="40% - Accent5 5" xfId="38"/>
    <cellStyle name="40% - Accent5 5 2" xfId="245"/>
    <cellStyle name="40% - Accent5 5 2 2" xfId="963"/>
    <cellStyle name="40% - Accent5 5 2 2 2" xfId="1383"/>
    <cellStyle name="40% - Accent5 5 2 3" xfId="1108"/>
    <cellStyle name="40% - Accent5 5 2 4" xfId="821"/>
    <cellStyle name="40% - Accent5 5 3" xfId="749"/>
    <cellStyle name="40% - Accent5 5 3 2" xfId="1327"/>
    <cellStyle name="40% - Accent5 5 4" xfId="649"/>
    <cellStyle name="40% - Accent5 5 4 2" xfId="1227"/>
    <cellStyle name="40% - Accent5 5 5" xfId="1023"/>
    <cellStyle name="40% - Accent5 6" xfId="534"/>
    <cellStyle name="40% - Accent5 6 2" xfId="763"/>
    <cellStyle name="40% - Accent5 6 2 2" xfId="1122"/>
    <cellStyle name="40% - Accent5 6 3" xfId="949"/>
    <cellStyle name="40% - Accent5 6 3 2" xfId="1339"/>
    <cellStyle name="40% - Accent5 6 4" xfId="1037"/>
    <cellStyle name="40% - Accent5 7" xfId="835"/>
    <cellStyle name="40% - Accent5 7 2" xfId="1397"/>
    <cellStyle name="40% - Accent5 8" xfId="849"/>
    <cellStyle name="40% - Accent5 8 2" xfId="1454"/>
    <cellStyle name="40% - Accent5 9" xfId="883"/>
    <cellStyle name="40% - Accent5 9 2" xfId="1468"/>
    <cellStyle name="40% - Accent5 9 3" xfId="1411"/>
    <cellStyle name="40% - Accent6" xfId="232" builtinId="51" customBuiltin="1"/>
    <cellStyle name="40% - Accent6 10" xfId="902"/>
    <cellStyle name="40% - Accent6 10 2" xfId="1425"/>
    <cellStyle name="40% - Accent6 11" xfId="916"/>
    <cellStyle name="40% - Accent6 11 2" xfId="1485"/>
    <cellStyle name="40% - Accent6 2" xfId="131"/>
    <cellStyle name="40% - Accent6 2 2" xfId="193"/>
    <cellStyle name="40% - Accent6 2 2 2" xfId="506"/>
    <cellStyle name="40% - Accent6 2 2 2 2" xfId="723"/>
    <cellStyle name="40% - Accent6 2 2 2 2 2" xfId="1301"/>
    <cellStyle name="40% - Accent6 2 2 2 3" xfId="623"/>
    <cellStyle name="40% - Accent6 2 2 2 3 2" xfId="1201"/>
    <cellStyle name="40% - Accent6 2 2 2 4" xfId="1068"/>
    <cellStyle name="40% - Accent6 2 2 3" xfId="463"/>
    <cellStyle name="40% - Accent6 2 2 3 2" xfId="809"/>
    <cellStyle name="40% - Accent6 2 2 4" xfId="680"/>
    <cellStyle name="40% - Accent6 2 2 4 2" xfId="1258"/>
    <cellStyle name="40% - Accent6 2 2 5" xfId="580"/>
    <cellStyle name="40% - Accent6 2 2 5 2" xfId="1156"/>
    <cellStyle name="40% - Accent6 2 2 6" xfId="985"/>
    <cellStyle name="40% - Accent6 2 3" xfId="247"/>
    <cellStyle name="40% - Accent6 2 3 2" xfId="520"/>
    <cellStyle name="40% - Accent6 2 3 2 2" xfId="737"/>
    <cellStyle name="40% - Accent6 2 3 2 2 2" xfId="1315"/>
    <cellStyle name="40% - Accent6 2 3 2 3" xfId="1096"/>
    <cellStyle name="40% - Accent6 2 3 3" xfId="637"/>
    <cellStyle name="40% - Accent6 2 3 3 2" xfId="1215"/>
    <cellStyle name="40% - Accent6 2 3 4" xfId="1012"/>
    <cellStyle name="40% - Accent6 2 3 5" xfId="433"/>
    <cellStyle name="40% - Accent6 2 4" xfId="492"/>
    <cellStyle name="40% - Accent6 2 4 2" xfId="708"/>
    <cellStyle name="40% - Accent6 2 4 2 2" xfId="1286"/>
    <cellStyle name="40% - Accent6 2 4 3" xfId="608"/>
    <cellStyle name="40% - Accent6 2 4 3 2" xfId="1184"/>
    <cellStyle name="40% - Accent6 2 4 4" xfId="1053"/>
    <cellStyle name="40% - Accent6 2 5" xfId="447"/>
    <cellStyle name="40% - Accent6 2 5 2" xfId="781"/>
    <cellStyle name="40% - Accent6 2 5 2 2" xfId="1355"/>
    <cellStyle name="40% - Accent6 2 5 3" xfId="565"/>
    <cellStyle name="40% - Accent6 2 6" xfId="665"/>
    <cellStyle name="40% - Accent6 2 6 2" xfId="1243"/>
    <cellStyle name="40% - Accent6 2 7" xfId="550"/>
    <cellStyle name="40% - Accent6 2 7 2" xfId="1138"/>
    <cellStyle name="40% - Accent6 2 8" xfId="386"/>
    <cellStyle name="40% - Accent6 3" xfId="146"/>
    <cellStyle name="40% - Accent6 3 2" xfId="316"/>
    <cellStyle name="40% - Accent6 3 2 2" xfId="1440"/>
    <cellStyle name="40% - Accent6 3 2 3" xfId="401"/>
    <cellStyle name="40% - Accent6 4" xfId="60"/>
    <cellStyle name="40% - Accent6 4 2" xfId="477"/>
    <cellStyle name="40% - Accent6 4 2 2" xfId="795"/>
    <cellStyle name="40% - Accent6 4 2 2 2" xfId="1369"/>
    <cellStyle name="40% - Accent6 4 2 3" xfId="1082"/>
    <cellStyle name="40% - Accent6 4 3" xfId="694"/>
    <cellStyle name="40% - Accent6 4 3 2" xfId="1272"/>
    <cellStyle name="40% - Accent6 4 4" xfId="594"/>
    <cellStyle name="40% - Accent6 4 4 2" xfId="1170"/>
    <cellStyle name="40% - Accent6 4 5" xfId="995"/>
    <cellStyle name="40% - Accent6 4 6" xfId="420"/>
    <cellStyle name="40% - Accent6 5" xfId="42"/>
    <cellStyle name="40% - Accent6 5 2" xfId="823"/>
    <cellStyle name="40% - Accent6 5 2 2" xfId="965"/>
    <cellStyle name="40% - Accent6 5 2 2 2" xfId="1385"/>
    <cellStyle name="40% - Accent6 5 2 3" xfId="1110"/>
    <cellStyle name="40% - Accent6 5 3" xfId="751"/>
    <cellStyle name="40% - Accent6 5 3 2" xfId="1329"/>
    <cellStyle name="40% - Accent6 5 4" xfId="651"/>
    <cellStyle name="40% - Accent6 5 4 2" xfId="1229"/>
    <cellStyle name="40% - Accent6 5 5" xfId="1025"/>
    <cellStyle name="40% - Accent6 6" xfId="536"/>
    <cellStyle name="40% - Accent6 6 2" xfId="765"/>
    <cellStyle name="40% - Accent6 6 2 2" xfId="1124"/>
    <cellStyle name="40% - Accent6 6 3" xfId="951"/>
    <cellStyle name="40% - Accent6 6 3 2" xfId="1341"/>
    <cellStyle name="40% - Accent6 6 4" xfId="1039"/>
    <cellStyle name="40% - Accent6 7" xfId="837"/>
    <cellStyle name="40% - Accent6 7 2" xfId="1399"/>
    <cellStyle name="40% - Accent6 8" xfId="851"/>
    <cellStyle name="40% - Accent6 8 2" xfId="1456"/>
    <cellStyle name="40% - Accent6 9" xfId="887"/>
    <cellStyle name="40% - Accent6 9 2" xfId="1470"/>
    <cellStyle name="40% - Accent6 9 3" xfId="1413"/>
    <cellStyle name="60% - Accent1" xfId="213" builtinId="32" customBuiltin="1"/>
    <cellStyle name="60% - Accent1 2" xfId="112"/>
    <cellStyle name="60% - Accent1 2 2" xfId="248"/>
    <cellStyle name="60% - Accent1 2 2 2" xfId="367"/>
    <cellStyle name="60% - Accent1 3" xfId="147"/>
    <cellStyle name="60% - Accent1 4" xfId="61"/>
    <cellStyle name="60% - Accent1 4 2" xfId="868"/>
    <cellStyle name="60% - Accent1 5" xfId="23"/>
    <cellStyle name="60% - Accent2" xfId="217" builtinId="36" customBuiltin="1"/>
    <cellStyle name="60% - Accent2 2" xfId="116"/>
    <cellStyle name="60% - Accent2 2 2" xfId="249"/>
    <cellStyle name="60% - Accent2 2 2 2" xfId="371"/>
    <cellStyle name="60% - Accent2 3" xfId="148"/>
    <cellStyle name="60% - Accent2 4" xfId="62"/>
    <cellStyle name="60% - Accent2 4 2" xfId="872"/>
    <cellStyle name="60% - Accent2 5" xfId="27"/>
    <cellStyle name="60% - Accent3" xfId="221" builtinId="40" customBuiltin="1"/>
    <cellStyle name="60% - Accent3 2" xfId="120"/>
    <cellStyle name="60% - Accent3 2 2" xfId="250"/>
    <cellStyle name="60% - Accent3 2 2 2" xfId="375"/>
    <cellStyle name="60% - Accent3 3" xfId="149"/>
    <cellStyle name="60% - Accent3 4" xfId="63"/>
    <cellStyle name="60% - Accent3 4 2" xfId="876"/>
    <cellStyle name="60% - Accent3 5" xfId="31"/>
    <cellStyle name="60% - Accent4" xfId="225" builtinId="44" customBuiltin="1"/>
    <cellStyle name="60% - Accent4 2" xfId="124"/>
    <cellStyle name="60% - Accent4 2 2" xfId="251"/>
    <cellStyle name="60% - Accent4 2 2 2" xfId="379"/>
    <cellStyle name="60% - Accent4 3" xfId="150"/>
    <cellStyle name="60% - Accent4 4" xfId="64"/>
    <cellStyle name="60% - Accent4 4 2" xfId="880"/>
    <cellStyle name="60% - Accent4 5" xfId="35"/>
    <cellStyle name="60% - Accent5" xfId="229" builtinId="48" customBuiltin="1"/>
    <cellStyle name="60% - Accent5 2" xfId="128"/>
    <cellStyle name="60% - Accent5 2 2" xfId="252"/>
    <cellStyle name="60% - Accent5 2 2 2" xfId="383"/>
    <cellStyle name="60% - Accent5 3" xfId="151"/>
    <cellStyle name="60% - Accent5 4" xfId="65"/>
    <cellStyle name="60% - Accent5 4 2" xfId="884"/>
    <cellStyle name="60% - Accent5 5" xfId="39"/>
    <cellStyle name="60% - Accent6" xfId="233" builtinId="52" customBuiltin="1"/>
    <cellStyle name="60% - Accent6 2" xfId="132"/>
    <cellStyle name="60% - Accent6 2 2" xfId="253"/>
    <cellStyle name="60% - Accent6 2 2 2" xfId="387"/>
    <cellStyle name="60% - Accent6 3" xfId="152"/>
    <cellStyle name="60% - Accent6 4" xfId="66"/>
    <cellStyle name="60% - Accent6 4 2" xfId="888"/>
    <cellStyle name="60% - Accent6 5" xfId="43"/>
    <cellStyle name="Accent1" xfId="210" builtinId="29" customBuiltin="1"/>
    <cellStyle name="Accent1 2" xfId="109"/>
    <cellStyle name="Accent1 2 2" xfId="254"/>
    <cellStyle name="Accent1 2 2 2" xfId="364"/>
    <cellStyle name="Accent1 3" xfId="153"/>
    <cellStyle name="Accent1 4" xfId="67"/>
    <cellStyle name="Accent1 4 2" xfId="865"/>
    <cellStyle name="Accent1 5" xfId="20"/>
    <cellStyle name="Accent2" xfId="214" builtinId="33" customBuiltin="1"/>
    <cellStyle name="Accent2 2" xfId="113"/>
    <cellStyle name="Accent2 2 2" xfId="255"/>
    <cellStyle name="Accent2 2 2 2" xfId="368"/>
    <cellStyle name="Accent2 3" xfId="154"/>
    <cellStyle name="Accent2 4" xfId="68"/>
    <cellStyle name="Accent2 4 2" xfId="869"/>
    <cellStyle name="Accent2 5" xfId="24"/>
    <cellStyle name="Accent3" xfId="218" builtinId="37" customBuiltin="1"/>
    <cellStyle name="Accent3 2" xfId="117"/>
    <cellStyle name="Accent3 2 2" xfId="256"/>
    <cellStyle name="Accent3 2 2 2" xfId="372"/>
    <cellStyle name="Accent3 3" xfId="155"/>
    <cellStyle name="Accent3 4" xfId="69"/>
    <cellStyle name="Accent3 4 2" xfId="873"/>
    <cellStyle name="Accent3 5" xfId="28"/>
    <cellStyle name="Accent4" xfId="222" builtinId="41" customBuiltin="1"/>
    <cellStyle name="Accent4 2" xfId="121"/>
    <cellStyle name="Accent4 2 2" xfId="258"/>
    <cellStyle name="Accent4 2 2 2" xfId="376"/>
    <cellStyle name="Accent4 3" xfId="156"/>
    <cellStyle name="Accent4 3 2" xfId="301"/>
    <cellStyle name="Accent4 3 2 2" xfId="402"/>
    <cellStyle name="Accent4 4" xfId="70"/>
    <cellStyle name="Accent4 4 2" xfId="257"/>
    <cellStyle name="Accent4 4 3" xfId="877"/>
    <cellStyle name="Accent4 5" xfId="32"/>
    <cellStyle name="Accent5" xfId="226" builtinId="45" customBuiltin="1"/>
    <cellStyle name="Accent5 2" xfId="125"/>
    <cellStyle name="Accent5 2 2" xfId="259"/>
    <cellStyle name="Accent5 2 2 2" xfId="380"/>
    <cellStyle name="Accent5 3" xfId="157"/>
    <cellStyle name="Accent5 4" xfId="71"/>
    <cellStyle name="Accent5 4 2" xfId="881"/>
    <cellStyle name="Accent5 5" xfId="36"/>
    <cellStyle name="Accent6" xfId="230" builtinId="49" customBuiltin="1"/>
    <cellStyle name="Accent6 2" xfId="129"/>
    <cellStyle name="Accent6 2 2" xfId="260"/>
    <cellStyle name="Accent6 2 2 2" xfId="384"/>
    <cellStyle name="Accent6 3" xfId="158"/>
    <cellStyle name="Accent6 4" xfId="72"/>
    <cellStyle name="Accent6 4 2" xfId="885"/>
    <cellStyle name="Accent6 5" xfId="40"/>
    <cellStyle name="Bad" xfId="199" builtinId="27" customBuiltin="1"/>
    <cellStyle name="Bad 2" xfId="98"/>
    <cellStyle name="Bad 2 2" xfId="262"/>
    <cellStyle name="Bad 2 2 2" xfId="353"/>
    <cellStyle name="Bad 3" xfId="159"/>
    <cellStyle name="Bad 3 2" xfId="297"/>
    <cellStyle name="Bad 3 2 2" xfId="403"/>
    <cellStyle name="Bad 4" xfId="73"/>
    <cellStyle name="Bad 4 2" xfId="261"/>
    <cellStyle name="Bad 4 3" xfId="854"/>
    <cellStyle name="Bad 5" xfId="10"/>
    <cellStyle name="Calculation" xfId="203" builtinId="22" customBuiltin="1"/>
    <cellStyle name="Calculation 2" xfId="102"/>
    <cellStyle name="Calculation 2 2" xfId="263"/>
    <cellStyle name="Calculation 2 2 2" xfId="357"/>
    <cellStyle name="Calculation 3" xfId="160"/>
    <cellStyle name="Calculation 4" xfId="74"/>
    <cellStyle name="Calculation 4 2" xfId="858"/>
    <cellStyle name="Calculation 5" xfId="14"/>
    <cellStyle name="Check Cell" xfId="205" builtinId="23" customBuiltin="1"/>
    <cellStyle name="Check Cell 2" xfId="104"/>
    <cellStyle name="Check Cell 2 2" xfId="264"/>
    <cellStyle name="Check Cell 2 2 2" xfId="359"/>
    <cellStyle name="Check Cell 3" xfId="161"/>
    <cellStyle name="Check Cell 4" xfId="75"/>
    <cellStyle name="Check Cell 4 2" xfId="860"/>
    <cellStyle name="Check Cell 5" xfId="16"/>
    <cellStyle name="Comma" xfId="1" builtinId="3"/>
    <cellStyle name="Comma 2" xfId="47"/>
    <cellStyle name="Comma 2 2" xfId="178"/>
    <cellStyle name="Comma 2 2 2" xfId="324"/>
    <cellStyle name="Comma 2 2 2 2" xfId="329"/>
    <cellStyle name="Comma 2 2 2 3" xfId="1187"/>
    <cellStyle name="Comma 2 2 3" xfId="341"/>
    <cellStyle name="Comma 2 2 3 2" xfId="938"/>
    <cellStyle name="Comma 2 2 4" xfId="317"/>
    <cellStyle name="Comma 2 3" xfId="266"/>
    <cellStyle name="Comma 2 3 2" xfId="328"/>
    <cellStyle name="Comma 2 3 2 2" xfId="970"/>
    <cellStyle name="Comma 2 4" xfId="335"/>
    <cellStyle name="Comma 2 4 2" xfId="928"/>
    <cellStyle name="Comma 3" xfId="48"/>
    <cellStyle name="Comma 3 2" xfId="265"/>
    <cellStyle name="Comma 3 2 2" xfId="330"/>
    <cellStyle name="Comma 3 2 3" xfId="997"/>
    <cellStyle name="Comma 3 3" xfId="337"/>
    <cellStyle name="Comma 3 3 2" xfId="931"/>
    <cellStyle name="Comma 4" xfId="8"/>
    <cellStyle name="Comma 4 2" xfId="325"/>
    <cellStyle name="Comma 4 2 2" xfId="331"/>
    <cellStyle name="Comma 4 2 3" xfId="1140"/>
    <cellStyle name="Comma 4 3" xfId="340"/>
    <cellStyle name="Comma 4 3 2" xfId="935"/>
    <cellStyle name="Comma 4 4" xfId="318"/>
    <cellStyle name="Comma 5" xfId="338"/>
    <cellStyle name="Comma 5 2" xfId="968"/>
    <cellStyle name="Comma 6" xfId="926"/>
    <cellStyle name="Currency 2" xfId="179"/>
    <cellStyle name="Currency 2 2" xfId="268"/>
    <cellStyle name="Currency 2 2 2" xfId="327"/>
    <cellStyle name="Currency 2 2 2 2" xfId="333"/>
    <cellStyle name="Currency 2 2 2 3" xfId="998"/>
    <cellStyle name="Currency 2 2 3" xfId="343"/>
    <cellStyle name="Currency 2 2 3 2" xfId="932"/>
    <cellStyle name="Currency 2 3" xfId="326"/>
    <cellStyle name="Currency 2 3 2" xfId="332"/>
    <cellStyle name="Currency 2 3 2 2" xfId="1142"/>
    <cellStyle name="Currency 2 3 3" xfId="936"/>
    <cellStyle name="Currency 2 4" xfId="336"/>
    <cellStyle name="Currency 2 4 2" xfId="971"/>
    <cellStyle name="Currency 2 5" xfId="929"/>
    <cellStyle name="Currency 3" xfId="162"/>
    <cellStyle name="Currency 3 2" xfId="267"/>
    <cellStyle name="Currency 3 2 2" xfId="334"/>
    <cellStyle name="Currency 3 2 2 2" xfId="1186"/>
    <cellStyle name="Currency 3 2 3" xfId="937"/>
    <cellStyle name="Currency 3 3" xfId="342"/>
    <cellStyle name="Currency 3 3 2" xfId="969"/>
    <cellStyle name="Currency 3 4" xfId="927"/>
    <cellStyle name="Currency 4" xfId="76"/>
    <cellStyle name="Currency 4 2" xfId="339"/>
    <cellStyle name="Currency 4 2 2" xfId="996"/>
    <cellStyle name="Currency 4 3" xfId="930"/>
    <cellStyle name="Currency 4 4" xfId="478"/>
    <cellStyle name="Currency 5" xfId="551"/>
    <cellStyle name="Currency 5 2" xfId="1139"/>
    <cellStyle name="Currency 5 3" xfId="934"/>
    <cellStyle name="Currency 6" xfId="967"/>
    <cellStyle name="Currency 7" xfId="925"/>
    <cellStyle name="Explanatory Text" xfId="208" builtinId="53" customBuiltin="1"/>
    <cellStyle name="Explanatory Text 2" xfId="107"/>
    <cellStyle name="Explanatory Text 2 2" xfId="269"/>
    <cellStyle name="Explanatory Text 2 2 2" xfId="362"/>
    <cellStyle name="Explanatory Text 3" xfId="163"/>
    <cellStyle name="Explanatory Text 4" xfId="77"/>
    <cellStyle name="Explanatory Text 4 2" xfId="863"/>
    <cellStyle name="Explanatory Text 5" xfId="18"/>
    <cellStyle name="Good" xfId="198" builtinId="26" customBuiltin="1"/>
    <cellStyle name="Good 2" xfId="97"/>
    <cellStyle name="Good 2 2" xfId="271"/>
    <cellStyle name="Good 2 2 2" xfId="352"/>
    <cellStyle name="Good 3" xfId="164"/>
    <cellStyle name="Good 3 2" xfId="296"/>
    <cellStyle name="Good 3 2 2" xfId="404"/>
    <cellStyle name="Good 4" xfId="78"/>
    <cellStyle name="Good 4 2" xfId="270"/>
    <cellStyle name="Good 4 3" xfId="853"/>
    <cellStyle name="Good 5" xfId="9"/>
    <cellStyle name="HeaderStyle" xfId="272"/>
    <cellStyle name="Heading 1" xfId="3" builtinId="16" customBuiltin="1"/>
    <cellStyle name="Heading 1 2" xfId="93"/>
    <cellStyle name="Heading 1 2 2" xfId="273"/>
    <cellStyle name="Heading 1 2 2 2" xfId="348"/>
    <cellStyle name="Heading 1 3" xfId="165"/>
    <cellStyle name="Heading 1 4" xfId="79"/>
    <cellStyle name="Heading 2" xfId="4" builtinId="17" customBuiltin="1"/>
    <cellStyle name="Heading 2 2" xfId="94"/>
    <cellStyle name="Heading 2 2 2" xfId="274"/>
    <cellStyle name="Heading 2 2 2 2" xfId="349"/>
    <cellStyle name="Heading 2 3" xfId="166"/>
    <cellStyle name="Heading 2 4" xfId="80"/>
    <cellStyle name="Heading 3" xfId="5" builtinId="18" customBuiltin="1"/>
    <cellStyle name="Heading 3 2" xfId="95"/>
    <cellStyle name="Heading 3 2 2" xfId="275"/>
    <cellStyle name="Heading 3 2 2 2" xfId="350"/>
    <cellStyle name="Heading 3 3" xfId="167"/>
    <cellStyle name="Heading 3 4" xfId="81"/>
    <cellStyle name="Heading 4" xfId="6" builtinId="19" customBuiltin="1"/>
    <cellStyle name="Heading 4 2" xfId="96"/>
    <cellStyle name="Heading 4 2 2" xfId="276"/>
    <cellStyle name="Heading 4 2 2 2" xfId="351"/>
    <cellStyle name="Heading 4 3" xfId="168"/>
    <cellStyle name="Heading 4 4" xfId="82"/>
    <cellStyle name="Hyperlink 2" xfId="197"/>
    <cellStyle name="Input" xfId="201" builtinId="20" customBuiltin="1"/>
    <cellStyle name="Input 2" xfId="100"/>
    <cellStyle name="Input 2 2" xfId="277"/>
    <cellStyle name="Input 2 2 2" xfId="355"/>
    <cellStyle name="Input 3" xfId="169"/>
    <cellStyle name="Input 4" xfId="83"/>
    <cellStyle name="Input 4 2" xfId="856"/>
    <cellStyle name="Input 5" xfId="12"/>
    <cellStyle name="Linked Cell" xfId="204" builtinId="24" customBuiltin="1"/>
    <cellStyle name="Linked Cell 2" xfId="103"/>
    <cellStyle name="Linked Cell 2 2" xfId="278"/>
    <cellStyle name="Linked Cell 2 2 2" xfId="358"/>
    <cellStyle name="Linked Cell 3" xfId="170"/>
    <cellStyle name="Linked Cell 4" xfId="84"/>
    <cellStyle name="Linked Cell 4 2" xfId="859"/>
    <cellStyle name="Linked Cell 5" xfId="15"/>
    <cellStyle name="Neutral" xfId="200" builtinId="28" customBuiltin="1"/>
    <cellStyle name="Neutral 2" xfId="99"/>
    <cellStyle name="Neutral 2 2" xfId="280"/>
    <cellStyle name="Neutral 2 2 2" xfId="354"/>
    <cellStyle name="Neutral 3" xfId="171"/>
    <cellStyle name="Neutral 3 2" xfId="298"/>
    <cellStyle name="Neutral 3 2 2" xfId="405"/>
    <cellStyle name="Neutral 4" xfId="85"/>
    <cellStyle name="Neutral 4 2" xfId="279"/>
    <cellStyle name="Neutral 4 3" xfId="855"/>
    <cellStyle name="Neutral 5" xfId="11"/>
    <cellStyle name="Normal" xfId="0" builtinId="0"/>
    <cellStyle name="Normal 10" xfId="852"/>
    <cellStyle name="Normal 10 2" xfId="1457"/>
    <cellStyle name="Normal 10 3" xfId="1400"/>
    <cellStyle name="Normal 11" xfId="889"/>
    <cellStyle name="Normal 11 2" xfId="1472"/>
    <cellStyle name="Normal 12" xfId="903"/>
    <cellStyle name="Normal 12 2" xfId="1486"/>
    <cellStyle name="Normal 13" xfId="345"/>
    <cellStyle name="Normal 14" xfId="917"/>
    <cellStyle name="Normal 15" xfId="918"/>
    <cellStyle name="Normal 16" xfId="919"/>
    <cellStyle name="Normal 17" xfId="920"/>
    <cellStyle name="Normal 18" xfId="921"/>
    <cellStyle name="Normal 19" xfId="922"/>
    <cellStyle name="Normal 2" xfId="45"/>
    <cellStyle name="Normal 2 2" xfId="46"/>
    <cellStyle name="Normal 2 2 2" xfId="180"/>
    <cellStyle name="Normal 2 2 2 2" xfId="710"/>
    <cellStyle name="Normal 2 2 2 2 2" xfId="1288"/>
    <cellStyle name="Normal 2 2 2 3" xfId="610"/>
    <cellStyle name="Normal 2 2 2 3 2" xfId="1188"/>
    <cellStyle name="Normal 2 2 2 4" xfId="1055"/>
    <cellStyle name="Normal 2 2 3" xfId="320"/>
    <cellStyle name="Normal 2 2 3 2" xfId="768"/>
    <cellStyle name="Normal 2 2 3 3" xfId="450"/>
    <cellStyle name="Normal 2 2 4" xfId="667"/>
    <cellStyle name="Normal 2 2 4 2" xfId="1245"/>
    <cellStyle name="Normal 2 2 5" xfId="567"/>
    <cellStyle name="Normal 2 2 5 2" xfId="1143"/>
    <cellStyle name="Normal 2 2 6" xfId="972"/>
    <cellStyle name="Normal 2 3" xfId="91"/>
    <cellStyle name="Normal 2 3 2" xfId="507"/>
    <cellStyle name="Normal 2 3 2 2" xfId="796"/>
    <cellStyle name="Normal 2 3 2 2 2" xfId="1370"/>
    <cellStyle name="Normal 2 3 2 3" xfId="1083"/>
    <cellStyle name="Normal 2 3 3" xfId="724"/>
    <cellStyle name="Normal 2 3 3 2" xfId="1302"/>
    <cellStyle name="Normal 2 3 4" xfId="624"/>
    <cellStyle name="Normal 2 3 4 2" xfId="1202"/>
    <cellStyle name="Normal 2 3 5" xfId="999"/>
    <cellStyle name="Normal 2 4" xfId="196"/>
    <cellStyle name="Normal 2 4 2" xfId="695"/>
    <cellStyle name="Normal 2 4 2 2" xfId="1273"/>
    <cellStyle name="Normal 2 4 3" xfId="595"/>
    <cellStyle name="Normal 2 4 3 2" xfId="1171"/>
    <cellStyle name="Normal 2 4 4" xfId="1040"/>
    <cellStyle name="Normal 2 4 5" xfId="479"/>
    <cellStyle name="Normal 2 5" xfId="281"/>
    <cellStyle name="Normal 2 5 2" xfId="753"/>
    <cellStyle name="Normal 2 5 3" xfId="552"/>
    <cellStyle name="Normal 2 5 4" xfId="434"/>
    <cellStyle name="Normal 2 6" xfId="319"/>
    <cellStyle name="Normal 2 6 2" xfId="1230"/>
    <cellStyle name="Normal 2 6 3" xfId="652"/>
    <cellStyle name="Normal 2 7" xfId="537"/>
    <cellStyle name="Normal 2 7 2" xfId="1125"/>
    <cellStyle name="Normal 2 8" xfId="346"/>
    <cellStyle name="Normal 2 9" xfId="1426"/>
    <cellStyle name="Normal 20" xfId="923"/>
    <cellStyle name="Normal 21" xfId="924"/>
    <cellStyle name="Normal 3" xfId="134"/>
    <cellStyle name="Normal 3 2" xfId="195"/>
    <cellStyle name="Normal 3 2 2" xfId="322"/>
    <cellStyle name="Normal 3 2 3" xfId="449"/>
    <cellStyle name="Normal 3 3" xfId="194"/>
    <cellStyle name="Normal 3 3 2" xfId="1342"/>
    <cellStyle name="Normal 3 4" xfId="282"/>
    <cellStyle name="Normal 3 4 2" xfId="389"/>
    <cellStyle name="Normal 3 5" xfId="321"/>
    <cellStyle name="Normal 4" xfId="133"/>
    <cellStyle name="Normal 4 2" xfId="283"/>
    <cellStyle name="Normal 4 2 2" xfId="709"/>
    <cellStyle name="Normal 4 2 2 2" xfId="1287"/>
    <cellStyle name="Normal 4 2 3" xfId="609"/>
    <cellStyle name="Normal 4 2 3 2" xfId="1185"/>
    <cellStyle name="Normal 4 2 4" xfId="1054"/>
    <cellStyle name="Normal 4 2 5" xfId="493"/>
    <cellStyle name="Normal 4 3" xfId="323"/>
    <cellStyle name="Normal 4 3 2" xfId="767"/>
    <cellStyle name="Normal 4 3 3" xfId="448"/>
    <cellStyle name="Normal 4 4" xfId="666"/>
    <cellStyle name="Normal 4 4 2" xfId="1244"/>
    <cellStyle name="Normal 4 5" xfId="566"/>
    <cellStyle name="Normal 4 5 2" xfId="1141"/>
    <cellStyle name="Normal 4 6" xfId="388"/>
    <cellStyle name="Normal 5" xfId="7"/>
    <cellStyle name="Normal 5 2" xfId="295"/>
    <cellStyle name="Normal 5 2 2" xfId="782"/>
    <cellStyle name="Normal 5 2 2 2" xfId="1356"/>
    <cellStyle name="Normal 5 2 3" xfId="1069"/>
    <cellStyle name="Normal 5 2 4" xfId="464"/>
    <cellStyle name="Normal 5 3" xfId="681"/>
    <cellStyle name="Normal 5 3 2" xfId="1259"/>
    <cellStyle name="Normal 5 4" xfId="581"/>
    <cellStyle name="Normal 5 4 2" xfId="1157"/>
    <cellStyle name="Normal 5 5" xfId="407"/>
    <cellStyle name="Normal 6" xfId="303"/>
    <cellStyle name="Normal 6 2" xfId="810"/>
    <cellStyle name="Normal 6 2 2" xfId="952"/>
    <cellStyle name="Normal 6 2 2 2" xfId="1372"/>
    <cellStyle name="Normal 6 2 3" xfId="1097"/>
    <cellStyle name="Normal 6 3" xfId="738"/>
    <cellStyle name="Normal 6 3 2" xfId="1316"/>
    <cellStyle name="Normal 6 4" xfId="638"/>
    <cellStyle name="Normal 6 4 2" xfId="1216"/>
    <cellStyle name="Normal 6 5" xfId="521"/>
    <cellStyle name="Normal 7" xfId="234"/>
    <cellStyle name="Normal 7 2" xfId="752"/>
    <cellStyle name="Normal 7 2 2" xfId="1111"/>
    <cellStyle name="Normal 7 2 3" xfId="1471"/>
    <cellStyle name="Normal 7 2 4" xfId="933"/>
    <cellStyle name="Normal 7 3" xfId="523"/>
    <cellStyle name="Normal 7 3 2" xfId="939"/>
    <cellStyle name="Normal 7 4" xfId="1026"/>
    <cellStyle name="Normal 7 5" xfId="344"/>
    <cellStyle name="Normal 8" xfId="824"/>
    <cellStyle name="Normal 8 2" xfId="1386"/>
    <cellStyle name="Normal 9" xfId="838"/>
    <cellStyle name="Normal 9 2" xfId="1443"/>
    <cellStyle name="Note" xfId="207" builtinId="10" customBuiltin="1"/>
    <cellStyle name="Note 10" xfId="904"/>
    <cellStyle name="Note 10 2" xfId="1458"/>
    <cellStyle name="Note 11" xfId="1473"/>
    <cellStyle name="Note 2" xfId="106"/>
    <cellStyle name="Note 2 2" xfId="181"/>
    <cellStyle name="Note 2 2 2" xfId="494"/>
    <cellStyle name="Note 2 2 2 2" xfId="711"/>
    <cellStyle name="Note 2 2 2 2 2" xfId="1289"/>
    <cellStyle name="Note 2 2 2 3" xfId="611"/>
    <cellStyle name="Note 2 2 2 3 2" xfId="1189"/>
    <cellStyle name="Note 2 2 2 4" xfId="1056"/>
    <cellStyle name="Note 2 2 3" xfId="451"/>
    <cellStyle name="Note 2 2 3 2" xfId="769"/>
    <cellStyle name="Note 2 2 4" xfId="668"/>
    <cellStyle name="Note 2 2 4 2" xfId="1246"/>
    <cellStyle name="Note 2 2 5" xfId="568"/>
    <cellStyle name="Note 2 2 5 2" xfId="1144"/>
    <cellStyle name="Note 2 2 6" xfId="973"/>
    <cellStyle name="Note 2 3" xfId="284"/>
    <cellStyle name="Note 2 3 2" xfId="508"/>
    <cellStyle name="Note 2 3 2 2" xfId="797"/>
    <cellStyle name="Note 2 3 2 2 2" xfId="1371"/>
    <cellStyle name="Note 2 3 2 3" xfId="1084"/>
    <cellStyle name="Note 2 3 3" xfId="725"/>
    <cellStyle name="Note 2 3 3 2" xfId="1303"/>
    <cellStyle name="Note 2 3 4" xfId="625"/>
    <cellStyle name="Note 2 3 4 2" xfId="1203"/>
    <cellStyle name="Note 2 3 5" xfId="1000"/>
    <cellStyle name="Note 2 3 6" xfId="421"/>
    <cellStyle name="Note 2 4" xfId="480"/>
    <cellStyle name="Note 2 4 2" xfId="696"/>
    <cellStyle name="Note 2 4 2 2" xfId="1274"/>
    <cellStyle name="Note 2 4 3" xfId="596"/>
    <cellStyle name="Note 2 4 3 2" xfId="1172"/>
    <cellStyle name="Note 2 4 4" xfId="1041"/>
    <cellStyle name="Note 2 5" xfId="435"/>
    <cellStyle name="Note 2 5 2" xfId="766"/>
    <cellStyle name="Note 2 5 2 2" xfId="1343"/>
    <cellStyle name="Note 2 5 3" xfId="553"/>
    <cellStyle name="Note 2 6" xfId="653"/>
    <cellStyle name="Note 2 6 2" xfId="1231"/>
    <cellStyle name="Note 2 7" xfId="538"/>
    <cellStyle name="Note 2 7 2" xfId="1126"/>
    <cellStyle name="Note 2 8" xfId="361"/>
    <cellStyle name="Note 2 9" xfId="1427"/>
    <cellStyle name="Note 3" xfId="172"/>
    <cellStyle name="Note 3 2" xfId="299"/>
    <cellStyle name="Note 3 2 2" xfId="1428"/>
    <cellStyle name="Note 3 2 3" xfId="406"/>
    <cellStyle name="Note 4" xfId="86"/>
    <cellStyle name="Note 4 2" xfId="304"/>
    <cellStyle name="Note 4 2 2" xfId="783"/>
    <cellStyle name="Note 4 2 2 2" xfId="1357"/>
    <cellStyle name="Note 4 2 3" xfId="1070"/>
    <cellStyle name="Note 4 2 4" xfId="465"/>
    <cellStyle name="Note 4 3" xfId="682"/>
    <cellStyle name="Note 4 3 2" xfId="1260"/>
    <cellStyle name="Note 4 4" xfId="582"/>
    <cellStyle name="Note 4 4 2" xfId="1158"/>
    <cellStyle name="Note 4 5" xfId="408"/>
    <cellStyle name="Note 5" xfId="522"/>
    <cellStyle name="Note 5 2" xfId="811"/>
    <cellStyle name="Note 5 2 2" xfId="953"/>
    <cellStyle name="Note 5 2 2 2" xfId="1373"/>
    <cellStyle name="Note 5 2 3" xfId="1098"/>
    <cellStyle name="Note 5 3" xfId="739"/>
    <cellStyle name="Note 5 3 2" xfId="1317"/>
    <cellStyle name="Note 5 4" xfId="639"/>
    <cellStyle name="Note 5 4 2" xfId="1217"/>
    <cellStyle name="Note 5 5" xfId="1013"/>
    <cellStyle name="Note 6" xfId="524"/>
    <cellStyle name="Note 6 2" xfId="825"/>
    <cellStyle name="Note 6 2 2" xfId="1112"/>
    <cellStyle name="Note 6 3" xfId="966"/>
    <cellStyle name="Note 6 3 2" xfId="1387"/>
    <cellStyle name="Note 6 4" xfId="1027"/>
    <cellStyle name="Note 7" xfId="839"/>
    <cellStyle name="Note 7 2" xfId="1441"/>
    <cellStyle name="Note 8" xfId="862"/>
    <cellStyle name="Note 8 2" xfId="1442"/>
    <cellStyle name="Note 8 3" xfId="1401"/>
    <cellStyle name="Note 9" xfId="890"/>
    <cellStyle name="Note 9 2" xfId="1444"/>
    <cellStyle name="Output" xfId="202" builtinId="21" customBuiltin="1"/>
    <cellStyle name="Output 2" xfId="101"/>
    <cellStyle name="Output 2 2" xfId="285"/>
    <cellStyle name="Output 2 2 2" xfId="356"/>
    <cellStyle name="Output 3" xfId="173"/>
    <cellStyle name="Output 4" xfId="87"/>
    <cellStyle name="Output 4 2" xfId="857"/>
    <cellStyle name="Output 5" xfId="13"/>
    <cellStyle name="Percent 2" xfId="174"/>
    <cellStyle name="Percent 2 2" xfId="287"/>
    <cellStyle name="Percent 3" xfId="44"/>
    <cellStyle name="Percent 3 2" xfId="286"/>
    <cellStyle name="SubtotalStyle" xfId="288"/>
    <cellStyle name="TableStyle" xfId="289"/>
    <cellStyle name="Title" xfId="2" builtinId="15" customBuiltin="1"/>
    <cellStyle name="Title 2" xfId="92"/>
    <cellStyle name="Title 2 2" xfId="290"/>
    <cellStyle name="Title 2 2 2" xfId="347"/>
    <cellStyle name="Title 3" xfId="175"/>
    <cellStyle name="Title 4" xfId="88"/>
    <cellStyle name="TitleStyle" xfId="291"/>
    <cellStyle name="Total" xfId="209" builtinId="25" customBuiltin="1"/>
    <cellStyle name="Total 2" xfId="108"/>
    <cellStyle name="Total 2 2" xfId="292"/>
    <cellStyle name="Total 2 2 2" xfId="363"/>
    <cellStyle name="Total 3" xfId="176"/>
    <cellStyle name="Total 4" xfId="89"/>
    <cellStyle name="Total 4 2" xfId="864"/>
    <cellStyle name="Total 5" xfId="19"/>
    <cellStyle name="TotalStyle" xfId="293"/>
    <cellStyle name="Warning Text" xfId="206" builtinId="11" customBuiltin="1"/>
    <cellStyle name="Warning Text 2" xfId="105"/>
    <cellStyle name="Warning Text 2 2" xfId="294"/>
    <cellStyle name="Warning Text 2 2 2" xfId="360"/>
    <cellStyle name="Warning Text 3" xfId="177"/>
    <cellStyle name="Warning Text 4" xfId="90"/>
    <cellStyle name="Warning Text 4 2" xfId="861"/>
    <cellStyle name="Warning Text 5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"/>
  <sheetViews>
    <sheetView workbookViewId="0">
      <pane xSplit="1" ySplit="3" topLeftCell="L13" activePane="bottomRight" state="frozen"/>
      <selection pane="topRight" activeCell="B1" sqref="B1"/>
      <selection pane="bottomLeft" activeCell="A4" sqref="A4"/>
      <selection pane="bottomRight" activeCell="M39" sqref="M39"/>
    </sheetView>
  </sheetViews>
  <sheetFormatPr defaultRowHeight="15"/>
  <cols>
    <col min="1" max="1" width="55.44140625" style="5" customWidth="1"/>
    <col min="2" max="11" width="14.5546875" style="5" customWidth="1"/>
    <col min="12" max="13" width="14.5546875" style="5" bestFit="1" customWidth="1"/>
    <col min="14" max="14" width="15.5546875" style="5" customWidth="1"/>
    <col min="15" max="15" width="17.5546875" style="5" bestFit="1" customWidth="1"/>
    <col min="16" max="16" width="10.88671875" style="5" bestFit="1" customWidth="1"/>
    <col min="17" max="16384" width="8.88671875" style="5"/>
  </cols>
  <sheetData>
    <row r="1" spans="1:15" ht="15.75">
      <c r="A1" s="4"/>
      <c r="B1" s="1">
        <v>42370</v>
      </c>
      <c r="C1" s="1">
        <v>42401</v>
      </c>
      <c r="D1" s="1">
        <v>42430</v>
      </c>
      <c r="E1" s="1">
        <v>42461</v>
      </c>
      <c r="F1" s="1">
        <v>42491</v>
      </c>
      <c r="G1" s="1">
        <v>42522</v>
      </c>
      <c r="H1" s="1">
        <v>42552</v>
      </c>
      <c r="I1" s="1">
        <v>42583</v>
      </c>
      <c r="J1" s="1">
        <v>42614</v>
      </c>
      <c r="K1" s="1">
        <v>42644</v>
      </c>
      <c r="L1" s="1">
        <v>42675</v>
      </c>
      <c r="M1" s="1">
        <v>42705</v>
      </c>
      <c r="N1" s="2" t="s">
        <v>0</v>
      </c>
    </row>
    <row r="2" spans="1:15" ht="15.75">
      <c r="A2" s="10" t="s">
        <v>6</v>
      </c>
      <c r="B2" s="11">
        <v>9.1789999999999997E-2</v>
      </c>
      <c r="C2" s="11">
        <v>9.851E-2</v>
      </c>
      <c r="D2" s="11">
        <v>0.1061</v>
      </c>
      <c r="E2" s="11">
        <v>0.11132</v>
      </c>
      <c r="F2" s="11">
        <v>0.10749</v>
      </c>
      <c r="G2" s="11">
        <v>9.5449999999999993E-2</v>
      </c>
      <c r="H2" s="11">
        <v>8.3059999999999995E-2</v>
      </c>
      <c r="I2" s="11">
        <v>7.1029999999999996E-2</v>
      </c>
      <c r="J2" s="11">
        <v>9.5310000000000006E-2</v>
      </c>
      <c r="K2" s="11">
        <v>0.11226</v>
      </c>
      <c r="L2" s="11">
        <v>0.11108999999999999</v>
      </c>
      <c r="M2" s="11">
        <v>8.7080000000000005E-2</v>
      </c>
      <c r="N2" s="18">
        <v>2016</v>
      </c>
    </row>
    <row r="3" spans="1:15" ht="15.75">
      <c r="A3" s="10" t="s">
        <v>28</v>
      </c>
      <c r="B3" s="11">
        <v>8.4229999999999999E-2</v>
      </c>
      <c r="C3" s="11">
        <v>0.10384</v>
      </c>
      <c r="D3" s="11">
        <v>9.0219999999999995E-2</v>
      </c>
      <c r="E3" s="11">
        <v>0.12114999999999999</v>
      </c>
      <c r="F3" s="11">
        <v>0.10405</v>
      </c>
      <c r="G3" s="11">
        <v>0.11650000000000001</v>
      </c>
      <c r="H3" s="11">
        <v>7.6670000000000002E-2</v>
      </c>
      <c r="I3" s="11">
        <v>8.5690000000000002E-2</v>
      </c>
      <c r="J3" s="11">
        <v>7.0599999999999996E-2</v>
      </c>
      <c r="K3" s="11">
        <v>9.7199999999999995E-2</v>
      </c>
      <c r="L3" s="11">
        <v>0.12271</v>
      </c>
      <c r="M3" s="11">
        <v>0.10594000000000001</v>
      </c>
      <c r="N3" s="18"/>
    </row>
    <row r="4" spans="1:15">
      <c r="A4" s="3"/>
      <c r="B4" s="7"/>
      <c r="C4" s="7"/>
      <c r="D4" s="7"/>
      <c r="E4" s="7"/>
      <c r="F4" s="7"/>
      <c r="G4" s="7" t="s">
        <v>9</v>
      </c>
      <c r="H4" s="7"/>
      <c r="I4" s="7"/>
      <c r="J4" s="7"/>
      <c r="K4" s="7"/>
      <c r="L4" s="7"/>
      <c r="M4" s="7"/>
      <c r="N4" s="7"/>
    </row>
    <row r="5" spans="1:15" ht="15.75">
      <c r="A5" s="3" t="s">
        <v>4</v>
      </c>
      <c r="B5" s="8">
        <v>74157130.609999999</v>
      </c>
      <c r="C5" s="8">
        <v>68814620.829999998</v>
      </c>
      <c r="D5" s="8">
        <v>66887986.68</v>
      </c>
      <c r="E5" s="8">
        <v>60571928.549999997</v>
      </c>
      <c r="F5" s="8">
        <v>58553699.869999997</v>
      </c>
      <c r="G5" s="8">
        <v>61293506.659999996</v>
      </c>
      <c r="H5" s="8">
        <v>66398820.850000001</v>
      </c>
      <c r="I5" s="8">
        <v>72992123.180000007</v>
      </c>
      <c r="J5" s="8">
        <v>54278325.049999997</v>
      </c>
      <c r="K5" s="8">
        <v>55855245.090000004</v>
      </c>
      <c r="L5" s="8">
        <v>58470932.369999997</v>
      </c>
      <c r="M5" s="8">
        <v>67815985.849999994</v>
      </c>
      <c r="N5" s="14">
        <f>SUM(B5:M5)</f>
        <v>766090305.59000015</v>
      </c>
    </row>
    <row r="6" spans="1:15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7"/>
    </row>
    <row r="7" spans="1:15" ht="15.75">
      <c r="A7" s="4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>
      <c r="A8" s="6" t="s">
        <v>1</v>
      </c>
      <c r="B8" s="8">
        <v>2417522.4578859997</v>
      </c>
      <c r="C8" s="8">
        <v>2257119.5632239995</v>
      </c>
      <c r="D8" s="8">
        <v>2180548.365768</v>
      </c>
      <c r="E8" s="8">
        <v>1980702.0635849999</v>
      </c>
      <c r="F8" s="8">
        <v>1914705.985749</v>
      </c>
      <c r="G8" s="8">
        <v>2010427.0184479996</v>
      </c>
      <c r="H8" s="8">
        <v>1547092.5258050002</v>
      </c>
      <c r="I8" s="8">
        <v>1474440.8882360002</v>
      </c>
      <c r="J8" s="8">
        <v>1063855.1709799999</v>
      </c>
      <c r="K8" s="8">
        <v>1078006.2302369999</v>
      </c>
      <c r="L8" s="8">
        <v>1216195.3932959998</v>
      </c>
      <c r="M8" s="8">
        <v>1607238.8646450001</v>
      </c>
      <c r="N8" s="8">
        <f>SUM(B8:M8)</f>
        <v>20747854.527858999</v>
      </c>
    </row>
    <row r="9" spans="1:15">
      <c r="A9" s="6" t="s">
        <v>2</v>
      </c>
      <c r="B9" s="8">
        <v>659998.46242899995</v>
      </c>
      <c r="C9" s="8">
        <v>901471.53287300002</v>
      </c>
      <c r="D9" s="8">
        <v>1203983.7602400002</v>
      </c>
      <c r="E9" s="8">
        <v>1078180.32819</v>
      </c>
      <c r="F9" s="8">
        <v>784619.57825799996</v>
      </c>
      <c r="G9" s="8">
        <v>606805.71593399986</v>
      </c>
      <c r="H9" s="8">
        <v>723747.14726500004</v>
      </c>
      <c r="I9" s="8">
        <v>664228.32093800011</v>
      </c>
      <c r="J9" s="8">
        <v>537355.41799499991</v>
      </c>
      <c r="K9" s="8">
        <v>547381.40188200003</v>
      </c>
      <c r="L9" s="8">
        <v>514544.20485600003</v>
      </c>
      <c r="M9" s="8">
        <v>786665.43585999985</v>
      </c>
      <c r="N9" s="8">
        <f>SUM(B9:M9)</f>
        <v>9008981.3067200016</v>
      </c>
    </row>
    <row r="10" spans="1:15">
      <c r="A10" s="6" t="s">
        <v>3</v>
      </c>
      <c r="B10" s="8">
        <v>34494930.874547601</v>
      </c>
      <c r="C10" s="8">
        <v>34003781.478452884</v>
      </c>
      <c r="D10" s="8">
        <v>33111760.710160442</v>
      </c>
      <c r="E10" s="8">
        <v>29792181.9134604</v>
      </c>
      <c r="F10" s="8">
        <v>27987263.249063119</v>
      </c>
      <c r="G10" s="8">
        <v>28236937.822155442</v>
      </c>
      <c r="H10" s="8">
        <v>29446150.677632898</v>
      </c>
      <c r="I10" s="8">
        <v>33050979.360150367</v>
      </c>
      <c r="J10" s="8">
        <v>26127523.1027181</v>
      </c>
      <c r="K10" s="8">
        <v>26070212.22477714</v>
      </c>
      <c r="L10" s="8">
        <v>25654296.990134608</v>
      </c>
      <c r="M10" s="8">
        <v>29759553.438583799</v>
      </c>
      <c r="N10" s="8">
        <f>SUM(B10:M10)</f>
        <v>357735571.84183681</v>
      </c>
    </row>
    <row r="11" spans="1:15" ht="15.75">
      <c r="A11" s="6"/>
      <c r="B11" s="9">
        <f t="shared" ref="B11:K11" si="0">SUM(B8:B10)</f>
        <v>37572451.794862598</v>
      </c>
      <c r="C11" s="9">
        <f t="shared" si="0"/>
        <v>37162372.574549884</v>
      </c>
      <c r="D11" s="9">
        <f t="shared" si="0"/>
        <v>36496292.836168438</v>
      </c>
      <c r="E11" s="9">
        <f t="shared" si="0"/>
        <v>32851064.305235401</v>
      </c>
      <c r="F11" s="9">
        <f t="shared" si="0"/>
        <v>30686588.813070118</v>
      </c>
      <c r="G11" s="9">
        <f t="shared" si="0"/>
        <v>30854170.556537442</v>
      </c>
      <c r="H11" s="9">
        <f t="shared" si="0"/>
        <v>31716990.350702897</v>
      </c>
      <c r="I11" s="9">
        <f t="shared" si="0"/>
        <v>35189648.569324367</v>
      </c>
      <c r="J11" s="9">
        <f t="shared" si="0"/>
        <v>27728733.691693101</v>
      </c>
      <c r="K11" s="9">
        <f t="shared" si="0"/>
        <v>27695599.85689614</v>
      </c>
      <c r="L11" s="9">
        <f>SUM(L8:L10)</f>
        <v>27385036.588286608</v>
      </c>
      <c r="M11" s="9">
        <f>SUM(M8:M10)</f>
        <v>32153457.7390888</v>
      </c>
      <c r="N11" s="9">
        <f>SUM(B11:M11)</f>
        <v>387492407.6764158</v>
      </c>
    </row>
    <row r="12" spans="1:15" ht="15.7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5">
      <c r="A13" s="6" t="s">
        <v>1</v>
      </c>
      <c r="B13" s="8">
        <f t="shared" ref="B13:L13" si="1">+B8*B3</f>
        <v>203627.91662773775</v>
      </c>
      <c r="C13" s="8">
        <f t="shared" si="1"/>
        <v>234379.29544518012</v>
      </c>
      <c r="D13" s="8">
        <f t="shared" si="1"/>
        <v>196729.07355958896</v>
      </c>
      <c r="E13" s="8">
        <f t="shared" si="1"/>
        <v>239962.05500332272</v>
      </c>
      <c r="F13" s="8">
        <f t="shared" si="1"/>
        <v>199225.15781718344</v>
      </c>
      <c r="G13" s="8">
        <f t="shared" si="1"/>
        <v>234214.74764919197</v>
      </c>
      <c r="H13" s="8">
        <f t="shared" si="1"/>
        <v>118615.58395346937</v>
      </c>
      <c r="I13" s="8">
        <f t="shared" si="1"/>
        <v>126344.83971294286</v>
      </c>
      <c r="J13" s="8">
        <f t="shared" si="1"/>
        <v>75108.175071187987</v>
      </c>
      <c r="K13" s="8">
        <f t="shared" si="1"/>
        <v>104782.20557903638</v>
      </c>
      <c r="L13" s="8">
        <f t="shared" si="1"/>
        <v>149239.33671135214</v>
      </c>
      <c r="M13" s="8">
        <f>+M8*M3</f>
        <v>170270.88532049133</v>
      </c>
      <c r="N13" s="8">
        <f>SUM(B13:M13)</f>
        <v>2052499.2724506853</v>
      </c>
    </row>
    <row r="14" spans="1:15">
      <c r="A14" s="6" t="s">
        <v>2</v>
      </c>
      <c r="B14" s="8">
        <f t="shared" ref="B14:L14" si="2">+B9*B3</f>
        <v>55591.670490394667</v>
      </c>
      <c r="C14" s="8">
        <f t="shared" si="2"/>
        <v>93608.803973532325</v>
      </c>
      <c r="D14" s="8">
        <f t="shared" si="2"/>
        <v>108623.41484885282</v>
      </c>
      <c r="E14" s="8">
        <f t="shared" si="2"/>
        <v>130621.54676021849</v>
      </c>
      <c r="F14" s="8">
        <f t="shared" si="2"/>
        <v>81639.667117744902</v>
      </c>
      <c r="G14" s="8">
        <f t="shared" si="2"/>
        <v>70692.865906310981</v>
      </c>
      <c r="H14" s="8">
        <f t="shared" si="2"/>
        <v>55489.693780807553</v>
      </c>
      <c r="I14" s="8">
        <f t="shared" si="2"/>
        <v>56917.724821177231</v>
      </c>
      <c r="J14" s="8">
        <f t="shared" si="2"/>
        <v>37937.29251044699</v>
      </c>
      <c r="K14" s="8">
        <f t="shared" si="2"/>
        <v>53205.472262930401</v>
      </c>
      <c r="L14" s="8">
        <f t="shared" si="2"/>
        <v>63139.719377879766</v>
      </c>
      <c r="M14" s="8">
        <f>+M9*M3</f>
        <v>83339.336275008391</v>
      </c>
      <c r="N14" s="8">
        <f>SUM(B14:M14)</f>
        <v>890807.20812530443</v>
      </c>
    </row>
    <row r="15" spans="1:15">
      <c r="A15" s="6" t="s">
        <v>3</v>
      </c>
      <c r="B15" s="8">
        <f t="shared" ref="B15:L15" si="3">+B10*B3</f>
        <v>2905508.0275631445</v>
      </c>
      <c r="C15" s="8">
        <f t="shared" si="3"/>
        <v>3530952.6687225476</v>
      </c>
      <c r="D15" s="8">
        <f t="shared" si="3"/>
        <v>2987343.0512706749</v>
      </c>
      <c r="E15" s="8">
        <f t="shared" si="3"/>
        <v>3609322.8388157273</v>
      </c>
      <c r="F15" s="8">
        <f t="shared" si="3"/>
        <v>2912074.7410650179</v>
      </c>
      <c r="G15" s="8">
        <f t="shared" si="3"/>
        <v>3289603.2562811091</v>
      </c>
      <c r="H15" s="8">
        <f t="shared" si="3"/>
        <v>2257636.3724541143</v>
      </c>
      <c r="I15" s="8">
        <f t="shared" si="3"/>
        <v>2832138.4213712849</v>
      </c>
      <c r="J15" s="8">
        <f t="shared" si="3"/>
        <v>1844603.1310518978</v>
      </c>
      <c r="K15" s="8">
        <f t="shared" si="3"/>
        <v>2534024.6282483377</v>
      </c>
      <c r="L15" s="8">
        <f t="shared" si="3"/>
        <v>3148038.7836594176</v>
      </c>
      <c r="M15" s="8">
        <f>+M10*M3</f>
        <v>3152727.0912835677</v>
      </c>
      <c r="N15" s="8">
        <f>SUM(B15:M15)</f>
        <v>35003973.011786841</v>
      </c>
    </row>
    <row r="16" spans="1:15" ht="15.75">
      <c r="A16" s="6"/>
      <c r="B16" s="9">
        <f t="shared" ref="B16:K16" si="4">SUM(B13:B15)</f>
        <v>3164727.614681277</v>
      </c>
      <c r="C16" s="9">
        <f t="shared" si="4"/>
        <v>3858940.7681412599</v>
      </c>
      <c r="D16" s="9">
        <f t="shared" si="4"/>
        <v>3292695.5396791166</v>
      </c>
      <c r="E16" s="9">
        <f t="shared" si="4"/>
        <v>3979906.4405792686</v>
      </c>
      <c r="F16" s="9">
        <f t="shared" si="4"/>
        <v>3192939.5659999461</v>
      </c>
      <c r="G16" s="9">
        <f t="shared" si="4"/>
        <v>3594510.8698366121</v>
      </c>
      <c r="H16" s="9">
        <f t="shared" si="4"/>
        <v>2431741.6501883911</v>
      </c>
      <c r="I16" s="9">
        <f t="shared" si="4"/>
        <v>3015400.9859054051</v>
      </c>
      <c r="J16" s="9">
        <f t="shared" si="4"/>
        <v>1957648.5986335326</v>
      </c>
      <c r="K16" s="9">
        <f t="shared" si="4"/>
        <v>2692012.3060903046</v>
      </c>
      <c r="L16" s="9">
        <f>SUM(L13:L15)</f>
        <v>3360417.8397486494</v>
      </c>
      <c r="M16" s="9">
        <f>SUM(M13:M15)</f>
        <v>3406337.3128790674</v>
      </c>
      <c r="N16" s="9">
        <f>SUM(B16:M16)</f>
        <v>37947279.492362835</v>
      </c>
    </row>
    <row r="17" spans="1:16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6" ht="15.75">
      <c r="A18" s="4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>
      <c r="A19" s="6" t="s">
        <v>1</v>
      </c>
      <c r="B19" s="8">
        <v>2491878.5460000001</v>
      </c>
      <c r="C19" s="8">
        <v>2363248.6919999998</v>
      </c>
      <c r="D19" s="8">
        <v>2326235.3679999998</v>
      </c>
      <c r="E19" s="8">
        <v>2073129.845</v>
      </c>
      <c r="F19" s="8">
        <v>1462359.59</v>
      </c>
      <c r="G19" s="8">
        <v>1336391.6880000001</v>
      </c>
      <c r="H19" s="8">
        <v>1442206.06</v>
      </c>
      <c r="I19" s="8">
        <v>1460919.9369999999</v>
      </c>
      <c r="J19" s="8">
        <v>1356134.1070000001</v>
      </c>
      <c r="K19" s="8">
        <v>1486766.851</v>
      </c>
      <c r="L19" s="8">
        <v>2135795.2409999999</v>
      </c>
      <c r="M19" s="8">
        <v>3106086.3220000002</v>
      </c>
      <c r="N19" s="8">
        <f>SUM(B19:M19)</f>
        <v>23041152.247000001</v>
      </c>
    </row>
    <row r="20" spans="1:16">
      <c r="A20" s="6" t="s">
        <v>2</v>
      </c>
      <c r="B20" s="8">
        <v>1371269.017</v>
      </c>
      <c r="C20" s="8">
        <v>1284671.2290000001</v>
      </c>
      <c r="D20" s="8">
        <v>952021.75100000005</v>
      </c>
      <c r="E20" s="8">
        <v>629322.13500000001</v>
      </c>
      <c r="F20" s="8">
        <v>689469.86</v>
      </c>
      <c r="G20" s="8">
        <v>606643.68799999997</v>
      </c>
      <c r="H20" s="8">
        <v>727587.33100000001</v>
      </c>
      <c r="I20" s="8">
        <v>742197.81900000002</v>
      </c>
      <c r="J20" s="8">
        <v>575996.76199999999</v>
      </c>
      <c r="K20" s="8">
        <v>727451.13800000004</v>
      </c>
      <c r="L20" s="8">
        <v>548936.36499999999</v>
      </c>
      <c r="M20" s="8">
        <v>1457147.0319999999</v>
      </c>
      <c r="N20" s="8">
        <f>SUM(B20:M20)</f>
        <v>10312714.127</v>
      </c>
    </row>
    <row r="21" spans="1:16">
      <c r="A21" s="6" t="s">
        <v>3</v>
      </c>
      <c r="B21" s="8">
        <v>37816460.603</v>
      </c>
      <c r="C21" s="8">
        <v>35578963.318000004</v>
      </c>
      <c r="D21" s="8">
        <v>33941745.039000005</v>
      </c>
      <c r="E21" s="8">
        <v>29155746.090999998</v>
      </c>
      <c r="F21" s="8">
        <v>27911894.715999998</v>
      </c>
      <c r="G21" s="8">
        <v>30079895.250999998</v>
      </c>
      <c r="H21" s="8">
        <v>35325164.32</v>
      </c>
      <c r="I21" s="8">
        <v>35411809.625</v>
      </c>
      <c r="J21" s="8">
        <v>28584104.912999999</v>
      </c>
      <c r="K21" s="8">
        <v>27531856.647999998</v>
      </c>
      <c r="L21" s="8">
        <v>30343916.258000001</v>
      </c>
      <c r="M21" s="8">
        <v>36764061.214999996</v>
      </c>
      <c r="N21" s="8">
        <f>SUM(B21:M21)</f>
        <v>388445617.99699998</v>
      </c>
    </row>
    <row r="22" spans="1:16" ht="15.75">
      <c r="A22" s="6"/>
      <c r="B22" s="9">
        <f t="shared" ref="B22:K22" si="5">SUM(B19:B21)</f>
        <v>41679608.166000001</v>
      </c>
      <c r="C22" s="9">
        <f t="shared" si="5"/>
        <v>39226883.239000008</v>
      </c>
      <c r="D22" s="9">
        <f t="shared" si="5"/>
        <v>37220002.158000007</v>
      </c>
      <c r="E22" s="9">
        <f t="shared" si="5"/>
        <v>31858198.070999999</v>
      </c>
      <c r="F22" s="9">
        <f t="shared" si="5"/>
        <v>30063724.165999997</v>
      </c>
      <c r="G22" s="9">
        <f t="shared" si="5"/>
        <v>32022930.626999997</v>
      </c>
      <c r="H22" s="9">
        <f t="shared" si="5"/>
        <v>37494957.711000003</v>
      </c>
      <c r="I22" s="9">
        <f t="shared" si="5"/>
        <v>37614927.380999997</v>
      </c>
      <c r="J22" s="9">
        <f t="shared" si="5"/>
        <v>30516235.781999998</v>
      </c>
      <c r="K22" s="9">
        <f t="shared" si="5"/>
        <v>29746074.636999998</v>
      </c>
      <c r="L22" s="9">
        <f>SUM(L19:L21)</f>
        <v>33028647.864</v>
      </c>
      <c r="M22" s="9">
        <f>SUM(M19:M21)</f>
        <v>41327294.568999998</v>
      </c>
      <c r="N22" s="9">
        <f>SUM(B22:M22)</f>
        <v>421799484.37100005</v>
      </c>
    </row>
    <row r="23" spans="1:16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6" ht="15.75">
      <c r="A24" s="4" t="s">
        <v>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6">
      <c r="A25" s="6" t="s">
        <v>1</v>
      </c>
      <c r="B25" s="8">
        <f t="shared" ref="B25:L25" si="6">+B19*B2</f>
        <v>228729.53173734</v>
      </c>
      <c r="C25" s="8">
        <f t="shared" si="6"/>
        <v>232803.62864891998</v>
      </c>
      <c r="D25" s="8">
        <f t="shared" si="6"/>
        <v>246813.57254479997</v>
      </c>
      <c r="E25" s="8">
        <f t="shared" si="6"/>
        <v>230780.81434539999</v>
      </c>
      <c r="F25" s="8">
        <f t="shared" si="6"/>
        <v>157189.03232910001</v>
      </c>
      <c r="G25" s="8">
        <f t="shared" si="6"/>
        <v>127558.5866196</v>
      </c>
      <c r="H25" s="8">
        <f t="shared" si="6"/>
        <v>119789.63534359999</v>
      </c>
      <c r="I25" s="8">
        <f t="shared" si="6"/>
        <v>103769.14312510999</v>
      </c>
      <c r="J25" s="8">
        <f t="shared" si="6"/>
        <v>129253.14173817002</v>
      </c>
      <c r="K25" s="8">
        <f t="shared" si="6"/>
        <v>166904.44669325999</v>
      </c>
      <c r="L25" s="8">
        <f t="shared" si="6"/>
        <v>237265.49332268999</v>
      </c>
      <c r="M25" s="8">
        <f>+M19*M2</f>
        <v>270477.99691976001</v>
      </c>
      <c r="N25" s="8">
        <f>SUM(B25:M25)</f>
        <v>2251335.0233677505</v>
      </c>
    </row>
    <row r="26" spans="1:16">
      <c r="A26" s="6" t="s">
        <v>2</v>
      </c>
      <c r="B26" s="8">
        <f t="shared" ref="B26:L26" si="7">+B20*B2</f>
        <v>125868.78307043</v>
      </c>
      <c r="C26" s="8">
        <f t="shared" si="7"/>
        <v>126552.96276879001</v>
      </c>
      <c r="D26" s="8">
        <f t="shared" si="7"/>
        <v>101009.50778110001</v>
      </c>
      <c r="E26" s="8">
        <f t="shared" si="7"/>
        <v>70056.140068200009</v>
      </c>
      <c r="F26" s="8">
        <f t="shared" si="7"/>
        <v>74111.115251399999</v>
      </c>
      <c r="G26" s="8">
        <f t="shared" si="7"/>
        <v>57904.140019599996</v>
      </c>
      <c r="H26" s="8">
        <f t="shared" si="7"/>
        <v>60433.403712859996</v>
      </c>
      <c r="I26" s="8">
        <f t="shared" si="7"/>
        <v>52718.311083569999</v>
      </c>
      <c r="J26" s="8">
        <f t="shared" si="7"/>
        <v>54898.251386219999</v>
      </c>
      <c r="K26" s="8">
        <f t="shared" si="7"/>
        <v>81663.664751880002</v>
      </c>
      <c r="L26" s="8">
        <f t="shared" si="7"/>
        <v>60981.340787849993</v>
      </c>
      <c r="M26" s="8">
        <f>+M20*M2</f>
        <v>126888.36354655999</v>
      </c>
      <c r="N26" s="8">
        <f>SUM(B26:M26)</f>
        <v>993085.98422845989</v>
      </c>
    </row>
    <row r="27" spans="1:16">
      <c r="A27" s="6" t="s">
        <v>3</v>
      </c>
      <c r="B27" s="8">
        <f t="shared" ref="B27:L27" si="8">+B21*B2</f>
        <v>3471172.9187493697</v>
      </c>
      <c r="C27" s="8">
        <f t="shared" si="8"/>
        <v>3504883.6764561804</v>
      </c>
      <c r="D27" s="8">
        <f t="shared" si="8"/>
        <v>3601219.1486379006</v>
      </c>
      <c r="E27" s="8">
        <f t="shared" si="8"/>
        <v>3245617.6548501197</v>
      </c>
      <c r="F27" s="8">
        <f t="shared" si="8"/>
        <v>3000249.5630228398</v>
      </c>
      <c r="G27" s="8">
        <f t="shared" si="8"/>
        <v>2871126.0017079497</v>
      </c>
      <c r="H27" s="8">
        <f t="shared" si="8"/>
        <v>2934108.1484192</v>
      </c>
      <c r="I27" s="8">
        <f t="shared" si="8"/>
        <v>2515300.8376637497</v>
      </c>
      <c r="J27" s="8">
        <f t="shared" si="8"/>
        <v>2724351.0392580302</v>
      </c>
      <c r="K27" s="8">
        <f t="shared" si="8"/>
        <v>3090726.2273044796</v>
      </c>
      <c r="L27" s="8">
        <f t="shared" si="8"/>
        <v>3370905.65710122</v>
      </c>
      <c r="M27" s="8">
        <f>+M21*M2</f>
        <v>3201414.4506021999</v>
      </c>
      <c r="N27" s="8">
        <f>SUM(B27:M27)</f>
        <v>37531075.323773235</v>
      </c>
    </row>
    <row r="28" spans="1:16" ht="15.75">
      <c r="A28" s="3"/>
      <c r="B28" s="9">
        <f t="shared" ref="B28:K28" si="9">SUM(B25:B27)</f>
        <v>3825771.2335571395</v>
      </c>
      <c r="C28" s="9">
        <f t="shared" si="9"/>
        <v>3864240.2678738902</v>
      </c>
      <c r="D28" s="9">
        <f t="shared" si="9"/>
        <v>3949042.2289638007</v>
      </c>
      <c r="E28" s="9">
        <f t="shared" si="9"/>
        <v>3546454.60926372</v>
      </c>
      <c r="F28" s="9">
        <f t="shared" si="9"/>
        <v>3231549.7106033396</v>
      </c>
      <c r="G28" s="9">
        <f t="shared" si="9"/>
        <v>3056588.7283471497</v>
      </c>
      <c r="H28" s="9">
        <f t="shared" si="9"/>
        <v>3114331.1874756599</v>
      </c>
      <c r="I28" s="9">
        <f t="shared" si="9"/>
        <v>2671788.2918724297</v>
      </c>
      <c r="J28" s="9">
        <f t="shared" si="9"/>
        <v>2908502.4323824202</v>
      </c>
      <c r="K28" s="9">
        <f t="shared" si="9"/>
        <v>3339294.3387496197</v>
      </c>
      <c r="L28" s="9">
        <f>SUM(L25:L27)</f>
        <v>3669152.4912117599</v>
      </c>
      <c r="M28" s="9">
        <f>SUM(M25:M27)</f>
        <v>3598780.8110685199</v>
      </c>
      <c r="N28" s="9">
        <f>SUM(B28:M28)</f>
        <v>40775496.331369445</v>
      </c>
      <c r="O28" s="25"/>
      <c r="P28" s="16"/>
    </row>
    <row r="29" spans="1:16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6" ht="15.75" hidden="1">
      <c r="A30" s="12" t="s">
        <v>7</v>
      </c>
      <c r="B30" s="13">
        <f t="shared" ref="B30:K30" si="10">+B28-B16</f>
        <v>661043.61887586256</v>
      </c>
      <c r="C30" s="13">
        <f t="shared" si="10"/>
        <v>5299.4997326303273</v>
      </c>
      <c r="D30" s="13">
        <f t="shared" si="10"/>
        <v>656346.68928468414</v>
      </c>
      <c r="E30" s="13">
        <f t="shared" si="10"/>
        <v>-433451.83131554862</v>
      </c>
      <c r="F30" s="13">
        <f t="shared" si="10"/>
        <v>38610.144603393506</v>
      </c>
      <c r="G30" s="13">
        <f t="shared" si="10"/>
        <v>-537922.14148946246</v>
      </c>
      <c r="H30" s="13">
        <f t="shared" si="10"/>
        <v>682589.53728726879</v>
      </c>
      <c r="I30" s="13">
        <f t="shared" si="10"/>
        <v>-343612.69403297547</v>
      </c>
      <c r="J30" s="13">
        <f t="shared" si="10"/>
        <v>950853.83374888753</v>
      </c>
      <c r="K30" s="13">
        <f t="shared" si="10"/>
        <v>647282.03265931504</v>
      </c>
      <c r="L30" s="13">
        <f>+L28-L16</f>
        <v>308734.65146311047</v>
      </c>
      <c r="M30" s="13">
        <f>+M28-M16</f>
        <v>192443.49818945257</v>
      </c>
      <c r="N30" s="13">
        <f>SUM(B30:M30)</f>
        <v>2828216.8390066186</v>
      </c>
      <c r="O30" s="16"/>
    </row>
    <row r="31" spans="1:16" ht="15.7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>
      <c r="A32" s="31" t="s">
        <v>20</v>
      </c>
    </row>
    <row r="33" spans="1:16" ht="15.75">
      <c r="A33" s="32" t="s">
        <v>16</v>
      </c>
      <c r="B33" s="19">
        <v>6756724.46</v>
      </c>
      <c r="C33" s="19">
        <v>6720417.8600000003</v>
      </c>
      <c r="D33" s="19">
        <v>7038462.5</v>
      </c>
      <c r="E33" s="19">
        <v>6644935.8899999997</v>
      </c>
      <c r="F33" s="19">
        <v>6254104.3399999999</v>
      </c>
      <c r="G33" s="19">
        <v>5862313.5899999999</v>
      </c>
      <c r="H33" s="19">
        <v>5534804.6699999999</v>
      </c>
      <c r="I33" s="19">
        <v>5131559.7</v>
      </c>
      <c r="J33" s="19">
        <v>5109776.75</v>
      </c>
      <c r="K33" s="19">
        <v>6168877.29</v>
      </c>
      <c r="L33" s="19">
        <v>6426392.79</v>
      </c>
      <c r="M33" s="19">
        <v>5905873.8799999999</v>
      </c>
      <c r="N33" s="26">
        <f t="shared" ref="N33" si="11">SUM(B33:M33)</f>
        <v>73554243.719999999</v>
      </c>
    </row>
    <row r="34" spans="1:16" ht="15.75">
      <c r="A34" s="15" t="s">
        <v>10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5"/>
    </row>
    <row r="35" spans="1:16" ht="15.75">
      <c r="A35" s="5" t="s">
        <v>1</v>
      </c>
      <c r="B35" s="20">
        <v>-203627.92</v>
      </c>
      <c r="C35" s="20">
        <v>-234379.3</v>
      </c>
      <c r="D35" s="20">
        <v>-196729.07</v>
      </c>
      <c r="E35" s="20">
        <v>-239962.06</v>
      </c>
      <c r="F35" s="20">
        <v>-199225.16</v>
      </c>
      <c r="G35" s="20">
        <v>-234214.75</v>
      </c>
      <c r="H35" s="20">
        <v>-118615.58</v>
      </c>
      <c r="I35" s="20">
        <v>-126344.84</v>
      </c>
      <c r="J35" s="20">
        <v>-75108.179999999993</v>
      </c>
      <c r="K35" s="20">
        <v>-104782.21</v>
      </c>
      <c r="L35" s="20">
        <v>-149239.34</v>
      </c>
      <c r="M35" s="20">
        <v>-170270.89</v>
      </c>
      <c r="N35" s="27">
        <f t="shared" ref="N35:N39" si="12">SUM(B35:M35)</f>
        <v>-2052499.3000000003</v>
      </c>
    </row>
    <row r="36" spans="1:16" ht="15.75">
      <c r="A36" s="5" t="s">
        <v>2</v>
      </c>
      <c r="B36" s="20">
        <v>-55591.67</v>
      </c>
      <c r="C36" s="20">
        <v>-93608.8</v>
      </c>
      <c r="D36" s="20">
        <v>-108623.41</v>
      </c>
      <c r="E36" s="20">
        <v>-130621.55</v>
      </c>
      <c r="F36" s="20">
        <v>-81639.67</v>
      </c>
      <c r="G36" s="20">
        <v>-70692.87</v>
      </c>
      <c r="H36" s="20">
        <v>-55489.69</v>
      </c>
      <c r="I36" s="20">
        <v>-56917.72</v>
      </c>
      <c r="J36" s="20">
        <v>-37937.29</v>
      </c>
      <c r="K36" s="20">
        <v>-53205.47</v>
      </c>
      <c r="L36" s="20">
        <v>-63139.72</v>
      </c>
      <c r="M36" s="20">
        <v>-83339.34</v>
      </c>
      <c r="N36" s="27">
        <f t="shared" si="12"/>
        <v>-890807.19999999984</v>
      </c>
    </row>
    <row r="37" spans="1:16" ht="15.75">
      <c r="A37" s="5" t="s">
        <v>3</v>
      </c>
      <c r="B37" s="20">
        <v>-2905508.03</v>
      </c>
      <c r="C37" s="20">
        <v>-3530952.67</v>
      </c>
      <c r="D37" s="20">
        <v>-2987343.05</v>
      </c>
      <c r="E37" s="20">
        <v>-3609322.84</v>
      </c>
      <c r="F37" s="20">
        <v>-2912074.74</v>
      </c>
      <c r="G37" s="20">
        <v>-3289603.26</v>
      </c>
      <c r="H37" s="20">
        <v>-2257636.37</v>
      </c>
      <c r="I37" s="20">
        <v>-2832138.42</v>
      </c>
      <c r="J37" s="20">
        <v>-1844603.13</v>
      </c>
      <c r="K37" s="20">
        <v>-2534024.63</v>
      </c>
      <c r="L37" s="20">
        <v>-3148038.78</v>
      </c>
      <c r="M37" s="20">
        <v>-3152727.09</v>
      </c>
      <c r="N37" s="27">
        <f t="shared" si="12"/>
        <v>-35003973.010000005</v>
      </c>
      <c r="O37" s="34"/>
    </row>
    <row r="38" spans="1:16" ht="45.75">
      <c r="A38" s="40" t="s">
        <v>26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7">
        <f t="shared" si="12"/>
        <v>0</v>
      </c>
    </row>
    <row r="39" spans="1:16" ht="45.75">
      <c r="A39" s="41" t="s">
        <v>27</v>
      </c>
      <c r="B39" s="21">
        <v>-235607.07</v>
      </c>
      <c r="C39" s="21">
        <v>-580404.67000000004</v>
      </c>
      <c r="D39" s="21">
        <v>-345945.78</v>
      </c>
      <c r="E39" s="21">
        <v>-214378.79</v>
      </c>
      <c r="F39" s="21">
        <v>-65293.06</v>
      </c>
      <c r="G39" s="21">
        <v>120285.74</v>
      </c>
      <c r="H39" s="21">
        <v>64809.07</v>
      </c>
      <c r="I39" s="21">
        <v>-136160.54999999999</v>
      </c>
      <c r="J39" s="21">
        <v>-442996.76</v>
      </c>
      <c r="K39" s="20">
        <v>-207822.14137248462</v>
      </c>
      <c r="L39" s="20">
        <v>-196797.65</v>
      </c>
      <c r="M39" s="20">
        <v>-199306.15</v>
      </c>
      <c r="N39" s="27">
        <f t="shared" si="12"/>
        <v>-2439617.8113724845</v>
      </c>
      <c r="O39" s="39" t="s">
        <v>25</v>
      </c>
    </row>
    <row r="40" spans="1:16" ht="15.75">
      <c r="A40" s="15" t="s">
        <v>23</v>
      </c>
      <c r="B40" s="22">
        <f>SUM(B35:B39)</f>
        <v>-3400334.6899999995</v>
      </c>
      <c r="C40" s="22">
        <f t="shared" ref="C40:N40" si="13">SUM(C35:C39)</f>
        <v>-4439345.4400000004</v>
      </c>
      <c r="D40" s="22">
        <f t="shared" si="13"/>
        <v>-3638641.3099999996</v>
      </c>
      <c r="E40" s="22">
        <f t="shared" si="13"/>
        <v>-4194285.2399999998</v>
      </c>
      <c r="F40" s="22">
        <f t="shared" si="13"/>
        <v>-3258232.6300000004</v>
      </c>
      <c r="G40" s="22">
        <f t="shared" si="13"/>
        <v>-3474225.1399999997</v>
      </c>
      <c r="H40" s="22">
        <f t="shared" si="13"/>
        <v>-2366932.5700000003</v>
      </c>
      <c r="I40" s="22">
        <f t="shared" si="13"/>
        <v>-3151561.53</v>
      </c>
      <c r="J40" s="22">
        <f t="shared" si="13"/>
        <v>-2400645.36</v>
      </c>
      <c r="K40" s="22">
        <f t="shared" si="13"/>
        <v>-2899834.4513724847</v>
      </c>
      <c r="L40" s="22">
        <f t="shared" si="13"/>
        <v>-3557215.4899999998</v>
      </c>
      <c r="M40" s="24">
        <f t="shared" si="13"/>
        <v>-3605643.4699999997</v>
      </c>
      <c r="N40" s="28">
        <f t="shared" si="13"/>
        <v>-40386897.321372487</v>
      </c>
      <c r="O40" s="38">
        <f>+N40+N28</f>
        <v>388599.00999695808</v>
      </c>
    </row>
    <row r="41" spans="1:16" ht="15.7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15"/>
      <c r="O41" s="34"/>
    </row>
    <row r="42" spans="1:16" ht="15.75">
      <c r="A42" s="5" t="s">
        <v>19</v>
      </c>
      <c r="B42" s="19">
        <f>B33+B40</f>
        <v>3356389.7700000005</v>
      </c>
      <c r="C42" s="19">
        <f t="shared" ref="C42:J42" si="14">C33+C40</f>
        <v>2281072.42</v>
      </c>
      <c r="D42" s="19">
        <f t="shared" si="14"/>
        <v>3399821.1900000004</v>
      </c>
      <c r="E42" s="19">
        <f t="shared" si="14"/>
        <v>2450650.65</v>
      </c>
      <c r="F42" s="19">
        <f t="shared" si="14"/>
        <v>2995871.7099999995</v>
      </c>
      <c r="G42" s="19">
        <f t="shared" si="14"/>
        <v>2388088.4500000002</v>
      </c>
      <c r="H42" s="19">
        <f t="shared" si="14"/>
        <v>3167872.0999999996</v>
      </c>
      <c r="I42" s="19">
        <f t="shared" si="14"/>
        <v>1979998.1700000004</v>
      </c>
      <c r="J42" s="19">
        <f t="shared" si="14"/>
        <v>2709131.39</v>
      </c>
      <c r="K42" s="19">
        <f>K33+K40</f>
        <v>3269042.8386275154</v>
      </c>
      <c r="L42" s="19">
        <f t="shared" ref="L42:M42" si="15">L33+L40</f>
        <v>2869177.3000000003</v>
      </c>
      <c r="M42" s="19">
        <f t="shared" si="15"/>
        <v>2300230.41</v>
      </c>
      <c r="N42" s="26">
        <f t="shared" ref="N42" si="16">SUM(B42:M42)</f>
        <v>33167346.39862752</v>
      </c>
      <c r="O42" s="19"/>
      <c r="P42" s="35"/>
    </row>
    <row r="43" spans="1:16" ht="15.7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6"/>
    </row>
    <row r="44" spans="1:16" ht="15.75">
      <c r="A44" s="5" t="s">
        <v>11</v>
      </c>
      <c r="N44" s="15"/>
    </row>
    <row r="45" spans="1:16" ht="15.75">
      <c r="A45" s="5" t="s">
        <v>12</v>
      </c>
      <c r="B45" s="19">
        <v>362755.33</v>
      </c>
      <c r="C45" s="19">
        <v>360402.36</v>
      </c>
      <c r="D45" s="19">
        <v>379525.48</v>
      </c>
      <c r="E45" s="19">
        <v>369537.67</v>
      </c>
      <c r="F45" s="19">
        <v>359406.5</v>
      </c>
      <c r="G45" s="19">
        <v>337230.36</v>
      </c>
      <c r="H45" s="19">
        <v>412736.29</v>
      </c>
      <c r="I45" s="19">
        <v>369382.22</v>
      </c>
      <c r="J45" s="19">
        <v>406805.15</v>
      </c>
      <c r="K45" s="19">
        <v>446602.86</v>
      </c>
      <c r="L45" s="19">
        <v>452380.36</v>
      </c>
      <c r="M45" s="19">
        <v>405912.38</v>
      </c>
      <c r="N45" s="26">
        <f>SUM(B45:M45)</f>
        <v>4662676.96</v>
      </c>
    </row>
    <row r="46" spans="1:16" ht="15.75">
      <c r="N46" s="15"/>
    </row>
    <row r="47" spans="1:16" ht="16.5" thickBot="1">
      <c r="A47" s="15" t="s">
        <v>13</v>
      </c>
      <c r="B47" s="29">
        <f>SUM(B42:B46)</f>
        <v>3719145.1000000006</v>
      </c>
      <c r="C47" s="29">
        <f t="shared" ref="C47:J47" si="17">SUM(C42:C46)</f>
        <v>2641474.7799999998</v>
      </c>
      <c r="D47" s="29">
        <f t="shared" si="17"/>
        <v>3779346.6700000004</v>
      </c>
      <c r="E47" s="29">
        <f t="shared" si="17"/>
        <v>2820188.32</v>
      </c>
      <c r="F47" s="29">
        <f t="shared" si="17"/>
        <v>3355278.2099999995</v>
      </c>
      <c r="G47" s="29">
        <f t="shared" si="17"/>
        <v>2725318.81</v>
      </c>
      <c r="H47" s="29">
        <f t="shared" si="17"/>
        <v>3580608.3899999997</v>
      </c>
      <c r="I47" s="29">
        <f t="shared" si="17"/>
        <v>2349380.3900000006</v>
      </c>
      <c r="J47" s="29">
        <f t="shared" si="17"/>
        <v>3115936.54</v>
      </c>
      <c r="K47" s="29">
        <f>SUM(K42:K46)</f>
        <v>3715645.6986275152</v>
      </c>
      <c r="L47" s="29">
        <f>SUM(L42:L46)</f>
        <v>3321557.66</v>
      </c>
      <c r="M47" s="29">
        <f>SUM(M42:M46)</f>
        <v>2706142.79</v>
      </c>
      <c r="N47" s="29">
        <f>SUM(N42:N46)</f>
        <v>37830023.358627521</v>
      </c>
      <c r="O47" s="25"/>
    </row>
    <row r="48" spans="1:16" ht="15.75" thickTop="1"/>
    <row r="49" spans="1:14" ht="15.75">
      <c r="A49" s="37" t="s">
        <v>23</v>
      </c>
      <c r="B49" s="33">
        <f>-B40</f>
        <v>3400334.6899999995</v>
      </c>
      <c r="C49" s="33">
        <f t="shared" ref="C49:M49" si="18">-C40</f>
        <v>4439345.4400000004</v>
      </c>
      <c r="D49" s="33">
        <f t="shared" si="18"/>
        <v>3638641.3099999996</v>
      </c>
      <c r="E49" s="33">
        <f t="shared" si="18"/>
        <v>4194285.2399999998</v>
      </c>
      <c r="F49" s="33">
        <f t="shared" si="18"/>
        <v>3258232.6300000004</v>
      </c>
      <c r="G49" s="33">
        <f t="shared" si="18"/>
        <v>3474225.1399999997</v>
      </c>
      <c r="H49" s="33">
        <f t="shared" si="18"/>
        <v>2366932.5700000003</v>
      </c>
      <c r="I49" s="33">
        <f t="shared" si="18"/>
        <v>3151561.53</v>
      </c>
      <c r="J49" s="33">
        <f t="shared" si="18"/>
        <v>2400645.36</v>
      </c>
      <c r="K49" s="33">
        <f t="shared" si="18"/>
        <v>2899834.4513724847</v>
      </c>
      <c r="L49" s="33">
        <f t="shared" si="18"/>
        <v>3557215.4899999998</v>
      </c>
      <c r="M49" s="33">
        <f t="shared" si="18"/>
        <v>3605643.4699999997</v>
      </c>
      <c r="N49" s="27">
        <f t="shared" ref="N49" si="19">SUM(B49:M49)</f>
        <v>40386897.321372487</v>
      </c>
    </row>
    <row r="52" spans="1:14" ht="15.75">
      <c r="A52" s="5" t="s">
        <v>17</v>
      </c>
      <c r="B52" s="20">
        <v>980541.09</v>
      </c>
      <c r="C52" s="20">
        <v>830356.13</v>
      </c>
      <c r="D52" s="20">
        <v>374406.13</v>
      </c>
      <c r="E52" s="20">
        <v>338489.83</v>
      </c>
      <c r="F52" s="20">
        <v>789004.67</v>
      </c>
      <c r="G52" s="20">
        <v>1309788.94</v>
      </c>
      <c r="H52" s="20">
        <v>1730119.84</v>
      </c>
      <c r="I52" s="20">
        <v>2549854.5699999998</v>
      </c>
      <c r="J52" s="20">
        <v>1107215.56</v>
      </c>
      <c r="K52" s="20">
        <v>712983.17</v>
      </c>
      <c r="L52" s="20">
        <v>1008922.44</v>
      </c>
      <c r="M52" s="20">
        <v>1461865.28</v>
      </c>
      <c r="N52" s="27">
        <f t="shared" ref="N52:N56" si="20">SUM(B52:M52)</f>
        <v>13193547.649999999</v>
      </c>
    </row>
    <row r="53" spans="1:14" ht="15.75">
      <c r="A53" s="32" t="s">
        <v>18</v>
      </c>
      <c r="B53" s="20">
        <v>370430.88</v>
      </c>
      <c r="C53" s="20">
        <v>-447348.35</v>
      </c>
      <c r="D53" s="20">
        <v>481831.94</v>
      </c>
      <c r="E53" s="20">
        <v>-631512.18999999994</v>
      </c>
      <c r="F53" s="20">
        <v>-199870.86</v>
      </c>
      <c r="G53" s="20">
        <v>-736681.73</v>
      </c>
      <c r="H53" s="20">
        <v>416267.11</v>
      </c>
      <c r="I53" s="20">
        <v>-284540.67</v>
      </c>
      <c r="J53" s="20">
        <v>1001758.01</v>
      </c>
      <c r="K53" s="20">
        <v>441587.41</v>
      </c>
      <c r="L53" s="20">
        <v>-908085.56</v>
      </c>
      <c r="M53" s="20">
        <v>-1678921.37</v>
      </c>
      <c r="N53" s="27">
        <f t="shared" si="20"/>
        <v>-2175085.38</v>
      </c>
    </row>
    <row r="54" spans="1:14" ht="15.75">
      <c r="A54" s="5" t="s">
        <v>14</v>
      </c>
      <c r="B54" s="20">
        <v>-55.23</v>
      </c>
      <c r="C54" s="20">
        <v>-48.75</v>
      </c>
      <c r="D54" s="20">
        <v>-77.5</v>
      </c>
      <c r="E54" s="20">
        <v>-56.56</v>
      </c>
      <c r="F54" s="20">
        <v>-62.1</v>
      </c>
      <c r="G54" s="20">
        <v>-491.03</v>
      </c>
      <c r="H54" s="20">
        <v>-724.25</v>
      </c>
      <c r="I54" s="20">
        <v>-1590.12</v>
      </c>
      <c r="J54" s="20">
        <v>-3137.58</v>
      </c>
      <c r="K54" s="20">
        <v>70.290000000000006</v>
      </c>
      <c r="L54" s="20">
        <v>-306.41000000000003</v>
      </c>
      <c r="M54" s="20">
        <v>-546.57000000000005</v>
      </c>
      <c r="N54" s="27">
        <f t="shared" si="20"/>
        <v>-7025.8099999999995</v>
      </c>
    </row>
    <row r="56" spans="1:14" ht="16.5" thickBot="1">
      <c r="A56" s="15" t="s">
        <v>15</v>
      </c>
      <c r="B56" s="29">
        <f>SUM(B49:B55)</f>
        <v>4751251.4299999988</v>
      </c>
      <c r="C56" s="29">
        <f t="shared" ref="C56:M56" si="21">SUM(C49:C55)</f>
        <v>4822304.4700000007</v>
      </c>
      <c r="D56" s="29">
        <f t="shared" si="21"/>
        <v>4494801.88</v>
      </c>
      <c r="E56" s="29">
        <f t="shared" si="21"/>
        <v>3901206.3199999994</v>
      </c>
      <c r="F56" s="29">
        <f t="shared" si="21"/>
        <v>3847304.3400000003</v>
      </c>
      <c r="G56" s="29">
        <f t="shared" si="21"/>
        <v>4046841.3200000003</v>
      </c>
      <c r="H56" s="29">
        <f t="shared" si="21"/>
        <v>4512595.2700000005</v>
      </c>
      <c r="I56" s="29">
        <f t="shared" si="21"/>
        <v>5415285.3099999996</v>
      </c>
      <c r="J56" s="29">
        <f t="shared" si="21"/>
        <v>4506481.3499999996</v>
      </c>
      <c r="K56" s="29">
        <f t="shared" si="21"/>
        <v>4054475.3213724848</v>
      </c>
      <c r="L56" s="29">
        <f t="shared" si="21"/>
        <v>3657745.9599999995</v>
      </c>
      <c r="M56" s="29">
        <f t="shared" si="21"/>
        <v>3388040.81</v>
      </c>
      <c r="N56" s="29">
        <f t="shared" si="20"/>
        <v>51398333.781372488</v>
      </c>
    </row>
    <row r="57" spans="1:14" ht="15.75" thickTop="1">
      <c r="N57" s="33"/>
    </row>
  </sheetData>
  <pageMargins left="0" right="0" top="0.74803149606299213" bottom="0" header="0.31496062992125984" footer="0.31496062992125984"/>
  <pageSetup paperSize="5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3"/>
  <sheetViews>
    <sheetView tabSelected="1" workbookViewId="0">
      <pane xSplit="1" ySplit="3" topLeftCell="L13" activePane="bottomRight" state="frozen"/>
      <selection pane="topRight" activeCell="B1" sqref="B1"/>
      <selection pane="bottomLeft" activeCell="A4" sqref="A4"/>
      <selection pane="bottomRight" activeCell="A39" sqref="A39"/>
    </sheetView>
  </sheetViews>
  <sheetFormatPr defaultRowHeight="15"/>
  <cols>
    <col min="1" max="1" width="55.44140625" style="5" customWidth="1"/>
    <col min="2" max="11" width="14.5546875" style="5" customWidth="1"/>
    <col min="12" max="13" width="14.5546875" style="5" bestFit="1" customWidth="1"/>
    <col min="14" max="14" width="15.5546875" style="5" customWidth="1"/>
    <col min="15" max="15" width="17.5546875" style="5" bestFit="1" customWidth="1"/>
    <col min="16" max="16" width="12.33203125" style="5" bestFit="1" customWidth="1"/>
    <col min="17" max="16384" width="8.88671875" style="5"/>
  </cols>
  <sheetData>
    <row r="1" spans="1:15" ht="15.75">
      <c r="A1" s="4"/>
      <c r="B1" s="1">
        <v>42736</v>
      </c>
      <c r="C1" s="1">
        <v>42767</v>
      </c>
      <c r="D1" s="1">
        <v>42795</v>
      </c>
      <c r="E1" s="1">
        <v>42826</v>
      </c>
      <c r="F1" s="1">
        <v>42856</v>
      </c>
      <c r="G1" s="1">
        <v>42887</v>
      </c>
      <c r="H1" s="1">
        <v>42917</v>
      </c>
      <c r="I1" s="1">
        <v>42948</v>
      </c>
      <c r="J1" s="1">
        <v>42979</v>
      </c>
      <c r="K1" s="1">
        <v>43009</v>
      </c>
      <c r="L1" s="1">
        <v>43040</v>
      </c>
      <c r="M1" s="1">
        <v>43070</v>
      </c>
      <c r="N1" s="2" t="s">
        <v>0</v>
      </c>
    </row>
    <row r="2" spans="1:15" ht="15.75">
      <c r="A2" s="10" t="s">
        <v>6</v>
      </c>
      <c r="B2" s="11">
        <v>8.2269999999999996E-2</v>
      </c>
      <c r="C2" s="11">
        <v>8.6389999999999995E-2</v>
      </c>
      <c r="D2" s="11">
        <v>7.1349999999999997E-2</v>
      </c>
      <c r="E2" s="11">
        <v>0.10778</v>
      </c>
      <c r="F2" s="11">
        <v>0.12307</v>
      </c>
      <c r="G2" s="11">
        <v>0.11848</v>
      </c>
      <c r="H2" s="11">
        <v>0.1128</v>
      </c>
      <c r="I2" s="11">
        <v>0.10109</v>
      </c>
      <c r="J2" s="11">
        <v>8.8639999999999997E-2</v>
      </c>
      <c r="K2" s="11">
        <v>0.12562999999999999</v>
      </c>
      <c r="L2" s="11">
        <v>9.7040000000000001E-2</v>
      </c>
      <c r="M2" s="11">
        <v>9.2069999999999999E-2</v>
      </c>
      <c r="N2" s="18">
        <v>2017</v>
      </c>
    </row>
    <row r="3" spans="1:15" ht="15.75">
      <c r="A3" s="10" t="s">
        <v>28</v>
      </c>
      <c r="B3" s="11">
        <v>6.6869999999999999E-2</v>
      </c>
      <c r="C3" s="11">
        <v>0.10559</v>
      </c>
      <c r="D3" s="11">
        <v>8.4089999999999998E-2</v>
      </c>
      <c r="E3" s="11">
        <v>6.8739999999999996E-2</v>
      </c>
      <c r="F3" s="11">
        <v>0.10623</v>
      </c>
      <c r="G3" s="11">
        <v>0.11954000000000001</v>
      </c>
      <c r="H3" s="11">
        <v>0.10651999999999999</v>
      </c>
      <c r="I3" s="11">
        <v>0.115</v>
      </c>
      <c r="J3" s="11">
        <v>0.12739</v>
      </c>
      <c r="K3" s="11">
        <v>0.10212</v>
      </c>
      <c r="L3" s="11">
        <v>0.11164</v>
      </c>
      <c r="M3" s="11">
        <v>8.3909999999999998E-2</v>
      </c>
      <c r="N3" s="18"/>
    </row>
    <row r="4" spans="1:15">
      <c r="A4" s="3"/>
      <c r="B4" s="7"/>
      <c r="C4" s="7"/>
      <c r="D4" s="7"/>
      <c r="E4" s="7"/>
      <c r="F4" s="7"/>
      <c r="G4" s="7" t="s">
        <v>9</v>
      </c>
      <c r="H4" s="7"/>
      <c r="I4" s="7"/>
      <c r="J4" s="7"/>
      <c r="K4" s="7"/>
      <c r="L4" s="7"/>
      <c r="M4" s="7"/>
      <c r="N4" s="7"/>
    </row>
    <row r="5" spans="1:15" ht="15.75">
      <c r="A5" s="3" t="s">
        <v>24</v>
      </c>
      <c r="B5" s="8">
        <f>75947839.06-7642802.39</f>
        <v>68305036.670000002</v>
      </c>
      <c r="C5" s="8">
        <f>67117947.69-6792227.88</f>
        <v>60325719.809999995</v>
      </c>
      <c r="D5" s="8">
        <f>73839106.93-7261400.2</f>
        <v>66577706.730000004</v>
      </c>
      <c r="E5" s="8">
        <f>60290051-6168252</f>
        <v>54121799</v>
      </c>
      <c r="F5" s="8">
        <f>60912326.22-6753933.356</f>
        <v>54158392.864</v>
      </c>
      <c r="G5" s="8">
        <f>62102524.57-6716195.24</f>
        <v>55386329.329999998</v>
      </c>
      <c r="H5" s="8">
        <f>66572666.32-12078019</f>
        <v>54494647.32</v>
      </c>
      <c r="I5" s="8">
        <f>65674998.2-13099096.75</f>
        <v>52575901.450000003</v>
      </c>
      <c r="J5" s="8">
        <f>64109785.31-13013405.987772</f>
        <v>51096379.322228</v>
      </c>
      <c r="K5" s="8">
        <f>60622444.14-12538025.07</f>
        <v>48084419.07</v>
      </c>
      <c r="L5" s="8">
        <f>67086171.576-12567123.61</f>
        <v>54519047.965999998</v>
      </c>
      <c r="M5" s="8">
        <f>76122998.23-11290081.609612</f>
        <v>64832916.620388001</v>
      </c>
      <c r="N5" s="14">
        <f>SUM(B5:M5)</f>
        <v>684478296.15261602</v>
      </c>
    </row>
    <row r="6" spans="1:15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7"/>
    </row>
    <row r="7" spans="1:15" ht="15.75">
      <c r="A7" s="4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>
      <c r="A8" s="6" t="s">
        <v>1</v>
      </c>
      <c r="B8" s="8">
        <f>+B5*0.0324</f>
        <v>2213083.188108</v>
      </c>
      <c r="C8" s="8">
        <f>+C5*0.0422</f>
        <v>2545745.375982</v>
      </c>
      <c r="D8" s="8">
        <f>+D5*0.0528</f>
        <v>3515302.9153440003</v>
      </c>
      <c r="E8" s="8">
        <f>+E5*0.054</f>
        <v>2922577.1460000002</v>
      </c>
      <c r="F8" s="8">
        <f>+F5*0.0537</f>
        <v>2908305.6967968</v>
      </c>
      <c r="G8" s="8">
        <f>+G5*0.0545</f>
        <v>3018554.9484850001</v>
      </c>
      <c r="H8" s="8">
        <f>+H5*0.0423</f>
        <v>2305123.581636</v>
      </c>
      <c r="I8" s="8">
        <f>+I5*0.0382</f>
        <v>2008399.43539</v>
      </c>
      <c r="J8" s="8">
        <f>+J5*0.0398</f>
        <v>2033635.8970246746</v>
      </c>
      <c r="K8" s="8">
        <f>+K5*0.0388</f>
        <v>1865675.459916</v>
      </c>
      <c r="L8" s="8">
        <f>+L5*0.0392</f>
        <v>2137146.6802671999</v>
      </c>
      <c r="M8" s="8">
        <f>+M5*0.0418</f>
        <v>2710015.9147322183</v>
      </c>
      <c r="N8" s="8">
        <f>SUM(B8:M8)</f>
        <v>30183566.239681896</v>
      </c>
    </row>
    <row r="9" spans="1:15">
      <c r="A9" s="6" t="s">
        <v>2</v>
      </c>
      <c r="B9" s="8">
        <f>+B5*0.0083</f>
        <v>566931.80436100008</v>
      </c>
      <c r="C9" s="8">
        <f>+C5*0.0198</f>
        <v>1194449.252238</v>
      </c>
      <c r="D9" s="8">
        <f>+D5*0.05</f>
        <v>3328885.3365000002</v>
      </c>
      <c r="E9" s="8">
        <f>+E5*0.0484</f>
        <v>2619495.0715999999</v>
      </c>
      <c r="F9" s="8">
        <f>+F5*0.0475</f>
        <v>2572523.6610400002</v>
      </c>
      <c r="G9" s="8">
        <f>+G5*0.0396</f>
        <v>2193298.6414680001</v>
      </c>
      <c r="H9" s="8">
        <f>+H5*0.0418</f>
        <v>2277876.2579759997</v>
      </c>
      <c r="I9" s="8">
        <f>+I5*0.0381</f>
        <v>2003141.8452450002</v>
      </c>
      <c r="J9" s="8">
        <f>+J5*0.0415</f>
        <v>2120499.741872462</v>
      </c>
      <c r="K9" s="8">
        <f>+K5*0.0405</f>
        <v>1947418.9723350001</v>
      </c>
      <c r="L9" s="8">
        <f>+L5*0.043</f>
        <v>2344319.0625379998</v>
      </c>
      <c r="M9" s="8">
        <f>+M5*0.0458</f>
        <v>2969347.5812137704</v>
      </c>
      <c r="N9" s="8">
        <f>SUM(B9:M9)</f>
        <v>26138187.228387237</v>
      </c>
    </row>
    <row r="10" spans="1:15">
      <c r="A10" s="6" t="s">
        <v>3</v>
      </c>
      <c r="B10" s="8">
        <f>+B5*(0.090609+0.086584+0.282496)</f>
        <v>31399074.001795631</v>
      </c>
      <c r="C10" s="8">
        <f>+C5*(0.090048+0.086147+0.323176)</f>
        <v>30124915.027239509</v>
      </c>
      <c r="D10" s="8">
        <f>+D5*(0.09035+0.086903+0.314832)</f>
        <v>32761890.816232052</v>
      </c>
      <c r="E10" s="8">
        <f>+E5*(0.091968+0.087253+0.308088)</f>
        <v>26374039.748891</v>
      </c>
      <c r="F10" s="8">
        <f>+F5*(0.090898+0.087323+0.302046)</f>
        <v>26010488.865614686</v>
      </c>
      <c r="G10" s="8">
        <f>+G5*(0.087169+0.086289+0.292023)</f>
        <v>25781283.962857727</v>
      </c>
      <c r="H10" s="8">
        <f>+H5*(0.084306+0.084057+0.281274)</f>
        <v>24502809.737022843</v>
      </c>
      <c r="I10" s="8">
        <f>+I5*(0.089089+0.085509+0.283354)</f>
        <v>24077239.220830403</v>
      </c>
      <c r="J10" s="8">
        <f>+J5*(0.095374+0.087044+0.289654)</f>
        <v>24121169.979402818</v>
      </c>
      <c r="K10" s="8">
        <f>+K5*(0.092404+0.083993+0.280243)</f>
        <v>21957269.124124803</v>
      </c>
      <c r="L10" s="8">
        <f>+L5*(0.089534+0.083752+0.277619)</f>
        <v>24582911.323109228</v>
      </c>
      <c r="M10" s="8">
        <f>+M5*(0.087958+0.086237+0.283955)</f>
        <v>29703200.749630764</v>
      </c>
      <c r="N10" s="8">
        <f>SUM(B10:M10)</f>
        <v>321396292.55675143</v>
      </c>
    </row>
    <row r="11" spans="1:15" ht="15.75">
      <c r="A11" s="6"/>
      <c r="B11" s="9">
        <f t="shared" ref="B11:K11" si="0">SUM(B8:B10)</f>
        <v>34179088.994264632</v>
      </c>
      <c r="C11" s="9">
        <f t="shared" si="0"/>
        <v>33865109.655459508</v>
      </c>
      <c r="D11" s="9">
        <f t="shared" si="0"/>
        <v>39606079.068076052</v>
      </c>
      <c r="E11" s="9">
        <f t="shared" si="0"/>
        <v>31916111.966490999</v>
      </c>
      <c r="F11" s="9">
        <f t="shared" si="0"/>
        <v>31491318.223451488</v>
      </c>
      <c r="G11" s="9">
        <f t="shared" si="0"/>
        <v>30993137.552810729</v>
      </c>
      <c r="H11" s="9">
        <f t="shared" si="0"/>
        <v>29085809.576634843</v>
      </c>
      <c r="I11" s="9">
        <f t="shared" si="0"/>
        <v>28088780.501465403</v>
      </c>
      <c r="J11" s="9">
        <f t="shared" si="0"/>
        <v>28275305.618299954</v>
      </c>
      <c r="K11" s="9">
        <f t="shared" si="0"/>
        <v>25770363.556375802</v>
      </c>
      <c r="L11" s="9">
        <f>SUM(L8:L10)</f>
        <v>29064377.06591443</v>
      </c>
      <c r="M11" s="9">
        <f>SUM(M8:M10)</f>
        <v>35382564.245576754</v>
      </c>
      <c r="N11" s="9">
        <f>SUM(B11:M11)</f>
        <v>377718046.02482063</v>
      </c>
    </row>
    <row r="12" spans="1:15" ht="15.7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5">
      <c r="A13" s="6" t="s">
        <v>1</v>
      </c>
      <c r="B13" s="8">
        <f t="shared" ref="B13:K13" si="1">+B8*B3</f>
        <v>147988.87278878197</v>
      </c>
      <c r="C13" s="8">
        <f t="shared" si="1"/>
        <v>268805.2542499394</v>
      </c>
      <c r="D13" s="8">
        <f t="shared" si="1"/>
        <v>295601.82215127698</v>
      </c>
      <c r="E13" s="8">
        <f t="shared" si="1"/>
        <v>200897.95301604</v>
      </c>
      <c r="F13" s="8">
        <f t="shared" si="1"/>
        <v>308949.31417072407</v>
      </c>
      <c r="G13" s="8">
        <f t="shared" si="1"/>
        <v>360838.05854189693</v>
      </c>
      <c r="H13" s="8">
        <f t="shared" si="1"/>
        <v>245541.7639158667</v>
      </c>
      <c r="I13" s="8">
        <f t="shared" si="1"/>
        <v>230965.93506985001</v>
      </c>
      <c r="J13" s="8">
        <f t="shared" si="1"/>
        <v>259064.87692197331</v>
      </c>
      <c r="K13" s="8">
        <f t="shared" si="1"/>
        <v>190522.77796662191</v>
      </c>
      <c r="L13" s="8">
        <f>+L8*L3</f>
        <v>238591.05538503019</v>
      </c>
      <c r="M13" s="8">
        <f>+M8*M3</f>
        <v>227397.43540518044</v>
      </c>
      <c r="N13" s="8">
        <f>SUM(B13:M13)</f>
        <v>2975165.1195831816</v>
      </c>
    </row>
    <row r="14" spans="1:15">
      <c r="A14" s="6" t="s">
        <v>2</v>
      </c>
      <c r="B14" s="8">
        <f t="shared" ref="B14:K14" si="2">+B9*B3</f>
        <v>37910.729757620073</v>
      </c>
      <c r="C14" s="8">
        <f t="shared" si="2"/>
        <v>126121.89654381044</v>
      </c>
      <c r="D14" s="8">
        <f t="shared" si="2"/>
        <v>279925.96794628503</v>
      </c>
      <c r="E14" s="8">
        <f t="shared" si="2"/>
        <v>180064.09122178398</v>
      </c>
      <c r="F14" s="8">
        <f t="shared" si="2"/>
        <v>273279.18851227924</v>
      </c>
      <c r="G14" s="8">
        <f t="shared" si="2"/>
        <v>262186.91960108478</v>
      </c>
      <c r="H14" s="8">
        <f t="shared" si="2"/>
        <v>242639.37899960348</v>
      </c>
      <c r="I14" s="8">
        <f t="shared" si="2"/>
        <v>230361.31220317504</v>
      </c>
      <c r="J14" s="8">
        <f t="shared" si="2"/>
        <v>270130.46211713296</v>
      </c>
      <c r="K14" s="8">
        <f t="shared" si="2"/>
        <v>198870.42545485022</v>
      </c>
      <c r="L14" s="8">
        <f>+L9*L3</f>
        <v>261719.78014174232</v>
      </c>
      <c r="M14" s="8">
        <f>+M9*M3</f>
        <v>249157.95553964746</v>
      </c>
      <c r="N14" s="8">
        <f>SUM(B14:M14)</f>
        <v>2612368.108039015</v>
      </c>
    </row>
    <row r="15" spans="1:15">
      <c r="A15" s="6" t="s">
        <v>3</v>
      </c>
      <c r="B15" s="8">
        <f t="shared" ref="B15:K15" si="3">+B10*B3</f>
        <v>2099656.0785000739</v>
      </c>
      <c r="C15" s="8">
        <f t="shared" si="3"/>
        <v>3180889.77772622</v>
      </c>
      <c r="D15" s="8">
        <f t="shared" si="3"/>
        <v>2754947.3987369533</v>
      </c>
      <c r="E15" s="8">
        <f t="shared" si="3"/>
        <v>1812951.4923387673</v>
      </c>
      <c r="F15" s="8">
        <f t="shared" si="3"/>
        <v>2763094.2321942481</v>
      </c>
      <c r="G15" s="8">
        <f t="shared" si="3"/>
        <v>3081894.684920013</v>
      </c>
      <c r="H15" s="8">
        <f t="shared" si="3"/>
        <v>2610039.2931876732</v>
      </c>
      <c r="I15" s="8">
        <f t="shared" si="3"/>
        <v>2768882.5103954966</v>
      </c>
      <c r="J15" s="8">
        <f t="shared" si="3"/>
        <v>3072795.8436761252</v>
      </c>
      <c r="K15" s="8">
        <f t="shared" si="3"/>
        <v>2242276.3229556251</v>
      </c>
      <c r="L15" s="8">
        <f>+L10*L3</f>
        <v>2744436.2201119144</v>
      </c>
      <c r="M15" s="8">
        <f>+M10*M3</f>
        <v>2492395.5749015175</v>
      </c>
      <c r="N15" s="8">
        <f>SUM(B15:M15)</f>
        <v>31624259.429644626</v>
      </c>
    </row>
    <row r="16" spans="1:15" ht="15.75">
      <c r="A16" s="6"/>
      <c r="B16" s="9">
        <f t="shared" ref="B16:K16" si="4">SUM(B13:B15)</f>
        <v>2285555.6810464761</v>
      </c>
      <c r="C16" s="9">
        <f t="shared" si="4"/>
        <v>3575816.9285199698</v>
      </c>
      <c r="D16" s="9">
        <f t="shared" si="4"/>
        <v>3330475.1888345154</v>
      </c>
      <c r="E16" s="9">
        <f t="shared" si="4"/>
        <v>2193913.5365765914</v>
      </c>
      <c r="F16" s="9">
        <f t="shared" si="4"/>
        <v>3345322.7348772516</v>
      </c>
      <c r="G16" s="9">
        <f t="shared" si="4"/>
        <v>3704919.6630629944</v>
      </c>
      <c r="H16" s="9">
        <f t="shared" si="4"/>
        <v>3098220.4361031433</v>
      </c>
      <c r="I16" s="9">
        <f t="shared" si="4"/>
        <v>3230209.7576685217</v>
      </c>
      <c r="J16" s="9">
        <f t="shared" si="4"/>
        <v>3601991.1827152316</v>
      </c>
      <c r="K16" s="9">
        <f t="shared" si="4"/>
        <v>2631669.5263770972</v>
      </c>
      <c r="L16" s="9">
        <f>SUM(L13:L15)</f>
        <v>3244747.0556386868</v>
      </c>
      <c r="M16" s="9">
        <f>SUM(M13:M15)</f>
        <v>2968950.9658463453</v>
      </c>
      <c r="N16" s="9">
        <f>SUM(B16:M16)</f>
        <v>37211792.657266818</v>
      </c>
    </row>
    <row r="17" spans="1:16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6" ht="15.75">
      <c r="A18" s="4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>
      <c r="A19" s="6" t="s">
        <v>1</v>
      </c>
      <c r="B19" s="8">
        <v>4043420.1379999998</v>
      </c>
      <c r="C19" s="8">
        <v>3663495.9389999998</v>
      </c>
      <c r="D19" s="8">
        <v>3902666.9909999999</v>
      </c>
      <c r="E19" s="8">
        <v>3363086.1809999999</v>
      </c>
      <c r="F19" s="8">
        <v>2591059</v>
      </c>
      <c r="G19" s="8">
        <v>2380106.5869999998</v>
      </c>
      <c r="H19" s="8">
        <v>2631808.4500000002</v>
      </c>
      <c r="I19" s="8">
        <v>2549308.7140000002</v>
      </c>
      <c r="J19" s="8">
        <v>2479183.5210000002</v>
      </c>
      <c r="K19" s="8">
        <v>2618179.2480000001</v>
      </c>
      <c r="L19" s="8">
        <v>3578588.923</v>
      </c>
      <c r="M19" s="8">
        <v>1811415.0109999999</v>
      </c>
      <c r="N19" s="8">
        <f>SUM(B19:M19)</f>
        <v>35612318.703000002</v>
      </c>
    </row>
    <row r="20" spans="1:16">
      <c r="A20" s="6" t="s">
        <v>2</v>
      </c>
      <c r="B20" s="8">
        <v>3824375.031</v>
      </c>
      <c r="C20" s="8">
        <v>3279026.159</v>
      </c>
      <c r="D20" s="8">
        <v>3458553.2689999999</v>
      </c>
      <c r="E20" s="8">
        <v>2445012.8909999998</v>
      </c>
      <c r="F20" s="8">
        <v>2552606</v>
      </c>
      <c r="G20" s="8">
        <v>2373426.338</v>
      </c>
      <c r="H20" s="8">
        <v>2743767.6660000002</v>
      </c>
      <c r="I20" s="8">
        <v>2656456.9070000001</v>
      </c>
      <c r="J20" s="8">
        <v>2722244.6529999999</v>
      </c>
      <c r="K20" s="8">
        <v>2872126.1540000001</v>
      </c>
      <c r="L20" s="8">
        <v>2772675.733</v>
      </c>
      <c r="M20" s="8">
        <v>2793190.8420000002</v>
      </c>
      <c r="N20" s="8">
        <f>SUM(B20:M20)</f>
        <v>34493461.642999999</v>
      </c>
    </row>
    <row r="21" spans="1:16">
      <c r="A21" s="6" t="s">
        <v>3</v>
      </c>
      <c r="B21" s="8">
        <v>37641015.311999999</v>
      </c>
      <c r="C21" s="8">
        <v>33027316.035</v>
      </c>
      <c r="D21" s="8">
        <v>34910656.824000001</v>
      </c>
      <c r="E21" s="8">
        <v>28737145.577</v>
      </c>
      <c r="F21" s="8">
        <v>27509837</v>
      </c>
      <c r="G21" s="8">
        <v>28500190.038000003</v>
      </c>
      <c r="H21" s="8">
        <v>31216061.734999999</v>
      </c>
      <c r="I21" s="8">
        <v>29998394.726</v>
      </c>
      <c r="J21" s="8">
        <v>28550838.633999996</v>
      </c>
      <c r="K21" s="8">
        <v>28721403.607999999</v>
      </c>
      <c r="L21" s="8">
        <v>31934339.053999998</v>
      </c>
      <c r="M21" s="8">
        <v>43559995.002000004</v>
      </c>
      <c r="N21" s="8">
        <f>SUM(B21:M21)</f>
        <v>384307193.54500008</v>
      </c>
    </row>
    <row r="22" spans="1:16" ht="15.75">
      <c r="A22" s="6"/>
      <c r="B22" s="9">
        <f t="shared" ref="B22:K22" si="5">SUM(B19:B21)</f>
        <v>45508810.480999999</v>
      </c>
      <c r="C22" s="9">
        <f t="shared" si="5"/>
        <v>39969838.133000001</v>
      </c>
      <c r="D22" s="9">
        <f t="shared" si="5"/>
        <v>42271877.083999999</v>
      </c>
      <c r="E22" s="9">
        <f t="shared" si="5"/>
        <v>34545244.648999996</v>
      </c>
      <c r="F22" s="9">
        <f t="shared" si="5"/>
        <v>32653502</v>
      </c>
      <c r="G22" s="9">
        <f t="shared" si="5"/>
        <v>33253722.963000003</v>
      </c>
      <c r="H22" s="9">
        <f t="shared" si="5"/>
        <v>36591637.850999996</v>
      </c>
      <c r="I22" s="9">
        <f t="shared" si="5"/>
        <v>35204160.347000003</v>
      </c>
      <c r="J22" s="9">
        <f t="shared" si="5"/>
        <v>33752266.807999998</v>
      </c>
      <c r="K22" s="9">
        <f t="shared" si="5"/>
        <v>34211709.009999998</v>
      </c>
      <c r="L22" s="9">
        <f>SUM(L19:L21)</f>
        <v>38285603.709999993</v>
      </c>
      <c r="M22" s="9">
        <f>SUM(M19:M21)</f>
        <v>48164600.855000004</v>
      </c>
      <c r="N22" s="9">
        <f>SUM(B22:M22)</f>
        <v>454412973.89099997</v>
      </c>
    </row>
    <row r="23" spans="1:16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6" ht="15.75">
      <c r="A24" s="4" t="s">
        <v>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6">
      <c r="A25" s="6" t="s">
        <v>1</v>
      </c>
      <c r="B25" s="8">
        <f t="shared" ref="B25:L25" si="6">+B19*B2</f>
        <v>332652.17475325998</v>
      </c>
      <c r="C25" s="8">
        <f t="shared" si="6"/>
        <v>316489.41417020996</v>
      </c>
      <c r="D25" s="8">
        <f t="shared" si="6"/>
        <v>278455.28980784997</v>
      </c>
      <c r="E25" s="8">
        <f t="shared" si="6"/>
        <v>362473.42858817999</v>
      </c>
      <c r="F25" s="8">
        <f t="shared" si="6"/>
        <v>318881.63112999999</v>
      </c>
      <c r="G25" s="8">
        <f t="shared" si="6"/>
        <v>281995.02842776</v>
      </c>
      <c r="H25" s="8">
        <f t="shared" si="6"/>
        <v>296867.99316000001</v>
      </c>
      <c r="I25" s="8">
        <f t="shared" si="6"/>
        <v>257709.61789826001</v>
      </c>
      <c r="J25" s="8">
        <f t="shared" si="6"/>
        <v>219754.82730144</v>
      </c>
      <c r="K25" s="8">
        <f t="shared" si="6"/>
        <v>328921.85892624001</v>
      </c>
      <c r="L25" s="8">
        <f t="shared" si="6"/>
        <v>347266.26908792002</v>
      </c>
      <c r="M25" s="8">
        <f>+M19*M2</f>
        <v>166776.98006276999</v>
      </c>
      <c r="N25" s="8">
        <f>SUM(B25:M25)</f>
        <v>3508244.5133138904</v>
      </c>
    </row>
    <row r="26" spans="1:16">
      <c r="A26" s="6" t="s">
        <v>2</v>
      </c>
      <c r="B26" s="8">
        <f t="shared" ref="B26:L26" si="7">+B20*B2</f>
        <v>314631.33380036999</v>
      </c>
      <c r="C26" s="8">
        <f t="shared" si="7"/>
        <v>283275.06987601001</v>
      </c>
      <c r="D26" s="8">
        <f t="shared" si="7"/>
        <v>246767.77574314998</v>
      </c>
      <c r="E26" s="8">
        <f t="shared" si="7"/>
        <v>263523.48939197999</v>
      </c>
      <c r="F26" s="8">
        <f t="shared" si="7"/>
        <v>314149.22041999997</v>
      </c>
      <c r="G26" s="8">
        <f t="shared" si="7"/>
        <v>281203.55252624</v>
      </c>
      <c r="H26" s="8">
        <f t="shared" si="7"/>
        <v>309496.99272480002</v>
      </c>
      <c r="I26" s="8">
        <f t="shared" si="7"/>
        <v>268541.22872863</v>
      </c>
      <c r="J26" s="8">
        <f t="shared" si="7"/>
        <v>241299.76604192</v>
      </c>
      <c r="K26" s="8">
        <f t="shared" si="7"/>
        <v>360825.20872702001</v>
      </c>
      <c r="L26" s="8">
        <f t="shared" si="7"/>
        <v>269060.45313032001</v>
      </c>
      <c r="M26" s="8">
        <f>+M20*M2</f>
        <v>257169.08082294001</v>
      </c>
      <c r="N26" s="8">
        <f>SUM(B26:M26)</f>
        <v>3409943.17193338</v>
      </c>
    </row>
    <row r="27" spans="1:16">
      <c r="A27" s="6" t="s">
        <v>3</v>
      </c>
      <c r="B27" s="8">
        <f t="shared" ref="B27:L27" si="8">+B21*B2</f>
        <v>3096726.3297182396</v>
      </c>
      <c r="C27" s="8">
        <f t="shared" si="8"/>
        <v>2853229.8322636499</v>
      </c>
      <c r="D27" s="8">
        <f t="shared" si="8"/>
        <v>2490875.3643923998</v>
      </c>
      <c r="E27" s="8">
        <f t="shared" si="8"/>
        <v>3097289.55028906</v>
      </c>
      <c r="F27" s="8">
        <f t="shared" si="8"/>
        <v>3385635.6395899998</v>
      </c>
      <c r="G27" s="8">
        <f t="shared" si="8"/>
        <v>3376702.5157022402</v>
      </c>
      <c r="H27" s="8">
        <f t="shared" si="8"/>
        <v>3521171.7637080001</v>
      </c>
      <c r="I27" s="8">
        <f t="shared" si="8"/>
        <v>3032537.7228513397</v>
      </c>
      <c r="J27" s="8">
        <f t="shared" si="8"/>
        <v>2530746.3365177596</v>
      </c>
      <c r="K27" s="8">
        <f t="shared" si="8"/>
        <v>3608269.9352730396</v>
      </c>
      <c r="L27" s="8">
        <f t="shared" si="8"/>
        <v>3098908.2618001597</v>
      </c>
      <c r="M27" s="8">
        <f>+M21*M2</f>
        <v>4010568.7398341405</v>
      </c>
      <c r="N27" s="8">
        <f>SUM(B27:M27)</f>
        <v>38102661.991940022</v>
      </c>
    </row>
    <row r="28" spans="1:16" ht="15.75">
      <c r="A28" s="3"/>
      <c r="B28" s="9">
        <f t="shared" ref="B28:K28" si="9">SUM(B25:B27)</f>
        <v>3744009.8382718693</v>
      </c>
      <c r="C28" s="9">
        <f t="shared" si="9"/>
        <v>3452994.3163098698</v>
      </c>
      <c r="D28" s="9">
        <f t="shared" si="9"/>
        <v>3016098.4299433995</v>
      </c>
      <c r="E28" s="9">
        <f t="shared" si="9"/>
        <v>3723286.4682692201</v>
      </c>
      <c r="F28" s="9">
        <f t="shared" si="9"/>
        <v>4018666.4911399996</v>
      </c>
      <c r="G28" s="9">
        <f t="shared" si="9"/>
        <v>3939901.0966562401</v>
      </c>
      <c r="H28" s="9">
        <f t="shared" si="9"/>
        <v>4127536.7495928002</v>
      </c>
      <c r="I28" s="9">
        <f t="shared" si="9"/>
        <v>3558788.5694782296</v>
      </c>
      <c r="J28" s="9">
        <f t="shared" si="9"/>
        <v>2991800.9298611195</v>
      </c>
      <c r="K28" s="9">
        <f t="shared" si="9"/>
        <v>4298017.0029262993</v>
      </c>
      <c r="L28" s="9">
        <f>SUM(L25:L27)</f>
        <v>3715234.9840183998</v>
      </c>
      <c r="M28" s="9">
        <f>SUM(M25:M27)</f>
        <v>4434514.8007198507</v>
      </c>
      <c r="N28" s="9">
        <f>SUM(B28:M28)</f>
        <v>45020849.677187294</v>
      </c>
      <c r="O28" s="25"/>
      <c r="P28" s="16"/>
    </row>
    <row r="29" spans="1:16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6" ht="15.75" hidden="1">
      <c r="A30" s="12" t="s">
        <v>7</v>
      </c>
      <c r="B30" s="13">
        <f t="shared" ref="B30:K30" si="10">+B28-B16</f>
        <v>1458454.1572253932</v>
      </c>
      <c r="C30" s="13">
        <f t="shared" si="10"/>
        <v>-122822.61221010005</v>
      </c>
      <c r="D30" s="13">
        <f t="shared" si="10"/>
        <v>-314376.7588911159</v>
      </c>
      <c r="E30" s="13">
        <f t="shared" si="10"/>
        <v>1529372.9316926287</v>
      </c>
      <c r="F30" s="13">
        <f t="shared" si="10"/>
        <v>673343.75626274804</v>
      </c>
      <c r="G30" s="13">
        <f t="shared" si="10"/>
        <v>234981.43359324569</v>
      </c>
      <c r="H30" s="13">
        <f t="shared" si="10"/>
        <v>1029316.3134896569</v>
      </c>
      <c r="I30" s="13">
        <f t="shared" si="10"/>
        <v>328578.8118097079</v>
      </c>
      <c r="J30" s="13">
        <f t="shared" si="10"/>
        <v>-610190.25285411207</v>
      </c>
      <c r="K30" s="13">
        <f t="shared" si="10"/>
        <v>1666347.4765492021</v>
      </c>
      <c r="L30" s="13">
        <f>+L28-L16</f>
        <v>470487.92837971309</v>
      </c>
      <c r="M30" s="13">
        <f>+M28-M16</f>
        <v>1465563.8348735054</v>
      </c>
      <c r="N30" s="13">
        <f>SUM(B30:M30)</f>
        <v>7809057.0199204721</v>
      </c>
      <c r="O30" s="16"/>
    </row>
    <row r="31" spans="1:16" ht="15.7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>
      <c r="A32" s="31" t="s">
        <v>20</v>
      </c>
    </row>
    <row r="33" spans="1:16" ht="15.75">
      <c r="A33" s="32" t="s">
        <v>16</v>
      </c>
      <c r="B33" s="19">
        <v>5620230.2999999998</v>
      </c>
      <c r="C33" s="19">
        <v>5212284.88</v>
      </c>
      <c r="D33" s="19">
        <v>4750987.72</v>
      </c>
      <c r="E33" s="19">
        <v>5836338.4000000004</v>
      </c>
      <c r="F33" s="19">
        <v>6677625.7800000003</v>
      </c>
      <c r="G33" s="19">
        <v>6013404.4699999997</v>
      </c>
      <c r="H33" s="19">
        <v>6743474.4800000004</v>
      </c>
      <c r="I33" s="19">
        <v>5315655.74</v>
      </c>
      <c r="J33" s="19">
        <v>4544495.8</v>
      </c>
      <c r="K33" s="19">
        <v>6049658.8300000001</v>
      </c>
      <c r="L33" s="19">
        <v>5287915.82</v>
      </c>
      <c r="M33" s="19">
        <v>5967857.8799999999</v>
      </c>
      <c r="N33" s="26">
        <f t="shared" ref="N33" si="11">SUM(B33:M33)</f>
        <v>68019930.099999994</v>
      </c>
    </row>
    <row r="34" spans="1:16" ht="15.75">
      <c r="A34" s="15" t="s">
        <v>10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5"/>
    </row>
    <row r="35" spans="1:16" ht="15.75">
      <c r="A35" s="5" t="s">
        <v>1</v>
      </c>
      <c r="B35" s="20">
        <v>-147988.87</v>
      </c>
      <c r="C35" s="20">
        <v>-268805.25</v>
      </c>
      <c r="D35" s="20">
        <v>-295601.82</v>
      </c>
      <c r="E35" s="20">
        <v>-200897.95</v>
      </c>
      <c r="F35" s="20">
        <v>-308949.31417072407</v>
      </c>
      <c r="G35" s="20">
        <v>-360838.05854189693</v>
      </c>
      <c r="H35" s="20">
        <v>-245541.76000000001</v>
      </c>
      <c r="I35" s="20">
        <v>-230965.94</v>
      </c>
      <c r="J35" s="20">
        <v>-259064.88</v>
      </c>
      <c r="K35" s="20">
        <v>-190522.78</v>
      </c>
      <c r="L35" s="20">
        <v>-238591.06</v>
      </c>
      <c r="M35" s="20">
        <v>-227397.44</v>
      </c>
      <c r="N35" s="27">
        <f t="shared" ref="N35:N39" si="12">SUM(B35:M35)</f>
        <v>-2975165.1227126205</v>
      </c>
    </row>
    <row r="36" spans="1:16" ht="15.75">
      <c r="A36" s="5" t="s">
        <v>2</v>
      </c>
      <c r="B36" s="20">
        <v>-37910.730000000003</v>
      </c>
      <c r="C36" s="20">
        <v>-126121.9</v>
      </c>
      <c r="D36" s="20">
        <v>-279925.96999999997</v>
      </c>
      <c r="E36" s="20">
        <v>-180064.09</v>
      </c>
      <c r="F36" s="20">
        <v>-273279.18851227924</v>
      </c>
      <c r="G36" s="20">
        <v>-262186.91960108472</v>
      </c>
      <c r="H36" s="20">
        <v>-242639.38</v>
      </c>
      <c r="I36" s="20">
        <v>-230361.31</v>
      </c>
      <c r="J36" s="20">
        <v>-270130.46000000002</v>
      </c>
      <c r="K36" s="20">
        <v>-198870.43</v>
      </c>
      <c r="L36" s="20">
        <v>-261719.78</v>
      </c>
      <c r="M36" s="20">
        <v>-249157.96</v>
      </c>
      <c r="N36" s="27">
        <f t="shared" si="12"/>
        <v>-2612368.1181133636</v>
      </c>
    </row>
    <row r="37" spans="1:16" ht="15.75">
      <c r="A37" s="5" t="s">
        <v>3</v>
      </c>
      <c r="B37" s="20">
        <v>-2099656.08</v>
      </c>
      <c r="C37" s="20">
        <v>-3180889.78</v>
      </c>
      <c r="D37" s="20">
        <v>-2754947.4</v>
      </c>
      <c r="E37" s="20">
        <v>-1812951.5</v>
      </c>
      <c r="F37" s="20">
        <v>-2763094.2321942481</v>
      </c>
      <c r="G37" s="20">
        <v>-3081894.6849200134</v>
      </c>
      <c r="H37" s="20">
        <v>-2610039.29</v>
      </c>
      <c r="I37" s="20">
        <v>-2768882.51</v>
      </c>
      <c r="J37" s="20">
        <v>-3072795.84</v>
      </c>
      <c r="K37" s="20">
        <v>-2242276.3199999998</v>
      </c>
      <c r="L37" s="20">
        <v>-2744436.22</v>
      </c>
      <c r="M37" s="20">
        <v>-2492395.5699999998</v>
      </c>
      <c r="N37" s="27">
        <f t="shared" si="12"/>
        <v>-31624259.427114259</v>
      </c>
      <c r="O37" s="34"/>
    </row>
    <row r="38" spans="1:16" ht="45.75">
      <c r="A38" s="40" t="s">
        <v>26</v>
      </c>
      <c r="B38" s="20">
        <v>383792.88817967963</v>
      </c>
      <c r="C38" s="20">
        <v>779432.77557133988</v>
      </c>
      <c r="D38" s="20">
        <v>-700835.68140739971</v>
      </c>
      <c r="E38" s="20">
        <v>767420.89215360011</v>
      </c>
      <c r="F38" s="20">
        <v>538543.71405016037</v>
      </c>
      <c r="G38" s="20">
        <v>-1348646.3510969603</v>
      </c>
      <c r="H38" s="20">
        <v>-549884.9736799997</v>
      </c>
      <c r="I38" s="20">
        <v>35248.946340780079</v>
      </c>
      <c r="J38" s="20">
        <v>-229795.48570428006</v>
      </c>
      <c r="K38" s="20">
        <v>489689.87042676995</v>
      </c>
      <c r="L38" s="20">
        <v>1307900.3388099999</v>
      </c>
      <c r="M38" s="20">
        <v>-804317.27882509958</v>
      </c>
      <c r="N38" s="27">
        <f t="shared" si="12"/>
        <v>668549.6548185905</v>
      </c>
    </row>
    <row r="39" spans="1:16" ht="45.75">
      <c r="A39" s="41" t="s">
        <v>27</v>
      </c>
      <c r="B39" s="21">
        <v>-692527.54</v>
      </c>
      <c r="C39" s="21">
        <v>-971876.27</v>
      </c>
      <c r="D39" s="21">
        <v>-757618.48</v>
      </c>
      <c r="E39" s="21">
        <v>-644598.28</v>
      </c>
      <c r="F39" s="21">
        <v>-224166.95515904482</v>
      </c>
      <c r="G39" s="21">
        <v>-180726.58059566841</v>
      </c>
      <c r="H39" s="21">
        <v>-123458.78</v>
      </c>
      <c r="I39" s="21">
        <v>-270230.38</v>
      </c>
      <c r="J39" s="21">
        <v>-799520.83</v>
      </c>
      <c r="K39" s="20">
        <v>-818268.68</v>
      </c>
      <c r="L39" s="20">
        <v>-697710.09</v>
      </c>
      <c r="M39" s="20">
        <v>-862030.2</v>
      </c>
      <c r="N39" s="27">
        <f t="shared" si="12"/>
        <v>-7042733.0657547126</v>
      </c>
      <c r="O39" s="39" t="s">
        <v>25</v>
      </c>
    </row>
    <row r="40" spans="1:16" ht="15.75">
      <c r="A40" s="37" t="s">
        <v>23</v>
      </c>
      <c r="B40" s="22">
        <f>SUM(B35:B39)</f>
        <v>-2594290.3318203203</v>
      </c>
      <c r="C40" s="22">
        <f t="shared" ref="C40:N40" si="13">SUM(C35:C39)</f>
        <v>-3768260.42442866</v>
      </c>
      <c r="D40" s="22">
        <f t="shared" si="13"/>
        <v>-4788929.3514073994</v>
      </c>
      <c r="E40" s="22">
        <f t="shared" si="13"/>
        <v>-2071090.9278463998</v>
      </c>
      <c r="F40" s="22">
        <f t="shared" si="13"/>
        <v>-3030945.9759861361</v>
      </c>
      <c r="G40" s="22">
        <f t="shared" si="13"/>
        <v>-5234292.5947556235</v>
      </c>
      <c r="H40" s="22">
        <f t="shared" si="13"/>
        <v>-3771564.1836799998</v>
      </c>
      <c r="I40" s="22">
        <f t="shared" si="13"/>
        <v>-3465191.1936592194</v>
      </c>
      <c r="J40" s="22">
        <f t="shared" si="13"/>
        <v>-4631307.4957042793</v>
      </c>
      <c r="K40" s="22">
        <f t="shared" si="13"/>
        <v>-2960248.3395732301</v>
      </c>
      <c r="L40" s="22">
        <f t="shared" si="13"/>
        <v>-2634556.8111900003</v>
      </c>
      <c r="M40" s="24">
        <f t="shared" si="13"/>
        <v>-4635298.4488250995</v>
      </c>
      <c r="N40" s="28">
        <f t="shared" si="13"/>
        <v>-43585976.078876369</v>
      </c>
      <c r="O40" s="38">
        <f>+N40+N28</f>
        <v>1434873.5983109251</v>
      </c>
    </row>
    <row r="41" spans="1:16" ht="15.7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15"/>
      <c r="O41" s="34"/>
    </row>
    <row r="42" spans="1:16" ht="15.75">
      <c r="A42" s="5" t="s">
        <v>19</v>
      </c>
      <c r="B42" s="19">
        <f>B33+B40</f>
        <v>3025939.9681796795</v>
      </c>
      <c r="C42" s="19">
        <f t="shared" ref="C42:J42" si="14">C33+C40</f>
        <v>1444024.4555713399</v>
      </c>
      <c r="D42" s="19">
        <f t="shared" si="14"/>
        <v>-37941.631407399662</v>
      </c>
      <c r="E42" s="19">
        <f t="shared" si="14"/>
        <v>3765247.4721536003</v>
      </c>
      <c r="F42" s="19">
        <f t="shared" si="14"/>
        <v>3646679.8040138641</v>
      </c>
      <c r="G42" s="19">
        <f t="shared" si="14"/>
        <v>779111.87524437625</v>
      </c>
      <c r="H42" s="19">
        <f t="shared" si="14"/>
        <v>2971910.2963200007</v>
      </c>
      <c r="I42" s="19">
        <f t="shared" si="14"/>
        <v>1850464.5463407808</v>
      </c>
      <c r="J42" s="19">
        <f t="shared" si="14"/>
        <v>-86811.695704279467</v>
      </c>
      <c r="K42" s="19">
        <f>K33+K40</f>
        <v>3089410.4904267699</v>
      </c>
      <c r="L42" s="19">
        <f t="shared" ref="L42:M42" si="15">L33+L40</f>
        <v>2653359.00881</v>
      </c>
      <c r="M42" s="19">
        <f t="shared" si="15"/>
        <v>1332559.4311749004</v>
      </c>
      <c r="N42" s="26">
        <f t="shared" ref="N42" si="16">SUM(B42:M42)</f>
        <v>24433954.021123629</v>
      </c>
      <c r="O42" s="19"/>
      <c r="P42" s="35"/>
    </row>
    <row r="43" spans="1:16" ht="15.7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6"/>
    </row>
    <row r="44" spans="1:16" ht="15.75">
      <c r="A44" s="5" t="s">
        <v>11</v>
      </c>
      <c r="N44" s="15"/>
    </row>
    <row r="45" spans="1:16" ht="15.75">
      <c r="A45" s="5" t="s">
        <v>12</v>
      </c>
      <c r="B45" s="19">
        <v>387917.24</v>
      </c>
      <c r="C45" s="19">
        <v>357400.43</v>
      </c>
      <c r="D45" s="19">
        <v>323726.77</v>
      </c>
      <c r="E45" s="19">
        <v>405960.74</v>
      </c>
      <c r="F45" s="19">
        <v>481823.14</v>
      </c>
      <c r="G45" s="19">
        <v>508187.77</v>
      </c>
      <c r="H45" s="19">
        <v>1050937.51</v>
      </c>
      <c r="I45" s="19">
        <v>986997.09</v>
      </c>
      <c r="J45" s="19">
        <v>787284.69</v>
      </c>
      <c r="K45" s="19">
        <v>1053911.93</v>
      </c>
      <c r="L45" s="19">
        <v>877139.2</v>
      </c>
      <c r="M45" s="19">
        <v>981115.31</v>
      </c>
      <c r="N45" s="26">
        <f>SUM(B45:M45)</f>
        <v>8202401.8199999984</v>
      </c>
    </row>
    <row r="46" spans="1:16" ht="15.75">
      <c r="N46" s="15"/>
    </row>
    <row r="47" spans="1:16" ht="16.5" thickBot="1">
      <c r="A47" s="15" t="s">
        <v>13</v>
      </c>
      <c r="B47" s="29">
        <f>SUM(B42:B46)</f>
        <v>3413857.2081796797</v>
      </c>
      <c r="C47" s="29">
        <f t="shared" ref="C47:J47" si="17">SUM(C42:C46)</f>
        <v>1801424.8855713399</v>
      </c>
      <c r="D47" s="29">
        <f t="shared" si="17"/>
        <v>285785.13859260036</v>
      </c>
      <c r="E47" s="29">
        <f t="shared" si="17"/>
        <v>4171208.2121536005</v>
      </c>
      <c r="F47" s="29">
        <f t="shared" si="17"/>
        <v>4128502.9440138643</v>
      </c>
      <c r="G47" s="29">
        <f t="shared" si="17"/>
        <v>1287299.6452443763</v>
      </c>
      <c r="H47" s="29">
        <f t="shared" si="17"/>
        <v>4022847.8063200004</v>
      </c>
      <c r="I47" s="29">
        <f t="shared" si="17"/>
        <v>2837461.6363407806</v>
      </c>
      <c r="J47" s="29">
        <f t="shared" si="17"/>
        <v>700472.99429572048</v>
      </c>
      <c r="K47" s="29">
        <f>SUM(K42:K46)</f>
        <v>4143322.4204267701</v>
      </c>
      <c r="L47" s="29">
        <f>SUM(L42:L46)</f>
        <v>3530498.2088099997</v>
      </c>
      <c r="M47" s="29">
        <f>SUM(M42:M46)</f>
        <v>2313674.7411749004</v>
      </c>
      <c r="N47" s="29">
        <f>SUM(N42:N46)</f>
        <v>32636355.841123626</v>
      </c>
      <c r="O47" s="25"/>
    </row>
    <row r="48" spans="1:16" ht="15.75" thickTop="1"/>
    <row r="49" spans="1:14" ht="15.75">
      <c r="A49" s="37" t="s">
        <v>23</v>
      </c>
      <c r="B49" s="33">
        <f>-B40</f>
        <v>2594290.3318203203</v>
      </c>
      <c r="C49" s="33">
        <f t="shared" ref="C49:M49" si="18">-C40</f>
        <v>3768260.42442866</v>
      </c>
      <c r="D49" s="33">
        <f t="shared" si="18"/>
        <v>4788929.3514073994</v>
      </c>
      <c r="E49" s="33">
        <f t="shared" si="18"/>
        <v>2071090.9278463998</v>
      </c>
      <c r="F49" s="33">
        <f t="shared" si="18"/>
        <v>3030945.9759861361</v>
      </c>
      <c r="G49" s="33">
        <f t="shared" si="18"/>
        <v>5234292.5947556235</v>
      </c>
      <c r="H49" s="33">
        <f t="shared" si="18"/>
        <v>3771564.1836799998</v>
      </c>
      <c r="I49" s="33">
        <f t="shared" si="18"/>
        <v>3465191.1936592194</v>
      </c>
      <c r="J49" s="33">
        <f t="shared" si="18"/>
        <v>4631307.4957042793</v>
      </c>
      <c r="K49" s="33">
        <f t="shared" si="18"/>
        <v>2960248.3395732301</v>
      </c>
      <c r="L49" s="33">
        <f t="shared" si="18"/>
        <v>2634556.8111900003</v>
      </c>
      <c r="M49" s="33">
        <f t="shared" si="18"/>
        <v>4635298.4488250995</v>
      </c>
      <c r="N49" s="27">
        <f t="shared" ref="N49" si="19">SUM(B49:M49)</f>
        <v>43585976.078876369</v>
      </c>
    </row>
    <row r="52" spans="1:14" ht="15.75">
      <c r="A52" s="5" t="s">
        <v>17</v>
      </c>
      <c r="B52" s="20">
        <v>1417569.37</v>
      </c>
      <c r="C52" s="20">
        <v>1208043.1499999999</v>
      </c>
      <c r="D52" s="20">
        <v>1623531.13</v>
      </c>
      <c r="E52" s="20">
        <v>561243.30000000005</v>
      </c>
      <c r="F52" s="20">
        <v>173501.7</v>
      </c>
      <c r="G52" s="20">
        <v>330482.84000000003</v>
      </c>
      <c r="H52" s="20">
        <v>782249.6</v>
      </c>
      <c r="I52" s="20">
        <v>1030260.42</v>
      </c>
      <c r="J52" s="20">
        <v>1391763.71</v>
      </c>
      <c r="K52" s="20">
        <v>476829.6</v>
      </c>
      <c r="L52" s="20">
        <v>795869.32</v>
      </c>
      <c r="M52" s="20">
        <v>1384416.3</v>
      </c>
      <c r="N52" s="27">
        <f t="shared" ref="N52:N53" si="20">SUM(B52:M52)</f>
        <v>11175760.439999999</v>
      </c>
    </row>
    <row r="53" spans="1:14" ht="15.75">
      <c r="A53" s="32" t="s">
        <v>18</v>
      </c>
      <c r="B53" s="20">
        <v>1033249.49</v>
      </c>
      <c r="C53" s="20">
        <v>95422.1</v>
      </c>
      <c r="D53" s="20">
        <v>-345041.62</v>
      </c>
      <c r="E53" s="20">
        <v>1815217.37</v>
      </c>
      <c r="F53" s="20">
        <v>435644.05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7">
        <f t="shared" si="20"/>
        <v>3034491.39</v>
      </c>
    </row>
    <row r="54" spans="1:14" ht="15.75">
      <c r="A54" s="5" t="s">
        <v>22</v>
      </c>
      <c r="B54" s="20"/>
      <c r="C54" s="20"/>
      <c r="D54" s="20"/>
      <c r="E54" s="20"/>
      <c r="F54" s="20"/>
      <c r="G54" s="20">
        <v>-2301848.9900000002</v>
      </c>
      <c r="H54" s="20">
        <v>-1539261.57</v>
      </c>
      <c r="I54" s="20">
        <v>-1400230.81</v>
      </c>
      <c r="J54" s="20">
        <v>-3190738.35</v>
      </c>
      <c r="K54" s="20">
        <v>465361.53</v>
      </c>
      <c r="L54" s="20">
        <v>-104477.97</v>
      </c>
      <c r="M54" s="20">
        <v>-2083336.76</v>
      </c>
      <c r="N54" s="27">
        <f t="shared" ref="N54:N58" si="21">SUM(B54:M54)</f>
        <v>-10154532.92</v>
      </c>
    </row>
    <row r="55" spans="1:14" ht="15.75">
      <c r="A55" s="5" t="s">
        <v>21</v>
      </c>
      <c r="B55" s="20"/>
      <c r="C55" s="20"/>
      <c r="D55" s="20"/>
      <c r="E55" s="20"/>
      <c r="F55" s="20"/>
      <c r="G55" s="20"/>
      <c r="H55" s="20"/>
      <c r="I55" s="20">
        <v>-201108.92</v>
      </c>
      <c r="J55" s="20">
        <v>-196393.7</v>
      </c>
      <c r="K55" s="20">
        <v>-200468.01</v>
      </c>
      <c r="L55" s="20"/>
      <c r="M55" s="20"/>
      <c r="N55" s="27">
        <f t="shared" si="21"/>
        <v>-597970.63</v>
      </c>
    </row>
    <row r="56" spans="1:14" ht="15.75">
      <c r="A56" s="5" t="s">
        <v>14</v>
      </c>
      <c r="B56" s="20">
        <v>-247.64</v>
      </c>
      <c r="C56" s="20">
        <v>-139.71</v>
      </c>
      <c r="D56" s="20">
        <v>-7.99</v>
      </c>
      <c r="E56" s="20">
        <v>-189.94</v>
      </c>
      <c r="F56" s="20">
        <v>-4.41</v>
      </c>
      <c r="G56" s="20">
        <v>-30.17</v>
      </c>
      <c r="H56" s="20">
        <v>-225.65</v>
      </c>
      <c r="I56" s="20">
        <v>0</v>
      </c>
      <c r="J56" s="20">
        <v>0</v>
      </c>
      <c r="K56" s="20">
        <v>0</v>
      </c>
      <c r="L56" s="20"/>
      <c r="M56" s="20"/>
      <c r="N56" s="27">
        <f t="shared" si="21"/>
        <v>-845.50999999999988</v>
      </c>
    </row>
    <row r="58" spans="1:14" ht="16.5" thickBot="1">
      <c r="A58" s="15" t="s">
        <v>15</v>
      </c>
      <c r="B58" s="29">
        <f>SUM(B49:B57)</f>
        <v>5044861.551820321</v>
      </c>
      <c r="C58" s="29">
        <f t="shared" ref="C58:M58" si="22">SUM(C49:C57)</f>
        <v>5071585.9644286595</v>
      </c>
      <c r="D58" s="29">
        <f t="shared" si="22"/>
        <v>6067410.871407399</v>
      </c>
      <c r="E58" s="29">
        <f t="shared" si="22"/>
        <v>4447361.6578463996</v>
      </c>
      <c r="F58" s="29">
        <f t="shared" si="22"/>
        <v>3640087.315986136</v>
      </c>
      <c r="G58" s="29">
        <f t="shared" si="22"/>
        <v>3262896.2747556232</v>
      </c>
      <c r="H58" s="29">
        <f t="shared" si="22"/>
        <v>3014326.5636799992</v>
      </c>
      <c r="I58" s="29">
        <f t="shared" si="22"/>
        <v>2894111.8836592198</v>
      </c>
      <c r="J58" s="29">
        <f t="shared" si="22"/>
        <v>2635939.155704279</v>
      </c>
      <c r="K58" s="29">
        <f t="shared" si="22"/>
        <v>3701971.4595732307</v>
      </c>
      <c r="L58" s="29">
        <f t="shared" si="22"/>
        <v>3325948.1611899999</v>
      </c>
      <c r="M58" s="29">
        <f t="shared" si="22"/>
        <v>3936377.9888250995</v>
      </c>
      <c r="N58" s="29">
        <f t="shared" si="21"/>
        <v>47042878.848876372</v>
      </c>
    </row>
    <row r="59" spans="1:14" ht="15.75" thickTop="1">
      <c r="N59" s="33"/>
    </row>
    <row r="62" spans="1:14" ht="15.75">
      <c r="N62" s="36"/>
    </row>
    <row r="63" spans="1:14">
      <c r="N63" s="17"/>
    </row>
  </sheetData>
  <pageMargins left="0" right="0" top="0.74803149606299213" bottom="0" header="0.31496062992125984" footer="0.31496062992125984"/>
  <pageSetup paperSize="5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RPP True up  2016</vt:lpstr>
      <vt:lpstr>RPP True up  2017</vt:lpstr>
    </vt:vector>
  </TitlesOfParts>
  <Company>Peterborough Utilities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Navneet Malik</dc:creator>
  <cp:lastModifiedBy>Navneet Malik</cp:lastModifiedBy>
  <cp:lastPrinted>2018-10-31T16:49:40Z</cp:lastPrinted>
  <dcterms:created xsi:type="dcterms:W3CDTF">2018-01-22T16:30:58Z</dcterms:created>
  <dcterms:modified xsi:type="dcterms:W3CDTF">2019-02-05T19:45:32Z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14.5</vt:lpwstr>
  </property>
</Properties>
</file>