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7B" lockStructure="1"/>
  <bookViews>
    <workbookView xWindow="480" yWindow="150" windowWidth="15270" windowHeight="12075" tabRatio="793"/>
  </bookViews>
  <sheets>
    <sheet name="Summary" sheetId="4" r:id="rId1"/>
    <sheet name="2016 01" sheetId="16" r:id="rId2"/>
    <sheet name="2016 02" sheetId="5" r:id="rId3"/>
    <sheet name="2016 03" sheetId="6" r:id="rId4"/>
    <sheet name="2016 04" sheetId="7" r:id="rId5"/>
    <sheet name="2016 05" sheetId="8" r:id="rId6"/>
    <sheet name="2016 06" sheetId="9" r:id="rId7"/>
    <sheet name="2016 07" sheetId="10" r:id="rId8"/>
    <sheet name="2016 08" sheetId="11" r:id="rId9"/>
    <sheet name="2016 09" sheetId="12" r:id="rId10"/>
    <sheet name="2016 10" sheetId="13" r:id="rId11"/>
    <sheet name="2016 11" sheetId="14" r:id="rId12"/>
    <sheet name="2016 12" sheetId="15" r:id="rId13"/>
  </sheets>
  <definedNames>
    <definedName name="_xlnm.Print_Area" localSheetId="1">'2016 01'!$A$1:$H$65</definedName>
    <definedName name="_xlnm.Print_Area" localSheetId="2">'2016 02'!$A$1:$H$64</definedName>
    <definedName name="_xlnm.Print_Area" localSheetId="3">'2016 03'!$A$1:$H$64</definedName>
    <definedName name="_xlnm.Print_Area" localSheetId="4">'2016 04'!$A$1:$H$64</definedName>
    <definedName name="_xlnm.Print_Area" localSheetId="5">'2016 05'!$A$1:$H$64</definedName>
    <definedName name="_xlnm.Print_Area" localSheetId="6">'2016 06'!$A$1:$H$64</definedName>
    <definedName name="_xlnm.Print_Area" localSheetId="7">'2016 07'!$A$1:$H$64</definedName>
    <definedName name="_xlnm.Print_Area" localSheetId="8">'2016 08'!$A$1:$H$64</definedName>
    <definedName name="_xlnm.Print_Area" localSheetId="9">'2016 09'!$A$1:$H$64</definedName>
    <definedName name="_xlnm.Print_Area" localSheetId="10">'2016 10'!$A$1:$H$64</definedName>
    <definedName name="_xlnm.Print_Area" localSheetId="11">'2016 11'!$A$1:$H$64</definedName>
    <definedName name="_xlnm.Print_Area" localSheetId="12">'2016 12'!$A$1:$H$64</definedName>
    <definedName name="_xlnm.Print_Area" localSheetId="0">Summary!$A$1:$O$68</definedName>
  </definedNames>
  <calcPr calcId="145621"/>
</workbook>
</file>

<file path=xl/calcChain.xml><?xml version="1.0" encoding="utf-8"?>
<calcChain xmlns="http://schemas.openxmlformats.org/spreadsheetml/2006/main">
  <c r="G28" i="15" l="1"/>
  <c r="F28" i="15"/>
  <c r="E28" i="15"/>
  <c r="D28" i="15"/>
  <c r="C28" i="15"/>
  <c r="E28" i="14"/>
  <c r="G28" i="14"/>
  <c r="F28" i="14"/>
  <c r="D28" i="14"/>
  <c r="C28" i="14"/>
  <c r="D28" i="13"/>
  <c r="G28" i="13"/>
  <c r="F28" i="13"/>
  <c r="E28" i="13"/>
  <c r="C28" i="13"/>
  <c r="C28" i="12"/>
  <c r="G28" i="12"/>
  <c r="F28" i="12"/>
  <c r="E28" i="12"/>
  <c r="D28" i="12"/>
  <c r="D28" i="11"/>
  <c r="G28" i="11"/>
  <c r="F28" i="11"/>
  <c r="E28" i="11"/>
  <c r="C28" i="11"/>
  <c r="G28" i="10"/>
  <c r="F28" i="10"/>
  <c r="E28" i="10"/>
  <c r="D28" i="10"/>
  <c r="C28" i="10"/>
  <c r="G28" i="9"/>
  <c r="F28" i="9"/>
  <c r="E28" i="9"/>
  <c r="D28" i="9"/>
  <c r="C28" i="9"/>
  <c r="G28" i="8"/>
  <c r="F28" i="8"/>
  <c r="E28" i="8"/>
  <c r="D28" i="8"/>
  <c r="C28" i="8"/>
  <c r="C28" i="7"/>
  <c r="G28" i="7"/>
  <c r="F28" i="7"/>
  <c r="E28" i="7"/>
  <c r="D28" i="7"/>
  <c r="O79" i="4"/>
  <c r="G28" i="6" l="1"/>
  <c r="F28" i="6"/>
  <c r="E28" i="6"/>
  <c r="D28" i="6"/>
  <c r="C28" i="6"/>
  <c r="D28" i="5"/>
  <c r="G28" i="5"/>
  <c r="F28" i="5"/>
  <c r="E28" i="5"/>
  <c r="C28" i="5"/>
  <c r="G28" i="16"/>
  <c r="F28" i="16"/>
  <c r="E28" i="16"/>
  <c r="D28" i="16"/>
  <c r="C28" i="16"/>
  <c r="O71" i="4"/>
  <c r="C39" i="16" l="1"/>
  <c r="C38" i="5"/>
  <c r="C39" i="5"/>
  <c r="C40" i="5"/>
  <c r="C41" i="5"/>
  <c r="C42" i="5"/>
  <c r="C38" i="15"/>
  <c r="C39" i="15"/>
  <c r="C40" i="15"/>
  <c r="C41" i="15"/>
  <c r="C42" i="15"/>
  <c r="C38" i="14"/>
  <c r="C39" i="14"/>
  <c r="C40" i="14"/>
  <c r="C41" i="14"/>
  <c r="C42" i="14"/>
  <c r="C38" i="13"/>
  <c r="C39" i="13"/>
  <c r="C40" i="13"/>
  <c r="C41" i="13"/>
  <c r="C42" i="13"/>
  <c r="C38" i="12"/>
  <c r="C39" i="12"/>
  <c r="C40" i="12"/>
  <c r="C41" i="12"/>
  <c r="C42" i="12"/>
  <c r="C38" i="11"/>
  <c r="C39" i="11"/>
  <c r="C40" i="11"/>
  <c r="C41" i="11"/>
  <c r="C42" i="11"/>
  <c r="C38" i="10"/>
  <c r="C39" i="10"/>
  <c r="C40" i="10"/>
  <c r="C41" i="10"/>
  <c r="C42" i="10"/>
  <c r="C38" i="9"/>
  <c r="C39" i="9"/>
  <c r="C40" i="9"/>
  <c r="C41" i="9"/>
  <c r="C42" i="9"/>
  <c r="C38" i="8"/>
  <c r="C39" i="8"/>
  <c r="C40" i="8"/>
  <c r="C41" i="8"/>
  <c r="C42" i="8"/>
  <c r="C38" i="7"/>
  <c r="C39" i="7"/>
  <c r="C40" i="7"/>
  <c r="C41" i="7"/>
  <c r="C42" i="7"/>
  <c r="C38" i="6"/>
  <c r="C39" i="6"/>
  <c r="C40" i="6"/>
  <c r="C41" i="6"/>
  <c r="C42" i="6"/>
  <c r="C42" i="16" l="1"/>
  <c r="C41" i="16"/>
  <c r="C40" i="16"/>
  <c r="C38" i="16"/>
  <c r="O75" i="4" l="1"/>
  <c r="O74" i="4"/>
  <c r="O73" i="4"/>
  <c r="O72" i="4"/>
  <c r="O78" i="4"/>
  <c r="H76" i="4" l="1"/>
  <c r="N76" i="4"/>
  <c r="M76" i="4"/>
  <c r="L76" i="4"/>
  <c r="K76" i="4"/>
  <c r="J76" i="4"/>
  <c r="I76" i="4"/>
  <c r="G76" i="4"/>
  <c r="F76" i="4"/>
  <c r="E76" i="4"/>
  <c r="D76" i="4"/>
  <c r="C76" i="4"/>
  <c r="N50" i="4"/>
  <c r="N49" i="4"/>
  <c r="N41" i="4"/>
  <c r="N22" i="4"/>
  <c r="N21" i="4"/>
  <c r="N20" i="4"/>
  <c r="N18" i="4"/>
  <c r="N17" i="4"/>
  <c r="N16" i="4"/>
  <c r="N15" i="4"/>
  <c r="N14" i="4"/>
  <c r="M50" i="4" l="1"/>
  <c r="M49" i="4"/>
  <c r="M41" i="4"/>
  <c r="M22" i="4"/>
  <c r="M21" i="4"/>
  <c r="M20" i="4"/>
  <c r="M18" i="4"/>
  <c r="M17" i="4"/>
  <c r="M16" i="4"/>
  <c r="M15" i="4"/>
  <c r="M14" i="4"/>
  <c r="L50" i="4" l="1"/>
  <c r="L49" i="4"/>
  <c r="L41" i="4"/>
  <c r="L22" i="4"/>
  <c r="L21" i="4"/>
  <c r="L20" i="4"/>
  <c r="L18" i="4"/>
  <c r="L17" i="4"/>
  <c r="L16" i="4"/>
  <c r="L15" i="4"/>
  <c r="L14" i="4"/>
  <c r="K50" i="4" l="1"/>
  <c r="K49" i="4"/>
  <c r="K41" i="4"/>
  <c r="K22" i="4"/>
  <c r="K21" i="4"/>
  <c r="K20" i="4"/>
  <c r="K18" i="4"/>
  <c r="K17" i="4"/>
  <c r="K16" i="4"/>
  <c r="K15" i="4"/>
  <c r="K14" i="4"/>
  <c r="J50" i="4" l="1"/>
  <c r="J49" i="4"/>
  <c r="J41" i="4"/>
  <c r="J22" i="4"/>
  <c r="J21" i="4"/>
  <c r="J20" i="4"/>
  <c r="J18" i="4"/>
  <c r="J17" i="4"/>
  <c r="J16" i="4"/>
  <c r="J15" i="4"/>
  <c r="J14" i="4"/>
  <c r="I50" i="4" l="1"/>
  <c r="I49" i="4"/>
  <c r="I41" i="4"/>
  <c r="I22" i="4"/>
  <c r="I21" i="4"/>
  <c r="I20" i="4"/>
  <c r="I18" i="4"/>
  <c r="I17" i="4"/>
  <c r="I16" i="4"/>
  <c r="I15" i="4"/>
  <c r="I14" i="4"/>
  <c r="O76" i="4" l="1"/>
  <c r="N77" i="4"/>
  <c r="M77" i="4"/>
  <c r="L77" i="4"/>
  <c r="K77" i="4"/>
  <c r="J77" i="4"/>
  <c r="G77" i="4"/>
  <c r="F77" i="4"/>
  <c r="E77" i="4"/>
  <c r="D77" i="4"/>
  <c r="C77" i="4"/>
  <c r="I77" i="4" l="1"/>
  <c r="H77" i="4"/>
  <c r="H50" i="4"/>
  <c r="H49" i="4"/>
  <c r="H41" i="4"/>
  <c r="H22" i="4"/>
  <c r="H21" i="4"/>
  <c r="H20" i="4"/>
  <c r="H18" i="4"/>
  <c r="H17" i="4"/>
  <c r="H16" i="4"/>
  <c r="H15" i="4"/>
  <c r="H14" i="4"/>
  <c r="O77" i="4" l="1"/>
  <c r="G50" i="4" l="1"/>
  <c r="G49" i="4"/>
  <c r="G41" i="4"/>
  <c r="G22" i="4"/>
  <c r="G21" i="4"/>
  <c r="G20" i="4"/>
  <c r="G18" i="4"/>
  <c r="G17" i="4"/>
  <c r="G16" i="4"/>
  <c r="G15" i="4"/>
  <c r="G14" i="4"/>
  <c r="F50" i="4" l="1"/>
  <c r="F49" i="4"/>
  <c r="F41" i="4"/>
  <c r="F22" i="4"/>
  <c r="F21" i="4"/>
  <c r="F20" i="4"/>
  <c r="F18" i="4"/>
  <c r="F17" i="4"/>
  <c r="F16" i="4"/>
  <c r="F15" i="4"/>
  <c r="F14" i="4"/>
  <c r="E50" i="4" l="1"/>
  <c r="E49" i="4"/>
  <c r="E41" i="4"/>
  <c r="E22" i="4"/>
  <c r="E21" i="4"/>
  <c r="E20" i="4"/>
  <c r="E18" i="4"/>
  <c r="E17" i="4"/>
  <c r="E16" i="4"/>
  <c r="E15" i="4"/>
  <c r="E14" i="4"/>
  <c r="D50" i="4" l="1"/>
  <c r="D49" i="4"/>
  <c r="D41" i="4"/>
  <c r="D22" i="4"/>
  <c r="D21" i="4"/>
  <c r="D20" i="4"/>
  <c r="D18" i="4"/>
  <c r="D17" i="4"/>
  <c r="D16" i="4"/>
  <c r="D15" i="4"/>
  <c r="D14" i="4"/>
  <c r="F38" i="5"/>
  <c r="F40" i="6" l="1"/>
  <c r="F38" i="6"/>
  <c r="F40" i="7"/>
  <c r="F38" i="7"/>
  <c r="F40" i="8"/>
  <c r="F38" i="8"/>
  <c r="F40" i="9"/>
  <c r="F38" i="9"/>
  <c r="F40" i="10"/>
  <c r="F38" i="10"/>
  <c r="F40" i="11"/>
  <c r="F38" i="11"/>
  <c r="F40" i="12"/>
  <c r="F38" i="12"/>
  <c r="F40" i="13"/>
  <c r="F38" i="13"/>
  <c r="F40" i="14"/>
  <c r="F38" i="14"/>
  <c r="F40" i="15"/>
  <c r="F38" i="15"/>
  <c r="F40" i="5"/>
  <c r="E46" i="4"/>
  <c r="E45" i="4"/>
  <c r="E43" i="4"/>
  <c r="E42" i="4"/>
  <c r="F46" i="4"/>
  <c r="F45" i="4"/>
  <c r="F43" i="4"/>
  <c r="G46" i="4"/>
  <c r="G45" i="4"/>
  <c r="G44" i="4"/>
  <c r="G43" i="4"/>
  <c r="H46" i="4"/>
  <c r="H45" i="4"/>
  <c r="H44" i="4"/>
  <c r="H43" i="4"/>
  <c r="I46" i="4"/>
  <c r="I45" i="4"/>
  <c r="I43" i="4"/>
  <c r="J46" i="4"/>
  <c r="J45" i="4"/>
  <c r="J43" i="4"/>
  <c r="K46" i="4"/>
  <c r="K45" i="4"/>
  <c r="K44" i="4"/>
  <c r="K43" i="4"/>
  <c r="L46" i="4"/>
  <c r="L45" i="4"/>
  <c r="L44" i="4"/>
  <c r="L43" i="4"/>
  <c r="M46" i="4"/>
  <c r="M45" i="4"/>
  <c r="M43" i="4"/>
  <c r="N46" i="4"/>
  <c r="N45" i="4"/>
  <c r="N43" i="4"/>
  <c r="D46" i="4"/>
  <c r="D45" i="4"/>
  <c r="D44" i="4"/>
  <c r="D43" i="4"/>
  <c r="G50" i="6"/>
  <c r="F50" i="6"/>
  <c r="E50" i="6"/>
  <c r="D50" i="6"/>
  <c r="G50" i="7"/>
  <c r="F50" i="7"/>
  <c r="E50" i="7"/>
  <c r="D50" i="7"/>
  <c r="G50" i="8"/>
  <c r="F50" i="8"/>
  <c r="E50" i="8"/>
  <c r="D50" i="8"/>
  <c r="G50" i="9"/>
  <c r="F50" i="9"/>
  <c r="E50" i="9"/>
  <c r="D50" i="9"/>
  <c r="G50" i="10"/>
  <c r="F50" i="10"/>
  <c r="E50" i="10"/>
  <c r="D50" i="10"/>
  <c r="G50" i="11"/>
  <c r="F50" i="11"/>
  <c r="E50" i="11"/>
  <c r="D50" i="11"/>
  <c r="G50" i="12"/>
  <c r="F50" i="12"/>
  <c r="E50" i="12"/>
  <c r="D50" i="12"/>
  <c r="G50" i="13"/>
  <c r="F50" i="13"/>
  <c r="E50" i="13"/>
  <c r="D50" i="13"/>
  <c r="G50" i="14"/>
  <c r="F50" i="14"/>
  <c r="E50" i="14"/>
  <c r="D50" i="14"/>
  <c r="G50" i="15"/>
  <c r="F50" i="15"/>
  <c r="E50" i="15"/>
  <c r="D50" i="15"/>
  <c r="G50" i="5"/>
  <c r="F50" i="5"/>
  <c r="E50" i="5"/>
  <c r="D50" i="5"/>
  <c r="C50" i="6"/>
  <c r="C50" i="7"/>
  <c r="C50" i="8"/>
  <c r="C50" i="9"/>
  <c r="C50" i="10"/>
  <c r="C50" i="11"/>
  <c r="C50" i="12"/>
  <c r="C50" i="13"/>
  <c r="C50" i="14"/>
  <c r="C50" i="15"/>
  <c r="C50" i="5"/>
  <c r="G50" i="16"/>
  <c r="F50" i="16"/>
  <c r="E50" i="16"/>
  <c r="D50" i="16"/>
  <c r="C50" i="16"/>
  <c r="C50" i="4"/>
  <c r="C49" i="4"/>
  <c r="O49" i="4" s="1"/>
  <c r="C41" i="4"/>
  <c r="O41" i="4" s="1"/>
  <c r="C22" i="4"/>
  <c r="C21" i="4"/>
  <c r="C20" i="4"/>
  <c r="C18" i="4"/>
  <c r="O18" i="4" s="1"/>
  <c r="C17" i="4"/>
  <c r="O17" i="4" s="1"/>
  <c r="C16" i="4"/>
  <c r="O16" i="4" s="1"/>
  <c r="C15" i="4"/>
  <c r="O15" i="4" s="1"/>
  <c r="C14" i="4"/>
  <c r="O14" i="4" s="1"/>
  <c r="H42" i="4" l="1"/>
  <c r="F44" i="4"/>
  <c r="F42" i="4"/>
  <c r="E44" i="4"/>
  <c r="G42" i="4"/>
  <c r="N44" i="4"/>
  <c r="N42" i="4"/>
  <c r="M42" i="4"/>
  <c r="M44" i="4"/>
  <c r="L42" i="4"/>
  <c r="K42" i="4"/>
  <c r="J42" i="4"/>
  <c r="J44" i="4"/>
  <c r="I42" i="4"/>
  <c r="I44" i="4"/>
  <c r="D42" i="4"/>
  <c r="F40" i="16"/>
  <c r="F38" i="16"/>
  <c r="C46" i="4"/>
  <c r="O46" i="4" s="1"/>
  <c r="C45" i="4"/>
  <c r="O45" i="4" s="1"/>
  <c r="C43" i="4"/>
  <c r="O43" i="4" s="1"/>
  <c r="C42" i="4" l="1"/>
  <c r="O42" i="4" s="1"/>
  <c r="C44" i="4"/>
  <c r="O44" i="4" s="1"/>
  <c r="G52" i="16"/>
  <c r="F52" i="16"/>
  <c r="D52" i="16"/>
  <c r="C47" i="16"/>
  <c r="C51" i="4" s="1"/>
  <c r="C44" i="16"/>
  <c r="C48" i="4" s="1"/>
  <c r="D37" i="16"/>
  <c r="G23" i="16"/>
  <c r="F23" i="16"/>
  <c r="E23" i="16"/>
  <c r="E26" i="16" s="1"/>
  <c r="D23" i="16"/>
  <c r="D26" i="16" s="1"/>
  <c r="C23" i="16"/>
  <c r="C15" i="16"/>
  <c r="G52" i="15"/>
  <c r="F52" i="15"/>
  <c r="E52" i="15"/>
  <c r="E54" i="15" s="1"/>
  <c r="D52" i="15"/>
  <c r="C52" i="15"/>
  <c r="C47" i="15"/>
  <c r="N51" i="4" s="1"/>
  <c r="C44" i="15"/>
  <c r="N48" i="4" s="1"/>
  <c r="C43" i="15"/>
  <c r="N47" i="4" s="1"/>
  <c r="D37" i="15"/>
  <c r="G23" i="15"/>
  <c r="F23" i="15"/>
  <c r="E23" i="15"/>
  <c r="E26" i="15" s="1"/>
  <c r="D23" i="15"/>
  <c r="D26" i="15" s="1"/>
  <c r="C23" i="15"/>
  <c r="C15" i="15"/>
  <c r="G52" i="14"/>
  <c r="F52" i="14"/>
  <c r="E52" i="14"/>
  <c r="D52" i="14"/>
  <c r="C52" i="14"/>
  <c r="C47" i="14"/>
  <c r="C44" i="14"/>
  <c r="M48" i="4" s="1"/>
  <c r="C43" i="14"/>
  <c r="M47" i="4" s="1"/>
  <c r="D37" i="14"/>
  <c r="G23" i="14"/>
  <c r="F23" i="14"/>
  <c r="E23" i="14"/>
  <c r="E26" i="14" s="1"/>
  <c r="D23" i="14"/>
  <c r="D26" i="14" s="1"/>
  <c r="C23" i="14"/>
  <c r="C15" i="14"/>
  <c r="G52" i="13"/>
  <c r="F52" i="13"/>
  <c r="E52" i="13"/>
  <c r="D52" i="13"/>
  <c r="C52" i="13"/>
  <c r="C47" i="13"/>
  <c r="L51" i="4" s="1"/>
  <c r="C44" i="13"/>
  <c r="L48" i="4" s="1"/>
  <c r="C43" i="13"/>
  <c r="L47" i="4" s="1"/>
  <c r="D37" i="13"/>
  <c r="G23" i="13"/>
  <c r="F23" i="13"/>
  <c r="E23" i="13"/>
  <c r="E26" i="13" s="1"/>
  <c r="D23" i="13"/>
  <c r="D26" i="13" s="1"/>
  <c r="C23" i="13"/>
  <c r="C15" i="13"/>
  <c r="G52" i="12"/>
  <c r="F52" i="12"/>
  <c r="F54" i="12" s="1"/>
  <c r="E52" i="12"/>
  <c r="D52" i="12"/>
  <c r="C52" i="12"/>
  <c r="C47" i="12"/>
  <c r="K51" i="4" s="1"/>
  <c r="C44" i="12"/>
  <c r="K48" i="4" s="1"/>
  <c r="C43" i="12"/>
  <c r="K47" i="4" s="1"/>
  <c r="D37" i="12"/>
  <c r="G23" i="12"/>
  <c r="F23" i="12"/>
  <c r="E23" i="12"/>
  <c r="E26" i="12" s="1"/>
  <c r="D23" i="12"/>
  <c r="D26" i="12" s="1"/>
  <c r="C23" i="12"/>
  <c r="C15" i="12"/>
  <c r="G52" i="11"/>
  <c r="F52" i="11"/>
  <c r="E52" i="11"/>
  <c r="E54" i="11" s="1"/>
  <c r="D52" i="11"/>
  <c r="C52" i="11"/>
  <c r="C47" i="11"/>
  <c r="J51" i="4" s="1"/>
  <c r="C44" i="11"/>
  <c r="J48" i="4" s="1"/>
  <c r="C43" i="11"/>
  <c r="J47" i="4" s="1"/>
  <c r="D37" i="11"/>
  <c r="G23" i="11"/>
  <c r="F23" i="11"/>
  <c r="E23" i="11"/>
  <c r="E26" i="11" s="1"/>
  <c r="D23" i="11"/>
  <c r="D26" i="11" s="1"/>
  <c r="C23" i="11"/>
  <c r="C15" i="11"/>
  <c r="G52" i="10"/>
  <c r="F52" i="10"/>
  <c r="E52" i="10"/>
  <c r="D52" i="10"/>
  <c r="C52" i="10"/>
  <c r="C47" i="10"/>
  <c r="C44" i="10"/>
  <c r="I48" i="4" s="1"/>
  <c r="C43" i="10"/>
  <c r="I47" i="4" s="1"/>
  <c r="D37" i="10"/>
  <c r="G23" i="10"/>
  <c r="F23" i="10"/>
  <c r="E23" i="10"/>
  <c r="E26" i="10" s="1"/>
  <c r="D23" i="10"/>
  <c r="D26" i="10" s="1"/>
  <c r="C23" i="10"/>
  <c r="C15" i="10"/>
  <c r="G52" i="9"/>
  <c r="F52" i="9"/>
  <c r="E52" i="9"/>
  <c r="D52" i="9"/>
  <c r="C52" i="9"/>
  <c r="C47" i="9"/>
  <c r="H51" i="4" s="1"/>
  <c r="C44" i="9"/>
  <c r="H48" i="4" s="1"/>
  <c r="C43" i="9"/>
  <c r="H47" i="4" s="1"/>
  <c r="D37" i="9"/>
  <c r="G23" i="9"/>
  <c r="F23" i="9"/>
  <c r="E23" i="9"/>
  <c r="E26" i="9" s="1"/>
  <c r="D23" i="9"/>
  <c r="D26" i="9" s="1"/>
  <c r="C23" i="9"/>
  <c r="C15" i="9"/>
  <c r="G52" i="8"/>
  <c r="F52" i="8"/>
  <c r="F54" i="8" s="1"/>
  <c r="E52" i="8"/>
  <c r="D52" i="8"/>
  <c r="C52" i="8"/>
  <c r="C47" i="8"/>
  <c r="G51" i="4" s="1"/>
  <c r="C44" i="8"/>
  <c r="G48" i="4" s="1"/>
  <c r="C43" i="8"/>
  <c r="G47" i="4" s="1"/>
  <c r="D37" i="8"/>
  <c r="G23" i="8"/>
  <c r="F23" i="8"/>
  <c r="E23" i="8"/>
  <c r="D23" i="8"/>
  <c r="C23" i="8"/>
  <c r="C15" i="8"/>
  <c r="G52" i="7"/>
  <c r="F52" i="7"/>
  <c r="E52" i="7"/>
  <c r="E54" i="7" s="1"/>
  <c r="D52" i="7"/>
  <c r="C52" i="7"/>
  <c r="C47" i="7"/>
  <c r="F51" i="4" s="1"/>
  <c r="C44" i="7"/>
  <c r="F48" i="4" s="1"/>
  <c r="C43" i="7"/>
  <c r="F47" i="4" s="1"/>
  <c r="D37" i="7"/>
  <c r="G23" i="7"/>
  <c r="F23" i="7"/>
  <c r="E23" i="7"/>
  <c r="E26" i="7" s="1"/>
  <c r="D23" i="7"/>
  <c r="D26" i="7" s="1"/>
  <c r="C23" i="7"/>
  <c r="C15" i="7"/>
  <c r="G52" i="6"/>
  <c r="F52" i="6"/>
  <c r="E52" i="6"/>
  <c r="D52" i="6"/>
  <c r="C52" i="6"/>
  <c r="C47" i="6"/>
  <c r="C44" i="6"/>
  <c r="E48" i="4" s="1"/>
  <c r="C43" i="6"/>
  <c r="E47" i="4" s="1"/>
  <c r="D37" i="6"/>
  <c r="G23" i="6"/>
  <c r="F23" i="6"/>
  <c r="E23" i="6"/>
  <c r="E26" i="6" s="1"/>
  <c r="D23" i="6"/>
  <c r="D26" i="6" s="1"/>
  <c r="C23" i="6"/>
  <c r="C15" i="6"/>
  <c r="G52" i="5"/>
  <c r="F52" i="5"/>
  <c r="E52" i="5"/>
  <c r="D52" i="5"/>
  <c r="C52" i="5"/>
  <c r="C54" i="5" s="1"/>
  <c r="C47" i="5"/>
  <c r="C43" i="5"/>
  <c r="D37" i="5"/>
  <c r="G23" i="5"/>
  <c r="G27" i="5" s="1"/>
  <c r="F23" i="5"/>
  <c r="F26" i="5" s="1"/>
  <c r="E23" i="5"/>
  <c r="E26" i="5" s="1"/>
  <c r="D23" i="5"/>
  <c r="D27" i="5" s="1"/>
  <c r="C23" i="5"/>
  <c r="C27" i="5" s="1"/>
  <c r="C15" i="5"/>
  <c r="D27" i="8" l="1"/>
  <c r="D26" i="8"/>
  <c r="D25" i="8"/>
  <c r="E27" i="8"/>
  <c r="E26" i="8"/>
  <c r="E25" i="8"/>
  <c r="F26" i="8"/>
  <c r="F25" i="8"/>
  <c r="F27" i="8"/>
  <c r="C25" i="8"/>
  <c r="C27" i="8"/>
  <c r="C26" i="8"/>
  <c r="G27" i="8"/>
  <c r="G26" i="8"/>
  <c r="G25" i="8"/>
  <c r="C26" i="13"/>
  <c r="C25" i="13"/>
  <c r="E27" i="7"/>
  <c r="C52" i="16"/>
  <c r="C56" i="16" s="1"/>
  <c r="E52" i="16"/>
  <c r="E54" i="16" s="1"/>
  <c r="C43" i="16"/>
  <c r="C47" i="4" s="1"/>
  <c r="F56" i="14"/>
  <c r="M51" i="4"/>
  <c r="F56" i="6"/>
  <c r="E51" i="4"/>
  <c r="G19" i="4"/>
  <c r="H19" i="4"/>
  <c r="I19" i="4"/>
  <c r="J19" i="4"/>
  <c r="D56" i="16"/>
  <c r="F56" i="10"/>
  <c r="I51" i="4"/>
  <c r="E27" i="11"/>
  <c r="K19" i="4"/>
  <c r="L19" i="4"/>
  <c r="M19" i="4"/>
  <c r="N19" i="4"/>
  <c r="C19" i="4"/>
  <c r="E19" i="4"/>
  <c r="F19" i="4"/>
  <c r="E27" i="13"/>
  <c r="E56" i="13"/>
  <c r="E27" i="12"/>
  <c r="D43" i="10"/>
  <c r="F43" i="10"/>
  <c r="H43" i="10" s="1"/>
  <c r="D43" i="12"/>
  <c r="F43" i="12"/>
  <c r="H43" i="12" s="1"/>
  <c r="D43" i="11"/>
  <c r="F43" i="11"/>
  <c r="H43" i="11" s="1"/>
  <c r="D43" i="13"/>
  <c r="F43" i="13"/>
  <c r="H43" i="13" s="1"/>
  <c r="D43" i="14"/>
  <c r="F43" i="14"/>
  <c r="H43" i="14" s="1"/>
  <c r="D43" i="15"/>
  <c r="F43" i="15"/>
  <c r="H43" i="15" s="1"/>
  <c r="F55" i="15"/>
  <c r="D25" i="15"/>
  <c r="E27" i="15"/>
  <c r="E25" i="15"/>
  <c r="F55" i="14"/>
  <c r="D25" i="14"/>
  <c r="E25" i="14"/>
  <c r="E27" i="14"/>
  <c r="F55" i="13"/>
  <c r="D25" i="13"/>
  <c r="E25" i="13"/>
  <c r="D25" i="12"/>
  <c r="E25" i="12"/>
  <c r="D25" i="11"/>
  <c r="E25" i="11"/>
  <c r="E27" i="10"/>
  <c r="E25" i="10"/>
  <c r="D25" i="10"/>
  <c r="E56" i="9"/>
  <c r="D43" i="9"/>
  <c r="F43" i="9"/>
  <c r="H43" i="9" s="1"/>
  <c r="E25" i="9"/>
  <c r="E27" i="9"/>
  <c r="D25" i="9"/>
  <c r="D43" i="8"/>
  <c r="F43" i="8"/>
  <c r="H43" i="8" s="1"/>
  <c r="D43" i="7"/>
  <c r="F43" i="7"/>
  <c r="H43" i="7" s="1"/>
  <c r="D25" i="7"/>
  <c r="E25" i="7"/>
  <c r="D43" i="6"/>
  <c r="F43" i="6"/>
  <c r="H43" i="6" s="1"/>
  <c r="F56" i="5"/>
  <c r="D51" i="4"/>
  <c r="F43" i="5"/>
  <c r="H43" i="5" s="1"/>
  <c r="D47" i="4"/>
  <c r="D19" i="4"/>
  <c r="D25" i="6"/>
  <c r="E25" i="6"/>
  <c r="E27" i="6"/>
  <c r="D43" i="5"/>
  <c r="E56" i="5"/>
  <c r="D56" i="5"/>
  <c r="E25" i="5"/>
  <c r="F25" i="5"/>
  <c r="E27" i="5"/>
  <c r="F27" i="5"/>
  <c r="C56" i="6"/>
  <c r="G56" i="6"/>
  <c r="C56" i="7"/>
  <c r="G56" i="7"/>
  <c r="C56" i="8"/>
  <c r="G56" i="8"/>
  <c r="C56" i="9"/>
  <c r="G56" i="9"/>
  <c r="C56" i="10"/>
  <c r="G56" i="10"/>
  <c r="C56" i="11"/>
  <c r="G56" i="11"/>
  <c r="C56" i="12"/>
  <c r="G56" i="12"/>
  <c r="C56" i="13"/>
  <c r="G56" i="13"/>
  <c r="C56" i="14"/>
  <c r="G56" i="14"/>
  <c r="C56" i="15"/>
  <c r="G56" i="15"/>
  <c r="D56" i="8"/>
  <c r="D56" i="10"/>
  <c r="D56" i="11"/>
  <c r="D56" i="12"/>
  <c r="D56" i="13"/>
  <c r="D56" i="14"/>
  <c r="D56" i="15"/>
  <c r="D56" i="6"/>
  <c r="D56" i="7"/>
  <c r="D56" i="9"/>
  <c r="F55" i="6"/>
  <c r="F55" i="7"/>
  <c r="F55" i="9"/>
  <c r="F55" i="11"/>
  <c r="F55" i="8"/>
  <c r="F55" i="10"/>
  <c r="F55" i="12"/>
  <c r="E55" i="6"/>
  <c r="E55" i="7"/>
  <c r="E55" i="8"/>
  <c r="E55" i="9"/>
  <c r="E55" i="10"/>
  <c r="E55" i="11"/>
  <c r="E55" i="12"/>
  <c r="E55" i="13"/>
  <c r="E55" i="14"/>
  <c r="E55" i="15"/>
  <c r="G56" i="16"/>
  <c r="F55" i="16"/>
  <c r="F54" i="16"/>
  <c r="C56" i="5"/>
  <c r="E56" i="6"/>
  <c r="F56" i="7"/>
  <c r="E54" i="8"/>
  <c r="F54" i="9"/>
  <c r="E56" i="10"/>
  <c r="F56" i="11"/>
  <c r="E54" i="12"/>
  <c r="F54" i="13"/>
  <c r="E56" i="14"/>
  <c r="F56" i="15"/>
  <c r="F54" i="5"/>
  <c r="G56" i="5"/>
  <c r="E54" i="6"/>
  <c r="F54" i="7"/>
  <c r="E56" i="8"/>
  <c r="F56" i="9"/>
  <c r="E54" i="10"/>
  <c r="F54" i="11"/>
  <c r="E56" i="12"/>
  <c r="F56" i="13"/>
  <c r="E54" i="14"/>
  <c r="F54" i="15"/>
  <c r="G54" i="5"/>
  <c r="F54" i="6"/>
  <c r="E56" i="7"/>
  <c r="F56" i="8"/>
  <c r="E54" i="9"/>
  <c r="F54" i="10"/>
  <c r="E56" i="11"/>
  <c r="F56" i="12"/>
  <c r="E54" i="13"/>
  <c r="F54" i="14"/>
  <c r="E56" i="15"/>
  <c r="F56" i="16"/>
  <c r="D25" i="16"/>
  <c r="E25" i="16"/>
  <c r="E27" i="16"/>
  <c r="F27" i="16"/>
  <c r="F25" i="16"/>
  <c r="C27" i="16"/>
  <c r="G27" i="16"/>
  <c r="F26" i="16"/>
  <c r="D27" i="16"/>
  <c r="G55" i="16"/>
  <c r="C26" i="16"/>
  <c r="G26" i="16"/>
  <c r="D55" i="16"/>
  <c r="H23" i="16"/>
  <c r="C27" i="4" s="1"/>
  <c r="G54" i="16"/>
  <c r="C25" i="16"/>
  <c r="G25" i="16"/>
  <c r="D54" i="16"/>
  <c r="F27" i="15"/>
  <c r="F25" i="15"/>
  <c r="C27" i="15"/>
  <c r="G27" i="15"/>
  <c r="F26" i="15"/>
  <c r="D27" i="15"/>
  <c r="C55" i="15"/>
  <c r="G55" i="15"/>
  <c r="C26" i="15"/>
  <c r="G26" i="15"/>
  <c r="H52" i="15"/>
  <c r="N56" i="4" s="1"/>
  <c r="D55" i="15"/>
  <c r="H23" i="15"/>
  <c r="N27" i="4" s="1"/>
  <c r="C54" i="15"/>
  <c r="G54" i="15"/>
  <c r="C25" i="15"/>
  <c r="G25" i="15"/>
  <c r="D54" i="15"/>
  <c r="F27" i="14"/>
  <c r="F25" i="14"/>
  <c r="C27" i="14"/>
  <c r="G27" i="14"/>
  <c r="F26" i="14"/>
  <c r="D27" i="14"/>
  <c r="C55" i="14"/>
  <c r="G55" i="14"/>
  <c r="C26" i="14"/>
  <c r="G26" i="14"/>
  <c r="H52" i="14"/>
  <c r="M56" i="4" s="1"/>
  <c r="D55" i="14"/>
  <c r="H23" i="14"/>
  <c r="M27" i="4" s="1"/>
  <c r="C54" i="14"/>
  <c r="G54" i="14"/>
  <c r="C25" i="14"/>
  <c r="G25" i="14"/>
  <c r="D54" i="14"/>
  <c r="F27" i="13"/>
  <c r="F25" i="13"/>
  <c r="C27" i="13"/>
  <c r="G27" i="13"/>
  <c r="F26" i="13"/>
  <c r="D27" i="13"/>
  <c r="C55" i="13"/>
  <c r="G55" i="13"/>
  <c r="G26" i="13"/>
  <c r="H52" i="13"/>
  <c r="L56" i="4" s="1"/>
  <c r="D55" i="13"/>
  <c r="H23" i="13"/>
  <c r="L27" i="4" s="1"/>
  <c r="C54" i="13"/>
  <c r="G54" i="13"/>
  <c r="G25" i="13"/>
  <c r="D54" i="13"/>
  <c r="F27" i="12"/>
  <c r="F25" i="12"/>
  <c r="C27" i="12"/>
  <c r="G27" i="12"/>
  <c r="F26" i="12"/>
  <c r="D27" i="12"/>
  <c r="C55" i="12"/>
  <c r="G55" i="12"/>
  <c r="C26" i="12"/>
  <c r="G26" i="12"/>
  <c r="H52" i="12"/>
  <c r="K56" i="4" s="1"/>
  <c r="D55" i="12"/>
  <c r="H23" i="12"/>
  <c r="K27" i="4" s="1"/>
  <c r="C54" i="12"/>
  <c r="G54" i="12"/>
  <c r="C25" i="12"/>
  <c r="G25" i="12"/>
  <c r="D54" i="12"/>
  <c r="F27" i="11"/>
  <c r="F25" i="11"/>
  <c r="C27" i="11"/>
  <c r="G27" i="11"/>
  <c r="F26" i="11"/>
  <c r="D27" i="11"/>
  <c r="C55" i="11"/>
  <c r="G55" i="11"/>
  <c r="C26" i="11"/>
  <c r="G26" i="11"/>
  <c r="H52" i="11"/>
  <c r="J56" i="4" s="1"/>
  <c r="D55" i="11"/>
  <c r="H23" i="11"/>
  <c r="J27" i="4" s="1"/>
  <c r="C54" i="11"/>
  <c r="G54" i="11"/>
  <c r="C25" i="11"/>
  <c r="G25" i="11"/>
  <c r="D54" i="11"/>
  <c r="F27" i="10"/>
  <c r="F25" i="10"/>
  <c r="C27" i="10"/>
  <c r="G27" i="10"/>
  <c r="F26" i="10"/>
  <c r="D27" i="10"/>
  <c r="C55" i="10"/>
  <c r="G55" i="10"/>
  <c r="C26" i="10"/>
  <c r="G26" i="10"/>
  <c r="H52" i="10"/>
  <c r="I56" i="4" s="1"/>
  <c r="D55" i="10"/>
  <c r="H23" i="10"/>
  <c r="I27" i="4" s="1"/>
  <c r="C54" i="10"/>
  <c r="G54" i="10"/>
  <c r="C25" i="10"/>
  <c r="G25" i="10"/>
  <c r="D54" i="10"/>
  <c r="F27" i="9"/>
  <c r="F25" i="9"/>
  <c r="C27" i="9"/>
  <c r="G27" i="9"/>
  <c r="F26" i="9"/>
  <c r="D27" i="9"/>
  <c r="C55" i="9"/>
  <c r="G55" i="9"/>
  <c r="C26" i="9"/>
  <c r="G26" i="9"/>
  <c r="H52" i="9"/>
  <c r="H56" i="4" s="1"/>
  <c r="D55" i="9"/>
  <c r="H23" i="9"/>
  <c r="H27" i="4" s="1"/>
  <c r="C54" i="9"/>
  <c r="G54" i="9"/>
  <c r="C25" i="9"/>
  <c r="G25" i="9"/>
  <c r="D54" i="9"/>
  <c r="C55" i="8"/>
  <c r="G55" i="8"/>
  <c r="H52" i="8"/>
  <c r="G56" i="4" s="1"/>
  <c r="D55" i="8"/>
  <c r="H23" i="8"/>
  <c r="G27" i="4" s="1"/>
  <c r="C54" i="8"/>
  <c r="G54" i="8"/>
  <c r="D54" i="8"/>
  <c r="F27" i="7"/>
  <c r="F25" i="7"/>
  <c r="C27" i="7"/>
  <c r="G27" i="7"/>
  <c r="F26" i="7"/>
  <c r="D27" i="7"/>
  <c r="C55" i="7"/>
  <c r="G55" i="7"/>
  <c r="C26" i="7"/>
  <c r="G26" i="7"/>
  <c r="H52" i="7"/>
  <c r="F56" i="4" s="1"/>
  <c r="D55" i="7"/>
  <c r="H23" i="7"/>
  <c r="F27" i="4" s="1"/>
  <c r="C54" i="7"/>
  <c r="G54" i="7"/>
  <c r="C25" i="7"/>
  <c r="G25" i="7"/>
  <c r="D54" i="7"/>
  <c r="F27" i="6"/>
  <c r="F25" i="6"/>
  <c r="C27" i="6"/>
  <c r="G27" i="6"/>
  <c r="F26" i="6"/>
  <c r="D27" i="6"/>
  <c r="C55" i="6"/>
  <c r="G55" i="6"/>
  <c r="C26" i="6"/>
  <c r="G26" i="6"/>
  <c r="H52" i="6"/>
  <c r="E56" i="4" s="1"/>
  <c r="D55" i="6"/>
  <c r="H23" i="6"/>
  <c r="E27" i="4" s="1"/>
  <c r="C54" i="6"/>
  <c r="G54" i="6"/>
  <c r="C25" i="6"/>
  <c r="G25" i="6"/>
  <c r="D54" i="6"/>
  <c r="C26" i="5"/>
  <c r="G26" i="5"/>
  <c r="H52" i="5"/>
  <c r="D56" i="4" s="1"/>
  <c r="H23" i="5"/>
  <c r="D27" i="4" s="1"/>
  <c r="D26" i="5"/>
  <c r="C25" i="5"/>
  <c r="G25" i="5"/>
  <c r="D54" i="5"/>
  <c r="D25" i="5"/>
  <c r="E54" i="5"/>
  <c r="C54" i="16" l="1"/>
  <c r="H54" i="16" s="1"/>
  <c r="C58" i="4" s="1"/>
  <c r="C55" i="16"/>
  <c r="H56" i="6"/>
  <c r="E60" i="4" s="1"/>
  <c r="H52" i="16"/>
  <c r="C56" i="4" s="1"/>
  <c r="O56" i="4" s="1"/>
  <c r="E55" i="16"/>
  <c r="F57" i="12"/>
  <c r="F58" i="12" s="1"/>
  <c r="F57" i="6"/>
  <c r="F59" i="6" s="1"/>
  <c r="D43" i="16"/>
  <c r="E56" i="16"/>
  <c r="E57" i="16" s="1"/>
  <c r="E59" i="16" s="1"/>
  <c r="O27" i="4"/>
  <c r="E57" i="7"/>
  <c r="E62" i="7" s="1"/>
  <c r="E63" i="7" s="1"/>
  <c r="O47" i="4"/>
  <c r="H55" i="9"/>
  <c r="H59" i="4" s="1"/>
  <c r="H55" i="15"/>
  <c r="N59" i="4" s="1"/>
  <c r="H56" i="8"/>
  <c r="G60" i="4" s="1"/>
  <c r="F43" i="16"/>
  <c r="H43" i="16" s="1"/>
  <c r="G57" i="7"/>
  <c r="G58" i="7" s="1"/>
  <c r="H55" i="7"/>
  <c r="F59" i="4" s="1"/>
  <c r="O19" i="4"/>
  <c r="D57" i="7"/>
  <c r="D62" i="7" s="1"/>
  <c r="F57" i="7"/>
  <c r="F59" i="7" s="1"/>
  <c r="H56" i="10"/>
  <c r="I60" i="4" s="1"/>
  <c r="H56" i="14"/>
  <c r="M60" i="4" s="1"/>
  <c r="F57" i="14"/>
  <c r="F58" i="14" s="1"/>
  <c r="H56" i="12"/>
  <c r="K60" i="4" s="1"/>
  <c r="D57" i="15"/>
  <c r="D58" i="15" s="1"/>
  <c r="E57" i="15"/>
  <c r="E59" i="15" s="1"/>
  <c r="H56" i="11"/>
  <c r="J60" i="4" s="1"/>
  <c r="G57" i="15"/>
  <c r="G59" i="15" s="1"/>
  <c r="F57" i="15"/>
  <c r="F59" i="15" s="1"/>
  <c r="H56" i="13"/>
  <c r="L60" i="4" s="1"/>
  <c r="H55" i="13"/>
  <c r="L59" i="4" s="1"/>
  <c r="E57" i="13"/>
  <c r="E59" i="13" s="1"/>
  <c r="H55" i="11"/>
  <c r="J59" i="4" s="1"/>
  <c r="G57" i="11"/>
  <c r="G59" i="11" s="1"/>
  <c r="D57" i="11"/>
  <c r="D59" i="11" s="1"/>
  <c r="F57" i="10"/>
  <c r="F59" i="10" s="1"/>
  <c r="H56" i="9"/>
  <c r="H60" i="4" s="1"/>
  <c r="E57" i="9"/>
  <c r="E58" i="9" s="1"/>
  <c r="D57" i="9"/>
  <c r="D62" i="9" s="1"/>
  <c r="F57" i="8"/>
  <c r="F59" i="8" s="1"/>
  <c r="H27" i="5"/>
  <c r="D31" i="4" s="1"/>
  <c r="E30" i="5"/>
  <c r="E29" i="5"/>
  <c r="H26" i="5"/>
  <c r="G57" i="13"/>
  <c r="G58" i="13" s="1"/>
  <c r="F57" i="13"/>
  <c r="F59" i="13" s="1"/>
  <c r="F57" i="9"/>
  <c r="F59" i="9" s="1"/>
  <c r="H56" i="5"/>
  <c r="D60" i="4" s="1"/>
  <c r="E57" i="12"/>
  <c r="E58" i="12" s="1"/>
  <c r="E57" i="8"/>
  <c r="E62" i="8" s="1"/>
  <c r="G57" i="9"/>
  <c r="G58" i="9" s="1"/>
  <c r="D57" i="13"/>
  <c r="D62" i="13" s="1"/>
  <c r="F57" i="11"/>
  <c r="F59" i="11" s="1"/>
  <c r="E57" i="14"/>
  <c r="E57" i="10"/>
  <c r="E62" i="10" s="1"/>
  <c r="E64" i="10" s="1"/>
  <c r="E57" i="6"/>
  <c r="E62" i="6" s="1"/>
  <c r="F57" i="16"/>
  <c r="F58" i="16" s="1"/>
  <c r="H54" i="5"/>
  <c r="D58" i="4" s="1"/>
  <c r="D57" i="6"/>
  <c r="D59" i="6" s="1"/>
  <c r="D57" i="8"/>
  <c r="D59" i="8" s="1"/>
  <c r="D57" i="10"/>
  <c r="D62" i="10" s="1"/>
  <c r="D57" i="12"/>
  <c r="D62" i="12" s="1"/>
  <c r="D57" i="14"/>
  <c r="D59" i="14" s="1"/>
  <c r="E57" i="11"/>
  <c r="H56" i="7"/>
  <c r="F60" i="4" s="1"/>
  <c r="H56" i="15"/>
  <c r="N60" i="4" s="1"/>
  <c r="G57" i="6"/>
  <c r="G59" i="6" s="1"/>
  <c r="H55" i="6"/>
  <c r="E59" i="4" s="1"/>
  <c r="G57" i="8"/>
  <c r="G58" i="8" s="1"/>
  <c r="H55" i="8"/>
  <c r="G59" i="4" s="1"/>
  <c r="G57" i="10"/>
  <c r="G59" i="10" s="1"/>
  <c r="H55" i="10"/>
  <c r="I59" i="4" s="1"/>
  <c r="G57" i="12"/>
  <c r="G58" i="12" s="1"/>
  <c r="H55" i="12"/>
  <c r="K59" i="4" s="1"/>
  <c r="G57" i="14"/>
  <c r="G58" i="14" s="1"/>
  <c r="H55" i="14"/>
  <c r="M59" i="4" s="1"/>
  <c r="D57" i="16"/>
  <c r="D62" i="16" s="1"/>
  <c r="G57" i="16"/>
  <c r="G59" i="16" s="1"/>
  <c r="D30" i="16"/>
  <c r="D29" i="16"/>
  <c r="H26" i="16"/>
  <c r="E30" i="16"/>
  <c r="E29" i="16"/>
  <c r="H27" i="16"/>
  <c r="C31" i="4" s="1"/>
  <c r="H25" i="16"/>
  <c r="D30" i="15"/>
  <c r="D29" i="15"/>
  <c r="H54" i="15"/>
  <c r="N58" i="4" s="1"/>
  <c r="C57" i="15"/>
  <c r="H26" i="15"/>
  <c r="E30" i="15"/>
  <c r="E29" i="15"/>
  <c r="H27" i="15"/>
  <c r="N31" i="4" s="1"/>
  <c r="H25" i="15"/>
  <c r="D30" i="14"/>
  <c r="D29" i="14"/>
  <c r="H54" i="14"/>
  <c r="M58" i="4" s="1"/>
  <c r="C57" i="14"/>
  <c r="H26" i="14"/>
  <c r="E30" i="14"/>
  <c r="E29" i="14"/>
  <c r="H27" i="14"/>
  <c r="M31" i="4" s="1"/>
  <c r="H25" i="14"/>
  <c r="D30" i="13"/>
  <c r="D29" i="13"/>
  <c r="H54" i="13"/>
  <c r="L58" i="4" s="1"/>
  <c r="C57" i="13"/>
  <c r="H26" i="13"/>
  <c r="E30" i="13"/>
  <c r="E29" i="13"/>
  <c r="H27" i="13"/>
  <c r="L31" i="4" s="1"/>
  <c r="H25" i="13"/>
  <c r="L29" i="4" s="1"/>
  <c r="D30" i="12"/>
  <c r="D29" i="12"/>
  <c r="H54" i="12"/>
  <c r="K58" i="4" s="1"/>
  <c r="C57" i="12"/>
  <c r="H26" i="12"/>
  <c r="E30" i="12"/>
  <c r="E29" i="12"/>
  <c r="H27" i="12"/>
  <c r="K31" i="4" s="1"/>
  <c r="H25" i="12"/>
  <c r="K29" i="4" s="1"/>
  <c r="D30" i="11"/>
  <c r="D29" i="11"/>
  <c r="H54" i="11"/>
  <c r="J58" i="4" s="1"/>
  <c r="C57" i="11"/>
  <c r="H26" i="11"/>
  <c r="E30" i="11"/>
  <c r="E29" i="11"/>
  <c r="H27" i="11"/>
  <c r="J31" i="4" s="1"/>
  <c r="H25" i="11"/>
  <c r="J29" i="4" s="1"/>
  <c r="D30" i="10"/>
  <c r="D29" i="10"/>
  <c r="H54" i="10"/>
  <c r="I58" i="4" s="1"/>
  <c r="C57" i="10"/>
  <c r="H26" i="10"/>
  <c r="E30" i="10"/>
  <c r="E29" i="10"/>
  <c r="H27" i="10"/>
  <c r="I31" i="4" s="1"/>
  <c r="H25" i="10"/>
  <c r="I29" i="4" s="1"/>
  <c r="D30" i="9"/>
  <c r="D29" i="9"/>
  <c r="H54" i="9"/>
  <c r="H58" i="4" s="1"/>
  <c r="C57" i="9"/>
  <c r="H26" i="9"/>
  <c r="E30" i="9"/>
  <c r="E29" i="9"/>
  <c r="H27" i="9"/>
  <c r="H31" i="4" s="1"/>
  <c r="H25" i="9"/>
  <c r="H29" i="4" s="1"/>
  <c r="D30" i="8"/>
  <c r="D29" i="8"/>
  <c r="H54" i="8"/>
  <c r="G58" i="4" s="1"/>
  <c r="C57" i="8"/>
  <c r="H26" i="8"/>
  <c r="E30" i="8"/>
  <c r="E29" i="8"/>
  <c r="H27" i="8"/>
  <c r="G31" i="4" s="1"/>
  <c r="H25" i="8"/>
  <c r="D30" i="7"/>
  <c r="D29" i="7"/>
  <c r="H54" i="7"/>
  <c r="F58" i="4" s="1"/>
  <c r="C57" i="7"/>
  <c r="H26" i="7"/>
  <c r="E30" i="7"/>
  <c r="E29" i="7"/>
  <c r="H27" i="7"/>
  <c r="F31" i="4" s="1"/>
  <c r="H25" i="7"/>
  <c r="F29" i="4" s="1"/>
  <c r="D30" i="6"/>
  <c r="D29" i="6"/>
  <c r="H54" i="6"/>
  <c r="E58" i="4" s="1"/>
  <c r="C57" i="6"/>
  <c r="H26" i="6"/>
  <c r="E30" i="6"/>
  <c r="E29" i="6"/>
  <c r="H27" i="6"/>
  <c r="E31" i="4" s="1"/>
  <c r="H25" i="6"/>
  <c r="E29" i="4" s="1"/>
  <c r="G29" i="5"/>
  <c r="G30" i="5"/>
  <c r="D29" i="5"/>
  <c r="D30" i="5"/>
  <c r="H25" i="5"/>
  <c r="D29" i="4" s="1"/>
  <c r="N30" i="4" l="1"/>
  <c r="M30" i="4"/>
  <c r="L30" i="4"/>
  <c r="K30" i="4"/>
  <c r="J30" i="4"/>
  <c r="I30" i="4"/>
  <c r="H30" i="4"/>
  <c r="G30" i="4"/>
  <c r="F30" i="4"/>
  <c r="E30" i="4"/>
  <c r="D30" i="4"/>
  <c r="C30" i="4"/>
  <c r="C29" i="4"/>
  <c r="N29" i="4"/>
  <c r="M29" i="4"/>
  <c r="G29" i="4"/>
  <c r="C57" i="16"/>
  <c r="H57" i="16" s="1"/>
  <c r="C61" i="4" s="1"/>
  <c r="H55" i="16"/>
  <c r="C59" i="4" s="1"/>
  <c r="F59" i="12"/>
  <c r="H56" i="16"/>
  <c r="C60" i="4" s="1"/>
  <c r="O60" i="4" s="1"/>
  <c r="D59" i="7"/>
  <c r="D58" i="7"/>
  <c r="D58" i="13"/>
  <c r="E59" i="7"/>
  <c r="G59" i="7"/>
  <c r="E59" i="9"/>
  <c r="G58" i="11"/>
  <c r="D59" i="15"/>
  <c r="F58" i="7"/>
  <c r="E62" i="15"/>
  <c r="E63" i="15" s="1"/>
  <c r="D62" i="15"/>
  <c r="D64" i="15" s="1"/>
  <c r="E58" i="15"/>
  <c r="G58" i="15"/>
  <c r="F58" i="6"/>
  <c r="G59" i="9"/>
  <c r="D58" i="9"/>
  <c r="F59" i="16"/>
  <c r="D59" i="13"/>
  <c r="E58" i="7"/>
  <c r="G59" i="8"/>
  <c r="D59" i="9"/>
  <c r="F58" i="11"/>
  <c r="F58" i="15"/>
  <c r="F59" i="14"/>
  <c r="O58" i="4"/>
  <c r="F58" i="13"/>
  <c r="F58" i="10"/>
  <c r="D62" i="11"/>
  <c r="D64" i="11" s="1"/>
  <c r="G59" i="13"/>
  <c r="E58" i="13"/>
  <c r="E62" i="13"/>
  <c r="E59" i="12"/>
  <c r="D58" i="11"/>
  <c r="D59" i="10"/>
  <c r="D58" i="10"/>
  <c r="F58" i="9"/>
  <c r="E62" i="9"/>
  <c r="F58" i="8"/>
  <c r="E64" i="8"/>
  <c r="E63" i="8"/>
  <c r="D62" i="6"/>
  <c r="D64" i="6" s="1"/>
  <c r="F30" i="5"/>
  <c r="F29" i="5"/>
  <c r="E63" i="6"/>
  <c r="E64" i="6"/>
  <c r="E58" i="8"/>
  <c r="E59" i="8"/>
  <c r="E63" i="10"/>
  <c r="E62" i="12"/>
  <c r="E58" i="6"/>
  <c r="E59" i="6"/>
  <c r="E58" i="10"/>
  <c r="E59" i="10"/>
  <c r="E59" i="14"/>
  <c r="E58" i="14"/>
  <c r="E62" i="14"/>
  <c r="G58" i="10"/>
  <c r="D59" i="12"/>
  <c r="G58" i="6"/>
  <c r="D58" i="8"/>
  <c r="G59" i="12"/>
  <c r="D62" i="8"/>
  <c r="D63" i="8" s="1"/>
  <c r="D58" i="12"/>
  <c r="E64" i="7"/>
  <c r="D62" i="14"/>
  <c r="D63" i="14" s="1"/>
  <c r="E62" i="16"/>
  <c r="E63" i="16" s="1"/>
  <c r="E58" i="16"/>
  <c r="G59" i="14"/>
  <c r="G58" i="16"/>
  <c r="D59" i="16"/>
  <c r="D58" i="16"/>
  <c r="D58" i="6"/>
  <c r="D58" i="14"/>
  <c r="E58" i="11"/>
  <c r="E62" i="11"/>
  <c r="E59" i="11"/>
  <c r="D64" i="16"/>
  <c r="D63" i="16"/>
  <c r="C29" i="16"/>
  <c r="H28" i="16"/>
  <c r="C32" i="4" s="1"/>
  <c r="C30" i="16"/>
  <c r="F29" i="16"/>
  <c r="F30" i="16"/>
  <c r="F62" i="16"/>
  <c r="G29" i="16"/>
  <c r="G30" i="16"/>
  <c r="G62" i="16"/>
  <c r="C62" i="15"/>
  <c r="C58" i="15"/>
  <c r="H57" i="15"/>
  <c r="N61" i="4" s="1"/>
  <c r="C59" i="15"/>
  <c r="C29" i="15"/>
  <c r="H28" i="15"/>
  <c r="N32" i="4" s="1"/>
  <c r="C30" i="15"/>
  <c r="F29" i="15"/>
  <c r="F30" i="15"/>
  <c r="F62" i="15"/>
  <c r="G29" i="15"/>
  <c r="G30" i="15"/>
  <c r="G62" i="15"/>
  <c r="C62" i="14"/>
  <c r="C58" i="14"/>
  <c r="H57" i="14"/>
  <c r="M61" i="4" s="1"/>
  <c r="C59" i="14"/>
  <c r="C29" i="14"/>
  <c r="H28" i="14"/>
  <c r="M32" i="4" s="1"/>
  <c r="C30" i="14"/>
  <c r="F29" i="14"/>
  <c r="F30" i="14"/>
  <c r="F62" i="14"/>
  <c r="G29" i="14"/>
  <c r="G30" i="14"/>
  <c r="G62" i="14"/>
  <c r="C62" i="13"/>
  <c r="C58" i="13"/>
  <c r="H57" i="13"/>
  <c r="L61" i="4" s="1"/>
  <c r="C59" i="13"/>
  <c r="D64" i="13"/>
  <c r="D63" i="13"/>
  <c r="C29" i="13"/>
  <c r="H28" i="13"/>
  <c r="L32" i="4" s="1"/>
  <c r="C30" i="13"/>
  <c r="F29" i="13"/>
  <c r="F30" i="13"/>
  <c r="F62" i="13"/>
  <c r="G29" i="13"/>
  <c r="G30" i="13"/>
  <c r="G62" i="13"/>
  <c r="C62" i="12"/>
  <c r="C58" i="12"/>
  <c r="H57" i="12"/>
  <c r="K61" i="4" s="1"/>
  <c r="C59" i="12"/>
  <c r="D64" i="12"/>
  <c r="D63" i="12"/>
  <c r="C29" i="12"/>
  <c r="H28" i="12"/>
  <c r="K32" i="4" s="1"/>
  <c r="C30" i="12"/>
  <c r="F29" i="12"/>
  <c r="F30" i="12"/>
  <c r="F62" i="12"/>
  <c r="G29" i="12"/>
  <c r="G30" i="12"/>
  <c r="G62" i="12"/>
  <c r="C62" i="11"/>
  <c r="C58" i="11"/>
  <c r="H57" i="11"/>
  <c r="J61" i="4" s="1"/>
  <c r="C59" i="11"/>
  <c r="C29" i="11"/>
  <c r="H28" i="11"/>
  <c r="J32" i="4" s="1"/>
  <c r="C30" i="11"/>
  <c r="F29" i="11"/>
  <c r="F30" i="11"/>
  <c r="F62" i="11"/>
  <c r="G29" i="11"/>
  <c r="G30" i="11"/>
  <c r="G62" i="11"/>
  <c r="C62" i="10"/>
  <c r="C58" i="10"/>
  <c r="H57" i="10"/>
  <c r="I61" i="4" s="1"/>
  <c r="C59" i="10"/>
  <c r="D64" i="10"/>
  <c r="D63" i="10"/>
  <c r="C29" i="10"/>
  <c r="H28" i="10"/>
  <c r="I32" i="4" s="1"/>
  <c r="C30" i="10"/>
  <c r="F29" i="10"/>
  <c r="F30" i="10"/>
  <c r="F62" i="10"/>
  <c r="G29" i="10"/>
  <c r="G30" i="10"/>
  <c r="G62" i="10"/>
  <c r="C62" i="9"/>
  <c r="C58" i="9"/>
  <c r="H57" i="9"/>
  <c r="H61" i="4" s="1"/>
  <c r="C59" i="9"/>
  <c r="D64" i="9"/>
  <c r="D63" i="9"/>
  <c r="C29" i="9"/>
  <c r="H28" i="9"/>
  <c r="H32" i="4" s="1"/>
  <c r="C30" i="9"/>
  <c r="F29" i="9"/>
  <c r="F30" i="9"/>
  <c r="F62" i="9"/>
  <c r="G29" i="9"/>
  <c r="G30" i="9"/>
  <c r="G62" i="9"/>
  <c r="C62" i="8"/>
  <c r="C58" i="8"/>
  <c r="H57" i="8"/>
  <c r="G61" i="4" s="1"/>
  <c r="C59" i="8"/>
  <c r="C29" i="8"/>
  <c r="H28" i="8"/>
  <c r="G32" i="4" s="1"/>
  <c r="C30" i="8"/>
  <c r="F29" i="8"/>
  <c r="F30" i="8"/>
  <c r="F62" i="8"/>
  <c r="G29" i="8"/>
  <c r="G30" i="8"/>
  <c r="G62" i="8"/>
  <c r="C62" i="7"/>
  <c r="C58" i="7"/>
  <c r="H57" i="7"/>
  <c r="F61" i="4" s="1"/>
  <c r="C59" i="7"/>
  <c r="D64" i="7"/>
  <c r="D63" i="7"/>
  <c r="C29" i="7"/>
  <c r="H28" i="7"/>
  <c r="F32" i="4" s="1"/>
  <c r="C30" i="7"/>
  <c r="F29" i="7"/>
  <c r="F30" i="7"/>
  <c r="F62" i="7"/>
  <c r="G29" i="7"/>
  <c r="G30" i="7"/>
  <c r="G62" i="7"/>
  <c r="C62" i="6"/>
  <c r="C58" i="6"/>
  <c r="H57" i="6"/>
  <c r="E61" i="4" s="1"/>
  <c r="C59" i="6"/>
  <c r="H59" i="6" s="1"/>
  <c r="E63" i="4" s="1"/>
  <c r="C29" i="6"/>
  <c r="H28" i="6"/>
  <c r="E32" i="4" s="1"/>
  <c r="C30" i="6"/>
  <c r="F29" i="6"/>
  <c r="F30" i="6"/>
  <c r="F62" i="6"/>
  <c r="G29" i="6"/>
  <c r="G30" i="6"/>
  <c r="G62" i="6"/>
  <c r="C29" i="5"/>
  <c r="H28" i="5"/>
  <c r="D32" i="4" s="1"/>
  <c r="C30" i="5"/>
  <c r="C59" i="16" l="1"/>
  <c r="C58" i="16"/>
  <c r="H58" i="16" s="1"/>
  <c r="C62" i="4" s="1"/>
  <c r="C62" i="16"/>
  <c r="H62" i="16" s="1"/>
  <c r="C66" i="4" s="1"/>
  <c r="H59" i="7"/>
  <c r="F63" i="4" s="1"/>
  <c r="H58" i="9"/>
  <c r="H62" i="4" s="1"/>
  <c r="H59" i="15"/>
  <c r="N63" i="4" s="1"/>
  <c r="H58" i="7"/>
  <c r="F62" i="4" s="1"/>
  <c r="E64" i="16"/>
  <c r="D63" i="15"/>
  <c r="D63" i="11"/>
  <c r="E64" i="15"/>
  <c r="H29" i="5"/>
  <c r="D33" i="4" s="1"/>
  <c r="H59" i="9"/>
  <c r="H63" i="4" s="1"/>
  <c r="H58" i="13"/>
  <c r="L62" i="4" s="1"/>
  <c r="H58" i="15"/>
  <c r="N62" i="4" s="1"/>
  <c r="D64" i="8"/>
  <c r="H58" i="12"/>
  <c r="K62" i="4" s="1"/>
  <c r="H59" i="14"/>
  <c r="M63" i="4" s="1"/>
  <c r="H59" i="13"/>
  <c r="L63" i="4" s="1"/>
  <c r="H29" i="15"/>
  <c r="N33" i="4" s="1"/>
  <c r="H29" i="14"/>
  <c r="M33" i="4" s="1"/>
  <c r="E64" i="13"/>
  <c r="E63" i="13"/>
  <c r="H29" i="12"/>
  <c r="K33" i="4" s="1"/>
  <c r="H59" i="11"/>
  <c r="J63" i="4" s="1"/>
  <c r="H29" i="11"/>
  <c r="J33" i="4" s="1"/>
  <c r="H58" i="10"/>
  <c r="I62" i="4" s="1"/>
  <c r="H59" i="10"/>
  <c r="I63" i="4" s="1"/>
  <c r="E64" i="9"/>
  <c r="E63" i="9"/>
  <c r="O32" i="4"/>
  <c r="D63" i="6"/>
  <c r="H59" i="8"/>
  <c r="G63" i="4" s="1"/>
  <c r="H58" i="6"/>
  <c r="E62" i="4" s="1"/>
  <c r="H29" i="6"/>
  <c r="E33" i="4" s="1"/>
  <c r="H30" i="5"/>
  <c r="D34" i="4" s="1"/>
  <c r="E64" i="12"/>
  <c r="E63" i="12"/>
  <c r="D64" i="14"/>
  <c r="E64" i="14"/>
  <c r="E63" i="14"/>
  <c r="H58" i="14"/>
  <c r="M62" i="4" s="1"/>
  <c r="H29" i="10"/>
  <c r="I33" i="4" s="1"/>
  <c r="H29" i="9"/>
  <c r="H33" i="4" s="1"/>
  <c r="H29" i="13"/>
  <c r="L33" i="4" s="1"/>
  <c r="H29" i="8"/>
  <c r="G33" i="4" s="1"/>
  <c r="H58" i="8"/>
  <c r="G62" i="4" s="1"/>
  <c r="H29" i="7"/>
  <c r="F33" i="4" s="1"/>
  <c r="H59" i="12"/>
  <c r="K63" i="4" s="1"/>
  <c r="H58" i="11"/>
  <c r="J62" i="4" s="1"/>
  <c r="H59" i="16"/>
  <c r="C63" i="4" s="1"/>
  <c r="E64" i="11"/>
  <c r="E63" i="11"/>
  <c r="H29" i="16"/>
  <c r="C33" i="4" s="1"/>
  <c r="F63" i="16"/>
  <c r="F64" i="16"/>
  <c r="G64" i="16"/>
  <c r="G63" i="16"/>
  <c r="H30" i="16"/>
  <c r="C34" i="4" s="1"/>
  <c r="F63" i="15"/>
  <c r="F64" i="15"/>
  <c r="G64" i="15"/>
  <c r="G63" i="15"/>
  <c r="H30" i="15"/>
  <c r="N34" i="4" s="1"/>
  <c r="H62" i="15"/>
  <c r="N66" i="4" s="1"/>
  <c r="C64" i="15"/>
  <c r="C63" i="15"/>
  <c r="F63" i="14"/>
  <c r="F64" i="14"/>
  <c r="G64" i="14"/>
  <c r="G63" i="14"/>
  <c r="H30" i="14"/>
  <c r="M34" i="4" s="1"/>
  <c r="H62" i="14"/>
  <c r="M66" i="4" s="1"/>
  <c r="C64" i="14"/>
  <c r="C63" i="14"/>
  <c r="F63" i="13"/>
  <c r="F64" i="13"/>
  <c r="G64" i="13"/>
  <c r="G63" i="13"/>
  <c r="H30" i="13"/>
  <c r="L34" i="4" s="1"/>
  <c r="H62" i="13"/>
  <c r="L66" i="4" s="1"/>
  <c r="C64" i="13"/>
  <c r="C63" i="13"/>
  <c r="F63" i="12"/>
  <c r="F64" i="12"/>
  <c r="G64" i="12"/>
  <c r="G63" i="12"/>
  <c r="H30" i="12"/>
  <c r="K34" i="4" s="1"/>
  <c r="H62" i="12"/>
  <c r="K66" i="4" s="1"/>
  <c r="C64" i="12"/>
  <c r="C63" i="12"/>
  <c r="F63" i="11"/>
  <c r="F64" i="11"/>
  <c r="G64" i="11"/>
  <c r="G63" i="11"/>
  <c r="H30" i="11"/>
  <c r="J34" i="4" s="1"/>
  <c r="H62" i="11"/>
  <c r="J66" i="4" s="1"/>
  <c r="C64" i="11"/>
  <c r="C63" i="11"/>
  <c r="F63" i="10"/>
  <c r="F64" i="10"/>
  <c r="G64" i="10"/>
  <c r="G63" i="10"/>
  <c r="H30" i="10"/>
  <c r="I34" i="4" s="1"/>
  <c r="H62" i="10"/>
  <c r="I66" i="4" s="1"/>
  <c r="C64" i="10"/>
  <c r="C63" i="10"/>
  <c r="F63" i="9"/>
  <c r="F64" i="9"/>
  <c r="G64" i="9"/>
  <c r="G63" i="9"/>
  <c r="H30" i="9"/>
  <c r="H34" i="4" s="1"/>
  <c r="H62" i="9"/>
  <c r="H66" i="4" s="1"/>
  <c r="C64" i="9"/>
  <c r="C63" i="9"/>
  <c r="F63" i="8"/>
  <c r="F64" i="8"/>
  <c r="G64" i="8"/>
  <c r="G63" i="8"/>
  <c r="H30" i="8"/>
  <c r="G34" i="4" s="1"/>
  <c r="H62" i="8"/>
  <c r="G66" i="4" s="1"/>
  <c r="C64" i="8"/>
  <c r="C63" i="8"/>
  <c r="F63" i="7"/>
  <c r="F64" i="7"/>
  <c r="G64" i="7"/>
  <c r="G63" i="7"/>
  <c r="H30" i="7"/>
  <c r="F34" i="4" s="1"/>
  <c r="H62" i="7"/>
  <c r="F66" i="4" s="1"/>
  <c r="C64" i="7"/>
  <c r="C63" i="7"/>
  <c r="F63" i="6"/>
  <c r="F64" i="6"/>
  <c r="G64" i="6"/>
  <c r="G63" i="6"/>
  <c r="H30" i="6"/>
  <c r="E34" i="4" s="1"/>
  <c r="H62" i="6"/>
  <c r="E66" i="4" s="1"/>
  <c r="C64" i="6"/>
  <c r="C63" i="6"/>
  <c r="C64" i="16" l="1"/>
  <c r="H64" i="16" s="1"/>
  <c r="C68" i="4" s="1"/>
  <c r="C63" i="16"/>
  <c r="H63" i="16" s="1"/>
  <c r="C67" i="4" s="1"/>
  <c r="H64" i="8"/>
  <c r="G68" i="4" s="1"/>
  <c r="O33" i="4"/>
  <c r="O34" i="4"/>
  <c r="H64" i="9"/>
  <c r="H68" i="4" s="1"/>
  <c r="H64" i="10"/>
  <c r="I68" i="4" s="1"/>
  <c r="H64" i="11"/>
  <c r="J68" i="4" s="1"/>
  <c r="H64" i="12"/>
  <c r="K68" i="4" s="1"/>
  <c r="H64" i="6"/>
  <c r="E68" i="4" s="1"/>
  <c r="H64" i="7"/>
  <c r="F68" i="4" s="1"/>
  <c r="H64" i="13"/>
  <c r="L68" i="4" s="1"/>
  <c r="H64" i="14"/>
  <c r="M68" i="4" s="1"/>
  <c r="H64" i="15"/>
  <c r="N68" i="4" s="1"/>
  <c r="H63" i="6"/>
  <c r="E67" i="4" s="1"/>
  <c r="H63" i="7"/>
  <c r="F67" i="4" s="1"/>
  <c r="H63" i="8"/>
  <c r="G67" i="4" s="1"/>
  <c r="H63" i="9"/>
  <c r="H67" i="4" s="1"/>
  <c r="H63" i="10"/>
  <c r="I67" i="4" s="1"/>
  <c r="H63" i="11"/>
  <c r="J67" i="4" s="1"/>
  <c r="H63" i="12"/>
  <c r="K67" i="4" s="1"/>
  <c r="H63" i="13"/>
  <c r="L67" i="4" s="1"/>
  <c r="H63" i="14"/>
  <c r="M67" i="4" s="1"/>
  <c r="H63" i="15"/>
  <c r="N67" i="4" s="1"/>
  <c r="C44" i="5" l="1"/>
  <c r="E55" i="5" l="1"/>
  <c r="D48" i="4"/>
  <c r="G55" i="5"/>
  <c r="G57" i="5" s="1"/>
  <c r="F55" i="5"/>
  <c r="F57" i="5" s="1"/>
  <c r="D55" i="5"/>
  <c r="D57" i="5" s="1"/>
  <c r="C55" i="5"/>
  <c r="C57" i="5" s="1"/>
  <c r="E57" i="5" l="1"/>
  <c r="E62" i="5" s="1"/>
  <c r="E64" i="5" s="1"/>
  <c r="H55" i="5"/>
  <c r="D59" i="4" s="1"/>
  <c r="O59" i="4" s="1"/>
  <c r="G58" i="5"/>
  <c r="G62" i="5"/>
  <c r="G59" i="5"/>
  <c r="D59" i="5"/>
  <c r="D58" i="5"/>
  <c r="D62" i="5"/>
  <c r="F59" i="5"/>
  <c r="F62" i="5"/>
  <c r="F58" i="5"/>
  <c r="E58" i="5" l="1"/>
  <c r="E59" i="5"/>
  <c r="E63" i="5"/>
  <c r="F63" i="5"/>
  <c r="F64" i="5"/>
  <c r="C59" i="5"/>
  <c r="C62" i="5"/>
  <c r="C58" i="5"/>
  <c r="H57" i="5"/>
  <c r="D61" i="4" s="1"/>
  <c r="O61" i="4" s="1"/>
  <c r="D64" i="5"/>
  <c r="D63" i="5"/>
  <c r="G63" i="5"/>
  <c r="G64" i="5"/>
  <c r="H59" i="5" l="1"/>
  <c r="D63" i="4" s="1"/>
  <c r="O63" i="4" s="1"/>
  <c r="H58" i="5"/>
  <c r="D62" i="4" s="1"/>
  <c r="O62" i="4" s="1"/>
  <c r="H62" i="5"/>
  <c r="D66" i="4" s="1"/>
  <c r="O66" i="4" s="1"/>
  <c r="C64" i="5"/>
  <c r="H64" i="5" s="1"/>
  <c r="D68" i="4" s="1"/>
  <c r="O68" i="4" s="1"/>
  <c r="C63" i="5"/>
  <c r="H63" i="5" s="1"/>
  <c r="D67" i="4" s="1"/>
  <c r="O67" i="4" s="1"/>
</calcChain>
</file>

<file path=xl/sharedStrings.xml><?xml version="1.0" encoding="utf-8"?>
<sst xmlns="http://schemas.openxmlformats.org/spreadsheetml/2006/main" count="1436" uniqueCount="139">
  <si>
    <t>In summary, the true-up is the difference between the initial settlement based on estimates and the final recalculated settlement based on actual billings with monthly prorated consumption.</t>
  </si>
  <si>
    <t xml:space="preserve">The initial settlement is calculated by taking the wholesale kWh and apply an average percentage to calculate the RPP volume and an average Spot price. Then the Second estimate GA rate is applied to this volume to determine the GA credit. </t>
  </si>
  <si>
    <t>Average Spot price (CT 101 / kWh)</t>
  </si>
  <si>
    <t>Estimated, as initially submitted:</t>
  </si>
  <si>
    <t xml:space="preserve">Off Peak </t>
  </si>
  <si>
    <t>Mid Peak</t>
  </si>
  <si>
    <t>On Peak</t>
  </si>
  <si>
    <t>Two months later the settlement for the month is recalculated with data using the actual billed energy. To get the data we run numerous queries to get the summary of kWh and $ amounts from the SAP billing system to perform the comparison.</t>
  </si>
  <si>
    <t xml:space="preserve">The queries provide for total kWh and $ amount for each rate class prorated for the applicable months within each billing cycle. The query output includes the settlement month, Rate Category for each billing class, total number of accounts billed, total kWhs and total $ Amount for each RPP TOU and Tier buckets. </t>
  </si>
  <si>
    <t>The RPP kWh volume for each TOU and Tier buckets and applicable $ amounts are taken directly from the SAP query results and entered into the table below.
The GA credit is recalculated using the Final GA Rate.</t>
  </si>
  <si>
    <t xml:space="preserve">Month of: </t>
  </si>
  <si>
    <t>Off-Peak Estimate (kWh)</t>
  </si>
  <si>
    <t>Tier 1 Estimate (kWh)</t>
  </si>
  <si>
    <t>Tier 2 Estimate (kWh)</t>
  </si>
  <si>
    <t>Wholesale Class B (kWh)</t>
  </si>
  <si>
    <t>Mid-Peak Estimate (kWh)</t>
  </si>
  <si>
    <t>On-Peak Estimate (kWh)</t>
  </si>
  <si>
    <t>kWhs</t>
  </si>
  <si>
    <t>% of total</t>
  </si>
  <si>
    <t>Tier 1</t>
  </si>
  <si>
    <t>Tier 2</t>
  </si>
  <si>
    <t>RPP Price</t>
  </si>
  <si>
    <t>KWH % by RPP Block</t>
  </si>
  <si>
    <t>Payments TO IESO</t>
  </si>
  <si>
    <t>Payments FROM IESO</t>
  </si>
  <si>
    <t>Variance - (receivable) / payable</t>
  </si>
  <si>
    <t>CT 101</t>
  </si>
  <si>
    <t>FA</t>
  </si>
  <si>
    <r>
      <t>FB</t>
    </r>
    <r>
      <rPr>
        <vertAlign val="superscript"/>
        <sz val="11"/>
        <color theme="1"/>
        <rFont val="Calibri"/>
        <family val="2"/>
      </rPr>
      <t>1</t>
    </r>
  </si>
  <si>
    <r>
      <t>FB</t>
    </r>
    <r>
      <rPr>
        <vertAlign val="superscript"/>
        <sz val="11"/>
        <color theme="1"/>
        <rFont val="Calibri"/>
        <family val="2"/>
      </rPr>
      <t>2</t>
    </r>
  </si>
  <si>
    <r>
      <t>FB</t>
    </r>
    <r>
      <rPr>
        <vertAlign val="superscript"/>
        <sz val="11"/>
        <color theme="1"/>
        <rFont val="Calibri"/>
        <family val="2"/>
      </rPr>
      <t>3</t>
    </r>
  </si>
  <si>
    <r>
      <t>FB</t>
    </r>
    <r>
      <rPr>
        <vertAlign val="superscript"/>
        <sz val="11"/>
        <color theme="1"/>
        <rFont val="Calibri"/>
        <family val="2"/>
      </rPr>
      <t>4</t>
    </r>
  </si>
  <si>
    <r>
      <t>FB</t>
    </r>
    <r>
      <rPr>
        <vertAlign val="superscript"/>
        <sz val="11"/>
        <color theme="1"/>
        <rFont val="Calibri"/>
        <family val="2"/>
      </rPr>
      <t>5</t>
    </r>
  </si>
  <si>
    <t>FB</t>
  </si>
  <si>
    <t>FC</t>
  </si>
  <si>
    <r>
      <t>FC</t>
    </r>
    <r>
      <rPr>
        <vertAlign val="superscript"/>
        <sz val="11"/>
        <color theme="1"/>
        <rFont val="Calibri"/>
        <family val="2"/>
      </rPr>
      <t>1</t>
    </r>
  </si>
  <si>
    <r>
      <t>FD</t>
    </r>
    <r>
      <rPr>
        <vertAlign val="superscript"/>
        <sz val="11"/>
        <color theme="1"/>
        <rFont val="Calibri"/>
        <family val="2"/>
      </rPr>
      <t>1</t>
    </r>
  </si>
  <si>
    <t>FD</t>
  </si>
  <si>
    <t>GA Final Rate (MWh)</t>
  </si>
  <si>
    <t>GA Final Rate (kWh)</t>
  </si>
  <si>
    <t>ESTIMATED USAGE SUBMISSION (4TH DAY OF THE MONTH)</t>
  </si>
  <si>
    <t>FINAL SUBMISSION (TRUE-UP)</t>
  </si>
  <si>
    <t>Reconciliation (True-Up)</t>
  </si>
  <si>
    <t>FE</t>
  </si>
  <si>
    <t>FF</t>
  </si>
  <si>
    <t>FG</t>
  </si>
  <si>
    <t>FH=FG*FE</t>
  </si>
  <si>
    <t>FI=FG*FC</t>
  </si>
  <si>
    <t>FJ=FG*FD</t>
  </si>
  <si>
    <t>FH-FI-FJ</t>
  </si>
  <si>
    <t>FK</t>
  </si>
  <si>
    <t>FL</t>
  </si>
  <si>
    <t>EA</t>
  </si>
  <si>
    <r>
      <t>EB</t>
    </r>
    <r>
      <rPr>
        <vertAlign val="superscript"/>
        <sz val="11"/>
        <color theme="1"/>
        <rFont val="Calibri"/>
        <family val="2"/>
      </rPr>
      <t>1</t>
    </r>
  </si>
  <si>
    <r>
      <t>EB</t>
    </r>
    <r>
      <rPr>
        <vertAlign val="superscript"/>
        <sz val="11"/>
        <color theme="1"/>
        <rFont val="Calibri"/>
        <family val="2"/>
      </rPr>
      <t>2</t>
    </r>
  </si>
  <si>
    <r>
      <t>EB</t>
    </r>
    <r>
      <rPr>
        <vertAlign val="superscript"/>
        <sz val="11"/>
        <color theme="1"/>
        <rFont val="Calibri"/>
        <family val="2"/>
      </rPr>
      <t>3</t>
    </r>
  </si>
  <si>
    <r>
      <t>EB</t>
    </r>
    <r>
      <rPr>
        <vertAlign val="superscript"/>
        <sz val="11"/>
        <color theme="1"/>
        <rFont val="Calibri"/>
        <family val="2"/>
      </rPr>
      <t>4</t>
    </r>
  </si>
  <si>
    <r>
      <t>EB</t>
    </r>
    <r>
      <rPr>
        <vertAlign val="superscript"/>
        <sz val="11"/>
        <color theme="1"/>
        <rFont val="Calibri"/>
        <family val="2"/>
      </rPr>
      <t>5</t>
    </r>
  </si>
  <si>
    <t>EB</t>
  </si>
  <si>
    <t>EC</t>
  </si>
  <si>
    <r>
      <t>ED</t>
    </r>
    <r>
      <rPr>
        <vertAlign val="superscript"/>
        <sz val="11"/>
        <color theme="1"/>
        <rFont val="Calibri"/>
        <family val="2"/>
      </rPr>
      <t>1</t>
    </r>
  </si>
  <si>
    <t>ED</t>
  </si>
  <si>
    <t>EE</t>
  </si>
  <si>
    <t>EF</t>
  </si>
  <si>
    <t>EG</t>
  </si>
  <si>
    <t>EH=EG*EE</t>
  </si>
  <si>
    <t>EI=EG*EC</t>
  </si>
  <si>
    <t>EJ=EG*ED</t>
  </si>
  <si>
    <t>EH-EI-EJ</t>
  </si>
  <si>
    <t>EK</t>
  </si>
  <si>
    <t>EL</t>
  </si>
  <si>
    <t>Total</t>
  </si>
  <si>
    <t>RK</t>
  </si>
  <si>
    <t>RL</t>
  </si>
  <si>
    <t>January</t>
  </si>
  <si>
    <t>February</t>
  </si>
  <si>
    <t>March</t>
  </si>
  <si>
    <t>April</t>
  </si>
  <si>
    <t>May</t>
  </si>
  <si>
    <t>June</t>
  </si>
  <si>
    <t>July</t>
  </si>
  <si>
    <t>August</t>
  </si>
  <si>
    <t>September</t>
  </si>
  <si>
    <t>October</t>
  </si>
  <si>
    <t>November</t>
  </si>
  <si>
    <t>December</t>
  </si>
  <si>
    <t>TOTAL</t>
  </si>
  <si>
    <t>CT 101 (kWh)</t>
  </si>
  <si>
    <t>Total IESO Consumption</t>
  </si>
  <si>
    <t>Class A</t>
  </si>
  <si>
    <t>TOU</t>
  </si>
  <si>
    <t>TIER</t>
  </si>
  <si>
    <t>NSLS</t>
  </si>
  <si>
    <t>HOEP</t>
  </si>
  <si>
    <t>Total Mike J with Losses</t>
  </si>
  <si>
    <t>TOTAL of Mike J with Losses</t>
  </si>
  <si>
    <t>Variance</t>
  </si>
  <si>
    <t>WMP</t>
  </si>
  <si>
    <t>2016 RPP SETTLEMENT TRUE UP CALCULATION</t>
  </si>
  <si>
    <t>GA 1st Estimate Rate (MWh)</t>
  </si>
  <si>
    <t>GA 1st Estimate Rate (kWh)</t>
  </si>
  <si>
    <t>Average Spot price (NSLS)</t>
  </si>
  <si>
    <t>kWs</t>
  </si>
  <si>
    <t>Units Billed - kWh</t>
  </si>
  <si>
    <t>Rate</t>
  </si>
  <si>
    <t>Jan</t>
  </si>
  <si>
    <t>Feb</t>
  </si>
  <si>
    <t>Mar</t>
  </si>
  <si>
    <t>Apr</t>
  </si>
  <si>
    <t>Jun</t>
  </si>
  <si>
    <t>Jul</t>
  </si>
  <si>
    <t>Aug</t>
  </si>
  <si>
    <t>Sep</t>
  </si>
  <si>
    <t>Oct</t>
  </si>
  <si>
    <t>Nov</t>
  </si>
  <si>
    <t>Dec</t>
  </si>
  <si>
    <t>RPP Estimate kWh</t>
  </si>
  <si>
    <t>Estimated kWhs by RPP Block</t>
  </si>
  <si>
    <t>Estimated Billing @ RPP Price</t>
  </si>
  <si>
    <t>Estimated COP Cost @ NSLS</t>
  </si>
  <si>
    <t>Estimated GA Cost @ GA 1st Estimate</t>
  </si>
  <si>
    <t>Estimated Variance - (receivable) / payable</t>
  </si>
  <si>
    <t>Estimated Payments TO IESO</t>
  </si>
  <si>
    <t>Estimated Payments FROM IESO</t>
  </si>
  <si>
    <t>Tier 1 Actual (kWh)</t>
  </si>
  <si>
    <t>Tier 2 Actual (kWh)</t>
  </si>
  <si>
    <t>Off-Peak Actual (kWh)</t>
  </si>
  <si>
    <t>Mid-Peak Actual (kWh)</t>
  </si>
  <si>
    <t>On-Peak Actual (kWh)</t>
  </si>
  <si>
    <t>RPP Actual kWh</t>
  </si>
  <si>
    <t>Actual kWhs by RPP Block</t>
  </si>
  <si>
    <t>Actual Billing @ RPP Price</t>
  </si>
  <si>
    <t>Actual COP Cost @ Actual SPOT Price</t>
  </si>
  <si>
    <t>Actual GA Cost @ GA Final Rate</t>
  </si>
  <si>
    <t>True-up Variance - (receivable) / payable</t>
  </si>
  <si>
    <t>True-up Payments TO IESO</t>
  </si>
  <si>
    <t>True-up Payments FROM IESO</t>
  </si>
  <si>
    <t>Actual Full month calculations</t>
  </si>
  <si>
    <t>Total kWh from Query</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</si>
</sst>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quot;$&quot;* #,##0.00_-;_-&quot;$&quot;* &quot;-&quot;??_-;_-@_-"/>
    <numFmt numFmtId="43" formatCode="_-* #,##0.00_-;\-* #,##0.00_-;_-* &quot;-&quot;??_-;_-@_-"/>
    <numFmt numFmtId="164" formatCode="_(* #,##0_);_(* \(#,##0\);_(* &quot;-&quot;??_);_(@_)"/>
    <numFmt numFmtId="165" formatCode="_(&quot;$&quot;* #,##0_);_(&quot;$&quot;* \(#,##0\);_(&quot;$&quot;* &quot;-&quot;??_);_(@_)"/>
    <numFmt numFmtId="166" formatCode="_-* #,##0_-;\-* #,##0_-;_-* &quot;-&quot;??_-;_-@_-"/>
    <numFmt numFmtId="167" formatCode="_-* #,##0.0000_-;\-* #,##0.0000_-;_-* &quot;-&quot;??_-;_-@_-"/>
    <numFmt numFmtId="168" formatCode="_-&quot;$&quot;* #,##0.000_-;\-&quot;$&quot;* #,##0.000_-;_-&quot;$&quot;* &quot;-&quot;??_-;_-@_-"/>
    <numFmt numFmtId="169" formatCode="0.0%"/>
    <numFmt numFmtId="170" formatCode="_-* #,##0.00000_-;\-* #,##0.00000_-;_-* &quot;-&quot;??_-;_-@_-"/>
    <numFmt numFmtId="171" formatCode="_(* #,##0.00_);_(* \(#,##0.00\);_(* &quot;-&quot;??_);_(@_)"/>
    <numFmt numFmtId="172" formatCode="_(&quot;$&quot;* #,##0.00_);_(&quot;$&quot;* \(#,##0.00\);_(&quot;$&quot;* &quot;-&quot;??_);_(@_)"/>
    <numFmt numFmtId="173" formatCode="_(* #,##0.000000_);_(* \(#,##0.000000\);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vertAlign val="superscript"/>
      <sz val="11"/>
      <color theme="1"/>
      <name val="Calibri"/>
      <family val="2"/>
    </font>
    <font>
      <u/>
      <sz val="11"/>
      <color theme="10"/>
      <name val="Calibri"/>
      <family val="2"/>
      <scheme val="minor"/>
    </font>
    <font>
      <b/>
      <sz val="11"/>
      <color rgb="FF0070C0"/>
      <name val="Calibri"/>
      <family val="2"/>
      <scheme val="minor"/>
    </font>
    <font>
      <b/>
      <sz val="11"/>
      <color rgb="FFFF0000"/>
      <name val="Calibri"/>
      <family val="2"/>
      <scheme val="minor"/>
    </font>
    <font>
      <b/>
      <sz val="14"/>
      <color theme="1"/>
      <name val="Calibri"/>
      <family val="2"/>
      <scheme val="minor"/>
    </font>
    <font>
      <b/>
      <sz val="11"/>
      <color rgb="FF7030A0"/>
      <name val="Calibri"/>
      <family val="2"/>
      <scheme val="minor"/>
    </font>
    <font>
      <sz val="11"/>
      <name val="Calibri"/>
      <family val="2"/>
      <scheme val="minor"/>
    </font>
    <font>
      <sz val="10"/>
      <name val="Arial"/>
      <family val="2"/>
    </font>
    <font>
      <sz val="10"/>
      <name val="Arial"/>
      <family val="2"/>
    </font>
    <font>
      <u/>
      <sz val="10"/>
      <color indexed="12"/>
      <name val="Arial"/>
      <family val="2"/>
    </font>
    <font>
      <b/>
      <sz val="11"/>
      <color theme="1"/>
      <name val="Calibri"/>
      <family val="2"/>
    </font>
    <font>
      <sz val="11"/>
      <name val="Calibri"/>
      <family val="2"/>
    </font>
    <font>
      <b/>
      <sz val="11"/>
      <name val="Calibri"/>
      <family val="2"/>
    </font>
    <font>
      <b/>
      <sz val="11"/>
      <color rgb="FF0070C0"/>
      <name val="Calibri"/>
      <family val="2"/>
    </font>
  </fonts>
  <fills count="15">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92D050"/>
        <bgColor indexed="64"/>
      </patternFill>
    </fill>
  </fills>
  <borders count="32">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10" fillId="0" borderId="0"/>
    <xf numFmtId="171" fontId="11" fillId="0" borderId="0" applyFont="0" applyFill="0" applyBorder="0" applyAlignment="0" applyProtection="0"/>
    <xf numFmtId="172" fontId="11" fillId="0" borderId="0" applyFont="0" applyFill="0" applyBorder="0" applyAlignment="0" applyProtection="0"/>
    <xf numFmtId="0" fontId="12" fillId="0" borderId="0" applyNumberFormat="0" applyFill="0" applyBorder="0" applyAlignment="0" applyProtection="0">
      <alignment vertical="top"/>
      <protection locked="0"/>
    </xf>
    <xf numFmtId="9" fontId="11" fillId="0" borderId="0" applyFont="0" applyFill="0" applyBorder="0" applyAlignment="0" applyProtection="0"/>
    <xf numFmtId="0" fontId="1" fillId="0" borderId="0"/>
  </cellStyleXfs>
  <cellXfs count="240">
    <xf numFmtId="0" fontId="0" fillId="0" borderId="0" xfId="0"/>
    <xf numFmtId="0" fontId="0" fillId="0" borderId="0" xfId="0" applyAlignment="1"/>
    <xf numFmtId="0" fontId="2" fillId="0" borderId="0" xfId="0" applyFont="1"/>
    <xf numFmtId="0" fontId="0" fillId="0" borderId="0" xfId="0" applyFill="1" applyBorder="1"/>
    <xf numFmtId="0" fontId="0" fillId="0" borderId="0" xfId="0" applyFill="1"/>
    <xf numFmtId="0" fontId="0" fillId="0" borderId="4" xfId="0" applyBorder="1"/>
    <xf numFmtId="0" fontId="0" fillId="0" borderId="7" xfId="0" applyBorder="1"/>
    <xf numFmtId="0" fontId="0" fillId="0" borderId="8" xfId="0" applyBorder="1"/>
    <xf numFmtId="0" fontId="0" fillId="0" borderId="9" xfId="0" applyFill="1" applyBorder="1"/>
    <xf numFmtId="0" fontId="0" fillId="0" borderId="9" xfId="0" applyBorder="1"/>
    <xf numFmtId="0" fontId="0" fillId="0" borderId="10" xfId="0" applyBorder="1"/>
    <xf numFmtId="0" fontId="0" fillId="0" borderId="11" xfId="0" applyBorder="1"/>
    <xf numFmtId="9" fontId="0" fillId="5" borderId="5" xfId="3" applyFont="1" applyFill="1" applyBorder="1"/>
    <xf numFmtId="0" fontId="2" fillId="0" borderId="0" xfId="0" applyFont="1" applyBorder="1"/>
    <xf numFmtId="9" fontId="0" fillId="5" borderId="15" xfId="3" applyFont="1" applyFill="1" applyBorder="1"/>
    <xf numFmtId="0" fontId="2" fillId="0" borderId="16" xfId="0" applyFont="1" applyBorder="1" applyAlignment="1">
      <alignment horizontal="center"/>
    </xf>
    <xf numFmtId="0" fontId="2" fillId="0" borderId="17" xfId="0" applyFont="1" applyBorder="1" applyAlignment="1">
      <alignment horizontal="center"/>
    </xf>
    <xf numFmtId="0" fontId="0" fillId="0" borderId="0" xfId="0" applyAlignment="1">
      <alignment horizontal="center"/>
    </xf>
    <xf numFmtId="0" fontId="0" fillId="0" borderId="19" xfId="0" applyBorder="1"/>
    <xf numFmtId="165" fontId="0" fillId="0" borderId="0" xfId="0" applyNumberFormat="1"/>
    <xf numFmtId="168" fontId="0" fillId="3" borderId="4" xfId="2" applyNumberFormat="1" applyFont="1" applyFill="1" applyBorder="1"/>
    <xf numFmtId="166" fontId="0" fillId="5" borderId="4" xfId="0" applyNumberFormat="1" applyFill="1" applyBorder="1"/>
    <xf numFmtId="165" fontId="0" fillId="0" borderId="4" xfId="2" applyNumberFormat="1" applyFont="1" applyBorder="1"/>
    <xf numFmtId="0" fontId="2" fillId="0" borderId="2" xfId="0" applyFont="1" applyBorder="1" applyAlignment="1">
      <alignment horizontal="left"/>
    </xf>
    <xf numFmtId="0" fontId="2" fillId="0" borderId="18" xfId="0" applyFont="1" applyBorder="1" applyAlignment="1">
      <alignment horizontal="center"/>
    </xf>
    <xf numFmtId="0" fontId="2" fillId="0" borderId="21" xfId="0" applyFont="1" applyBorder="1" applyAlignment="1">
      <alignment horizontal="center"/>
    </xf>
    <xf numFmtId="168" fontId="0" fillId="3" borderId="22" xfId="2" applyNumberFormat="1" applyFont="1" applyFill="1" applyBorder="1"/>
    <xf numFmtId="166" fontId="0" fillId="5" borderId="22" xfId="0" applyNumberFormat="1" applyFill="1" applyBorder="1"/>
    <xf numFmtId="0" fontId="0" fillId="0" borderId="22" xfId="0" applyBorder="1"/>
    <xf numFmtId="165" fontId="0" fillId="0" borderId="22" xfId="2" applyNumberFormat="1" applyFont="1" applyBorder="1"/>
    <xf numFmtId="0" fontId="0" fillId="0" borderId="3" xfId="0" applyBorder="1" applyAlignment="1">
      <alignment horizontal="center"/>
    </xf>
    <xf numFmtId="0" fontId="0" fillId="0" borderId="20" xfId="0" applyBorder="1" applyAlignment="1">
      <alignment horizontal="center"/>
    </xf>
    <xf numFmtId="0" fontId="0" fillId="0" borderId="6" xfId="0" applyBorder="1" applyAlignment="1">
      <alignment horizontal="center"/>
    </xf>
    <xf numFmtId="168" fontId="0" fillId="3" borderId="11" xfId="2" applyNumberFormat="1" applyFont="1" applyFill="1" applyBorder="1"/>
    <xf numFmtId="166" fontId="0" fillId="5" borderId="11" xfId="0" applyNumberFormat="1" applyFill="1" applyBorder="1"/>
    <xf numFmtId="165" fontId="0" fillId="0" borderId="11" xfId="2" applyNumberFormat="1" applyFont="1" applyBorder="1"/>
    <xf numFmtId="165" fontId="0" fillId="0" borderId="13" xfId="0" applyNumberFormat="1" applyBorder="1"/>
    <xf numFmtId="165" fontId="0" fillId="0" borderId="5" xfId="0" applyNumberFormat="1" applyBorder="1"/>
    <xf numFmtId="165" fontId="0" fillId="0" borderId="23" xfId="0" applyNumberFormat="1" applyBorder="1"/>
    <xf numFmtId="165" fontId="0" fillId="0" borderId="12" xfId="2" applyNumberFormat="1" applyFont="1" applyBorder="1"/>
    <xf numFmtId="165" fontId="0" fillId="0" borderId="7" xfId="2" applyNumberFormat="1" applyFont="1" applyBorder="1"/>
    <xf numFmtId="165" fontId="0" fillId="0" borderId="24" xfId="2" applyNumberFormat="1" applyFont="1" applyBorder="1"/>
    <xf numFmtId="0" fontId="4" fillId="0" borderId="0" xfId="4" applyFill="1"/>
    <xf numFmtId="0" fontId="2" fillId="0" borderId="0" xfId="0" applyFont="1" applyFill="1" applyBorder="1" applyAlignment="1">
      <alignment horizontal="center"/>
    </xf>
    <xf numFmtId="168" fontId="0" fillId="0" borderId="0" xfId="2" applyNumberFormat="1" applyFont="1" applyFill="1" applyBorder="1"/>
    <xf numFmtId="9" fontId="0" fillId="0" borderId="0" xfId="3" applyFont="1" applyFill="1" applyBorder="1"/>
    <xf numFmtId="166" fontId="0" fillId="0" borderId="0" xfId="0" applyNumberFormat="1" applyFill="1" applyBorder="1"/>
    <xf numFmtId="165" fontId="0" fillId="0" borderId="0" xfId="2" applyNumberFormat="1" applyFont="1" applyFill="1" applyBorder="1"/>
    <xf numFmtId="165" fontId="0" fillId="0" borderId="0" xfId="0" applyNumberFormat="1" applyFill="1" applyBorder="1"/>
    <xf numFmtId="165" fontId="2" fillId="0" borderId="0" xfId="0" applyNumberFormat="1" applyFont="1" applyFill="1" applyBorder="1"/>
    <xf numFmtId="165" fontId="0" fillId="0" borderId="0" xfId="0" applyNumberFormat="1" applyFill="1"/>
    <xf numFmtId="165" fontId="0" fillId="3" borderId="4" xfId="2" applyNumberFormat="1" applyFont="1" applyFill="1" applyBorder="1"/>
    <xf numFmtId="0" fontId="0" fillId="0" borderId="25" xfId="0" applyBorder="1" applyAlignment="1">
      <alignment horizontal="center"/>
    </xf>
    <xf numFmtId="0" fontId="0" fillId="0" borderId="3" xfId="0" applyFill="1" applyBorder="1" applyAlignment="1">
      <alignment horizontal="center"/>
    </xf>
    <xf numFmtId="166" fontId="0" fillId="3" borderId="25" xfId="1" applyNumberFormat="1" applyFont="1" applyFill="1" applyBorder="1"/>
    <xf numFmtId="166" fontId="0" fillId="3" borderId="3" xfId="1" applyNumberFormat="1" applyFont="1" applyFill="1" applyBorder="1"/>
    <xf numFmtId="166" fontId="0" fillId="3" borderId="20" xfId="1" applyNumberFormat="1" applyFont="1" applyFill="1" applyBorder="1"/>
    <xf numFmtId="166" fontId="0" fillId="5" borderId="20" xfId="1" applyNumberFormat="1" applyFont="1" applyFill="1" applyBorder="1"/>
    <xf numFmtId="167" fontId="0" fillId="5" borderId="3" xfId="1" applyNumberFormat="1" applyFont="1" applyFill="1" applyBorder="1"/>
    <xf numFmtId="167" fontId="0" fillId="3" borderId="3" xfId="1" applyNumberFormat="1" applyFont="1" applyFill="1" applyBorder="1"/>
    <xf numFmtId="167" fontId="0" fillId="5" borderId="6" xfId="1" applyNumberFormat="1" applyFont="1" applyFill="1" applyBorder="1"/>
    <xf numFmtId="0" fontId="2" fillId="4" borderId="0" xfId="0" applyFont="1" applyFill="1"/>
    <xf numFmtId="0" fontId="0" fillId="4" borderId="0" xfId="0" applyFill="1"/>
    <xf numFmtId="0" fontId="0" fillId="7" borderId="0" xfId="0" applyFill="1" applyAlignment="1">
      <alignment horizontal="center"/>
    </xf>
    <xf numFmtId="165" fontId="0" fillId="7" borderId="0" xfId="0" applyNumberFormat="1" applyFill="1"/>
    <xf numFmtId="0" fontId="2" fillId="7" borderId="0" xfId="0" applyFont="1" applyFill="1"/>
    <xf numFmtId="0" fontId="2" fillId="6" borderId="9" xfId="0" applyFont="1" applyFill="1" applyBorder="1"/>
    <xf numFmtId="0" fontId="2" fillId="6" borderId="3" xfId="0" applyFont="1" applyFill="1" applyBorder="1" applyAlignment="1">
      <alignment horizontal="center"/>
    </xf>
    <xf numFmtId="165" fontId="2" fillId="6" borderId="11" xfId="0" applyNumberFormat="1" applyFont="1" applyFill="1" applyBorder="1"/>
    <xf numFmtId="165" fontId="2" fillId="6" borderId="4" xfId="0" applyNumberFormat="1" applyFont="1" applyFill="1" applyBorder="1"/>
    <xf numFmtId="165" fontId="2" fillId="6" borderId="22" xfId="0" applyNumberFormat="1" applyFont="1" applyFill="1" applyBorder="1"/>
    <xf numFmtId="0" fontId="2" fillId="6" borderId="10" xfId="0" applyFont="1" applyFill="1" applyBorder="1"/>
    <xf numFmtId="0" fontId="2" fillId="6" borderId="6" xfId="0" applyFont="1" applyFill="1" applyBorder="1" applyAlignment="1">
      <alignment horizontal="center"/>
    </xf>
    <xf numFmtId="165" fontId="2" fillId="6" borderId="12" xfId="0" applyNumberFormat="1" applyFont="1" applyFill="1" applyBorder="1"/>
    <xf numFmtId="165" fontId="2" fillId="6" borderId="7" xfId="0" applyNumberFormat="1" applyFont="1" applyFill="1" applyBorder="1"/>
    <xf numFmtId="165" fontId="2" fillId="6" borderId="24" xfId="0" applyNumberFormat="1" applyFont="1" applyFill="1" applyBorder="1"/>
    <xf numFmtId="0" fontId="2" fillId="8" borderId="9" xfId="0" applyFont="1" applyFill="1" applyBorder="1"/>
    <xf numFmtId="0" fontId="2" fillId="8" borderId="3" xfId="0" applyFont="1" applyFill="1" applyBorder="1" applyAlignment="1">
      <alignment horizontal="center"/>
    </xf>
    <xf numFmtId="165" fontId="2" fillId="8" borderId="11" xfId="0" applyNumberFormat="1" applyFont="1" applyFill="1" applyBorder="1"/>
    <xf numFmtId="165" fontId="2" fillId="8" borderId="4" xfId="0" applyNumberFormat="1" applyFont="1" applyFill="1" applyBorder="1"/>
    <xf numFmtId="165" fontId="2" fillId="8" borderId="22" xfId="0" applyNumberFormat="1" applyFont="1" applyFill="1" applyBorder="1"/>
    <xf numFmtId="0" fontId="2" fillId="8" borderId="10" xfId="0" applyFont="1" applyFill="1" applyBorder="1"/>
    <xf numFmtId="0" fontId="2" fillId="8" borderId="6" xfId="0" applyFont="1" applyFill="1" applyBorder="1" applyAlignment="1">
      <alignment horizontal="center"/>
    </xf>
    <xf numFmtId="165" fontId="2" fillId="8" borderId="12" xfId="0" applyNumberFormat="1" applyFont="1" applyFill="1" applyBorder="1"/>
    <xf numFmtId="165" fontId="2" fillId="8" borderId="7" xfId="0" applyNumberFormat="1" applyFont="1" applyFill="1" applyBorder="1"/>
    <xf numFmtId="165" fontId="2" fillId="8" borderId="24" xfId="0" applyNumberFormat="1" applyFont="1" applyFill="1" applyBorder="1"/>
    <xf numFmtId="0" fontId="5" fillId="0" borderId="0" xfId="0" applyFont="1"/>
    <xf numFmtId="165" fontId="0" fillId="0" borderId="14" xfId="0" applyNumberFormat="1" applyBorder="1"/>
    <xf numFmtId="165" fontId="0" fillId="0" borderId="15" xfId="0" applyNumberFormat="1" applyBorder="1"/>
    <xf numFmtId="165" fontId="0" fillId="0" borderId="26" xfId="0" applyNumberFormat="1" applyBorder="1"/>
    <xf numFmtId="0" fontId="2" fillId="0" borderId="2" xfId="0" applyFont="1" applyFill="1" applyBorder="1" applyAlignment="1">
      <alignment horizontal="center"/>
    </xf>
    <xf numFmtId="168" fontId="0" fillId="0" borderId="9" xfId="2" applyNumberFormat="1" applyFont="1" applyFill="1" applyBorder="1"/>
    <xf numFmtId="9" fontId="0" fillId="0" borderId="9" xfId="3" applyFont="1" applyFill="1" applyBorder="1"/>
    <xf numFmtId="166" fontId="0" fillId="0" borderId="9" xfId="0" applyNumberFormat="1" applyFill="1" applyBorder="1"/>
    <xf numFmtId="165" fontId="0" fillId="0" borderId="9" xfId="2" applyNumberFormat="1" applyFont="1" applyFill="1" applyBorder="1"/>
    <xf numFmtId="165" fontId="0" fillId="0" borderId="10" xfId="2" applyNumberFormat="1" applyFont="1" applyFill="1" applyBorder="1"/>
    <xf numFmtId="165" fontId="2" fillId="0" borderId="9" xfId="0" applyNumberFormat="1" applyFont="1" applyFill="1" applyBorder="1"/>
    <xf numFmtId="165" fontId="2" fillId="0" borderId="10" xfId="0" applyNumberFormat="1" applyFont="1" applyFill="1" applyBorder="1"/>
    <xf numFmtId="165" fontId="0" fillId="0" borderId="8" xfId="0" applyNumberFormat="1" applyFill="1" applyBorder="1"/>
    <xf numFmtId="0" fontId="2" fillId="3" borderId="0" xfId="0" applyFont="1" applyFill="1" applyAlignment="1">
      <alignment horizontal="center"/>
    </xf>
    <xf numFmtId="9" fontId="0" fillId="0" borderId="0" xfId="3" applyFont="1"/>
    <xf numFmtId="169" fontId="0" fillId="0" borderId="0" xfId="3" applyNumberFormat="1" applyFont="1"/>
    <xf numFmtId="166" fontId="0" fillId="0" borderId="0" xfId="1" applyNumberFormat="1" applyFont="1"/>
    <xf numFmtId="166" fontId="0" fillId="3" borderId="0" xfId="1" applyNumberFormat="1" applyFont="1" applyFill="1"/>
    <xf numFmtId="169" fontId="6" fillId="0" borderId="0" xfId="0" applyNumberFormat="1" applyFont="1"/>
    <xf numFmtId="169" fontId="6" fillId="0" borderId="0" xfId="3" applyNumberFormat="1" applyFont="1"/>
    <xf numFmtId="0" fontId="7" fillId="0" borderId="0" xfId="0" applyFont="1"/>
    <xf numFmtId="0" fontId="2" fillId="0" borderId="27" xfId="0" applyFont="1" applyBorder="1" applyAlignment="1">
      <alignment horizontal="center"/>
    </xf>
    <xf numFmtId="166" fontId="0" fillId="5" borderId="19" xfId="1" applyNumberFormat="1" applyFont="1" applyFill="1" applyBorder="1"/>
    <xf numFmtId="166" fontId="0" fillId="5" borderId="9" xfId="0" applyNumberFormat="1" applyFill="1" applyBorder="1"/>
    <xf numFmtId="165" fontId="0" fillId="0" borderId="19" xfId="0" applyNumberFormat="1" applyBorder="1"/>
    <xf numFmtId="165" fontId="2" fillId="6" borderId="9" xfId="0" applyNumberFormat="1" applyFont="1" applyFill="1" applyBorder="1"/>
    <xf numFmtId="165" fontId="2" fillId="6" borderId="10" xfId="0" applyNumberFormat="1" applyFont="1" applyFill="1" applyBorder="1"/>
    <xf numFmtId="165" fontId="0" fillId="0" borderId="9" xfId="0" applyNumberFormat="1" applyBorder="1"/>
    <xf numFmtId="165" fontId="0" fillId="0" borderId="9" xfId="2" applyNumberFormat="1" applyFont="1" applyBorder="1"/>
    <xf numFmtId="165" fontId="0" fillId="0" borderId="10" xfId="2" applyNumberFormat="1" applyFont="1" applyBorder="1"/>
    <xf numFmtId="165" fontId="2" fillId="8" borderId="9" xfId="0" applyNumberFormat="1" applyFont="1" applyFill="1" applyBorder="1"/>
    <xf numFmtId="165" fontId="2" fillId="8" borderId="10" xfId="0" applyNumberFormat="1" applyFont="1" applyFill="1" applyBorder="1"/>
    <xf numFmtId="168" fontId="0" fillId="5" borderId="11" xfId="2" applyNumberFormat="1" applyFont="1" applyFill="1" applyBorder="1"/>
    <xf numFmtId="168" fontId="0" fillId="5" borderId="4" xfId="2" applyNumberFormat="1" applyFont="1" applyFill="1" applyBorder="1"/>
    <xf numFmtId="168" fontId="0" fillId="5" borderId="22" xfId="2" applyNumberFormat="1" applyFont="1" applyFill="1" applyBorder="1"/>
    <xf numFmtId="170" fontId="0" fillId="5" borderId="6" xfId="1" applyNumberFormat="1" applyFont="1" applyFill="1" applyBorder="1"/>
    <xf numFmtId="0" fontId="2" fillId="0" borderId="0" xfId="0" applyFont="1" applyFill="1" applyAlignment="1">
      <alignment horizontal="center"/>
    </xf>
    <xf numFmtId="166" fontId="2" fillId="0" borderId="0" xfId="1" applyNumberFormat="1" applyFont="1"/>
    <xf numFmtId="0" fontId="0" fillId="0" borderId="0" xfId="0" applyFont="1"/>
    <xf numFmtId="0" fontId="8" fillId="0" borderId="0" xfId="0" applyFont="1"/>
    <xf numFmtId="0" fontId="8" fillId="9" borderId="0" xfId="0" applyFont="1" applyFill="1"/>
    <xf numFmtId="164" fontId="8" fillId="9" borderId="0" xfId="1" applyNumberFormat="1" applyFont="1" applyFill="1" applyBorder="1"/>
    <xf numFmtId="17" fontId="2" fillId="3" borderId="0" xfId="0" applyNumberFormat="1" applyFont="1" applyFill="1" applyAlignment="1">
      <alignment horizontal="center"/>
    </xf>
    <xf numFmtId="165" fontId="0" fillId="3" borderId="13" xfId="0" applyNumberFormat="1" applyFill="1" applyBorder="1"/>
    <xf numFmtId="165" fontId="0" fillId="3" borderId="5" xfId="0" applyNumberFormat="1" applyFill="1" applyBorder="1"/>
    <xf numFmtId="165" fontId="0" fillId="3" borderId="23" xfId="0" applyNumberFormat="1" applyFill="1" applyBorder="1"/>
    <xf numFmtId="10" fontId="8" fillId="0" borderId="0" xfId="3" applyNumberFormat="1" applyFont="1"/>
    <xf numFmtId="10" fontId="0" fillId="0" borderId="0" xfId="0" applyNumberFormat="1"/>
    <xf numFmtId="0" fontId="0" fillId="10" borderId="0" xfId="0" applyFill="1" applyBorder="1"/>
    <xf numFmtId="0" fontId="0" fillId="10" borderId="0" xfId="0" applyFill="1"/>
    <xf numFmtId="165" fontId="0" fillId="10" borderId="0" xfId="0" applyNumberFormat="1" applyFill="1"/>
    <xf numFmtId="43" fontId="0" fillId="0" borderId="0" xfId="0" applyNumberFormat="1"/>
    <xf numFmtId="43" fontId="0" fillId="0" borderId="0" xfId="1" applyFont="1"/>
    <xf numFmtId="166" fontId="9" fillId="5" borderId="19" xfId="1" applyNumberFormat="1" applyFont="1" applyFill="1" applyBorder="1"/>
    <xf numFmtId="165" fontId="9" fillId="0" borderId="19" xfId="0" applyNumberFormat="1" applyFont="1" applyBorder="1"/>
    <xf numFmtId="0" fontId="0" fillId="0" borderId="30" xfId="0" applyBorder="1"/>
    <xf numFmtId="3" fontId="0" fillId="2" borderId="0" xfId="0" applyNumberFormat="1" applyFont="1" applyFill="1"/>
    <xf numFmtId="166" fontId="1" fillId="2" borderId="0" xfId="1" applyNumberFormat="1" applyFont="1" applyFill="1"/>
    <xf numFmtId="166" fontId="2" fillId="2" borderId="0" xfId="1" applyNumberFormat="1" applyFont="1" applyFill="1"/>
    <xf numFmtId="166" fontId="0" fillId="2" borderId="0" xfId="1" applyNumberFormat="1" applyFont="1" applyFill="1"/>
    <xf numFmtId="166" fontId="0" fillId="2" borderId="1" xfId="1" applyNumberFormat="1" applyFont="1" applyFill="1" applyBorder="1"/>
    <xf numFmtId="166" fontId="0" fillId="0" borderId="0" xfId="0" applyNumberFormat="1"/>
    <xf numFmtId="166" fontId="0" fillId="2" borderId="0" xfId="1" applyNumberFormat="1" applyFont="1" applyFill="1" applyBorder="1"/>
    <xf numFmtId="0" fontId="13" fillId="0" borderId="0" xfId="0" applyFont="1"/>
    <xf numFmtId="164" fontId="14" fillId="2" borderId="0" xfId="6" applyNumberFormat="1" applyFont="1" applyFill="1" applyBorder="1"/>
    <xf numFmtId="1" fontId="0" fillId="0" borderId="0" xfId="0" applyNumberFormat="1"/>
    <xf numFmtId="164" fontId="0" fillId="0" borderId="0" xfId="1" applyNumberFormat="1" applyFont="1" applyFill="1"/>
    <xf numFmtId="0" fontId="15" fillId="0" borderId="29" xfId="5" applyFont="1" applyBorder="1" applyAlignment="1">
      <alignment horizontal="center"/>
    </xf>
    <xf numFmtId="0" fontId="14" fillId="0" borderId="30" xfId="5" applyFont="1" applyBorder="1" applyAlignment="1">
      <alignment horizontal="center" wrapText="1"/>
    </xf>
    <xf numFmtId="171" fontId="14" fillId="0" borderId="30" xfId="6" applyFont="1" applyBorder="1" applyAlignment="1">
      <alignment horizontal="center" wrapText="1"/>
    </xf>
    <xf numFmtId="0" fontId="14" fillId="0" borderId="30" xfId="5" applyFont="1" applyBorder="1" applyAlignment="1">
      <alignment horizontal="center"/>
    </xf>
    <xf numFmtId="172" fontId="16" fillId="0" borderId="30" xfId="7" applyFont="1" applyFill="1" applyBorder="1" applyAlignment="1">
      <alignment horizontal="center"/>
    </xf>
    <xf numFmtId="0" fontId="14" fillId="0" borderId="3" xfId="5" applyFont="1" applyBorder="1"/>
    <xf numFmtId="164" fontId="14" fillId="0" borderId="0" xfId="6" applyNumberFormat="1" applyFont="1" applyFill="1" applyBorder="1"/>
    <xf numFmtId="173" fontId="14" fillId="11" borderId="0" xfId="6" applyNumberFormat="1" applyFont="1" applyFill="1" applyBorder="1"/>
    <xf numFmtId="43" fontId="14" fillId="0" borderId="0" xfId="5" applyNumberFormat="1" applyFont="1" applyFill="1" applyBorder="1"/>
    <xf numFmtId="172" fontId="14" fillId="3" borderId="0" xfId="7" applyFont="1" applyFill="1" applyBorder="1"/>
    <xf numFmtId="164" fontId="14" fillId="0" borderId="31" xfId="6" applyNumberFormat="1" applyFont="1" applyFill="1" applyBorder="1"/>
    <xf numFmtId="172" fontId="14" fillId="3" borderId="31" xfId="7" applyFont="1" applyFill="1" applyBorder="1"/>
    <xf numFmtId="0" fontId="14" fillId="0" borderId="6" xfId="5" applyFont="1" applyBorder="1"/>
    <xf numFmtId="164" fontId="15" fillId="0" borderId="31" xfId="5" applyNumberFormat="1" applyFont="1" applyBorder="1"/>
    <xf numFmtId="0" fontId="14" fillId="0" borderId="31" xfId="5" applyFont="1" applyBorder="1"/>
    <xf numFmtId="172" fontId="15" fillId="0" borderId="31" xfId="5" applyNumberFormat="1" applyFont="1" applyBorder="1"/>
    <xf numFmtId="10" fontId="0" fillId="2" borderId="4" xfId="3" applyNumberFormat="1" applyFont="1" applyFill="1" applyBorder="1"/>
    <xf numFmtId="10" fontId="0" fillId="2" borderId="5" xfId="3" applyNumberFormat="1" applyFont="1" applyFill="1" applyBorder="1"/>
    <xf numFmtId="166" fontId="0" fillId="0" borderId="9" xfId="1" applyNumberFormat="1" applyFont="1" applyFill="1" applyBorder="1"/>
    <xf numFmtId="166" fontId="0" fillId="0" borderId="19" xfId="1" applyNumberFormat="1" applyFont="1" applyFill="1" applyBorder="1"/>
    <xf numFmtId="167" fontId="0" fillId="0" borderId="9" xfId="1" applyNumberFormat="1" applyFont="1" applyFill="1" applyBorder="1"/>
    <xf numFmtId="168" fontId="0" fillId="12" borderId="9" xfId="2" applyNumberFormat="1" applyFont="1" applyFill="1" applyBorder="1"/>
    <xf numFmtId="0" fontId="0" fillId="12" borderId="9" xfId="0" applyFill="1" applyBorder="1"/>
    <xf numFmtId="166" fontId="0" fillId="12" borderId="8" xfId="1" applyNumberFormat="1" applyFont="1" applyFill="1" applyBorder="1"/>
    <xf numFmtId="0" fontId="0" fillId="0" borderId="8" xfId="0" applyFill="1" applyBorder="1"/>
    <xf numFmtId="0" fontId="0" fillId="0" borderId="25" xfId="0" applyFill="1" applyBorder="1" applyAlignment="1">
      <alignment horizontal="center"/>
    </xf>
    <xf numFmtId="166" fontId="9" fillId="12" borderId="8" xfId="1" applyNumberFormat="1" applyFont="1" applyFill="1" applyBorder="1"/>
    <xf numFmtId="166" fontId="9" fillId="0" borderId="9" xfId="1" applyNumberFormat="1" applyFont="1" applyFill="1" applyBorder="1"/>
    <xf numFmtId="166" fontId="9" fillId="0" borderId="19" xfId="1" applyNumberFormat="1" applyFont="1" applyFill="1" applyBorder="1"/>
    <xf numFmtId="0" fontId="2" fillId="0" borderId="16" xfId="0" applyFont="1" applyBorder="1" applyAlignment="1">
      <alignment horizontal="left"/>
    </xf>
    <xf numFmtId="0" fontId="2" fillId="0" borderId="28" xfId="0" applyFont="1" applyBorder="1" applyAlignment="1">
      <alignment horizontal="left"/>
    </xf>
    <xf numFmtId="0" fontId="2" fillId="0" borderId="17" xfId="0" applyFont="1" applyBorder="1" applyAlignment="1">
      <alignment horizontal="left"/>
    </xf>
    <xf numFmtId="170" fontId="0" fillId="0" borderId="3" xfId="1" applyNumberFormat="1" applyFont="1" applyFill="1" applyBorder="1"/>
    <xf numFmtId="167" fontId="0" fillId="0" borderId="3" xfId="1" applyNumberFormat="1" applyFont="1" applyFill="1" applyBorder="1"/>
    <xf numFmtId="170" fontId="0" fillId="0" borderId="6" xfId="1" applyNumberFormat="1" applyFont="1" applyFill="1" applyBorder="1"/>
    <xf numFmtId="166" fontId="0" fillId="0" borderId="25" xfId="1" applyNumberFormat="1" applyFont="1" applyFill="1" applyBorder="1"/>
    <xf numFmtId="9" fontId="0" fillId="0" borderId="15" xfId="3" applyFont="1" applyFill="1" applyBorder="1"/>
    <xf numFmtId="9" fontId="0" fillId="0" borderId="4" xfId="3" applyFont="1" applyFill="1" applyBorder="1"/>
    <xf numFmtId="9" fontId="0" fillId="0" borderId="5" xfId="3" applyFont="1" applyFill="1" applyBorder="1"/>
    <xf numFmtId="0" fontId="0" fillId="0" borderId="4" xfId="0" applyFill="1" applyBorder="1"/>
    <xf numFmtId="0" fontId="0" fillId="0" borderId="11" xfId="0" applyFill="1" applyBorder="1"/>
    <xf numFmtId="9" fontId="0" fillId="0" borderId="22" xfId="3" applyFont="1" applyFill="1" applyBorder="1"/>
    <xf numFmtId="165" fontId="0" fillId="0" borderId="11" xfId="2" applyNumberFormat="1" applyFont="1" applyFill="1" applyBorder="1"/>
    <xf numFmtId="165" fontId="0" fillId="0" borderId="4" xfId="2" applyNumberFormat="1" applyFont="1" applyFill="1" applyBorder="1"/>
    <xf numFmtId="165" fontId="0" fillId="0" borderId="22" xfId="2" applyNumberFormat="1" applyFont="1" applyFill="1" applyBorder="1"/>
    <xf numFmtId="165" fontId="0" fillId="0" borderId="12" xfId="2" applyNumberFormat="1" applyFont="1" applyFill="1" applyBorder="1"/>
    <xf numFmtId="165" fontId="0" fillId="0" borderId="7" xfId="2" applyNumberFormat="1" applyFont="1" applyFill="1" applyBorder="1"/>
    <xf numFmtId="165" fontId="0" fillId="0" borderId="24" xfId="2" applyNumberFormat="1" applyFont="1" applyFill="1" applyBorder="1"/>
    <xf numFmtId="170" fontId="0" fillId="3" borderId="3" xfId="1" applyNumberFormat="1" applyFont="1" applyFill="1" applyBorder="1"/>
    <xf numFmtId="170" fontId="0" fillId="3" borderId="6" xfId="1" applyNumberFormat="1" applyFont="1" applyFill="1" applyBorder="1"/>
    <xf numFmtId="167" fontId="0" fillId="0" borderId="10" xfId="1" applyNumberFormat="1" applyFont="1" applyFill="1" applyBorder="1"/>
    <xf numFmtId="0" fontId="0" fillId="11" borderId="9" xfId="0" applyFont="1" applyFill="1" applyBorder="1"/>
    <xf numFmtId="0" fontId="0" fillId="11" borderId="3" xfId="0" applyFont="1" applyFill="1" applyBorder="1" applyAlignment="1">
      <alignment horizontal="center"/>
    </xf>
    <xf numFmtId="165" fontId="0" fillId="11" borderId="9" xfId="0" applyNumberFormat="1" applyFont="1" applyFill="1" applyBorder="1"/>
    <xf numFmtId="0" fontId="0" fillId="11" borderId="10" xfId="0" applyFont="1" applyFill="1" applyBorder="1"/>
    <xf numFmtId="0" fontId="0" fillId="11" borderId="6" xfId="0" applyFont="1" applyFill="1" applyBorder="1" applyAlignment="1">
      <alignment horizontal="center"/>
    </xf>
    <xf numFmtId="165" fontId="0" fillId="11" borderId="10" xfId="0" applyNumberFormat="1" applyFont="1" applyFill="1" applyBorder="1"/>
    <xf numFmtId="0" fontId="2" fillId="14" borderId="8" xfId="0" applyFont="1" applyFill="1" applyBorder="1"/>
    <xf numFmtId="0" fontId="2" fillId="14" borderId="25" xfId="0" applyFont="1" applyFill="1" applyBorder="1" applyAlignment="1">
      <alignment horizontal="center"/>
    </xf>
    <xf numFmtId="165" fontId="2" fillId="14" borderId="8" xfId="0" applyNumberFormat="1" applyFont="1" applyFill="1" applyBorder="1"/>
    <xf numFmtId="0" fontId="2" fillId="0" borderId="0" xfId="0" applyFont="1" applyAlignment="1">
      <alignment horizontal="center" wrapText="1"/>
    </xf>
    <xf numFmtId="0" fontId="2" fillId="0" borderId="0" xfId="0" applyFont="1" applyAlignment="1">
      <alignment horizontal="center" wrapText="1"/>
    </xf>
    <xf numFmtId="0" fontId="2" fillId="0" borderId="0" xfId="0" applyFont="1" applyAlignment="1">
      <alignment horizontal="center" wrapText="1"/>
    </xf>
    <xf numFmtId="0" fontId="2" fillId="0" borderId="0" xfId="0" applyFont="1" applyAlignment="1">
      <alignment horizontal="center" wrapText="1"/>
    </xf>
    <xf numFmtId="0" fontId="2" fillId="0" borderId="0" xfId="0" applyFont="1" applyAlignment="1">
      <alignment horizontal="center" wrapText="1"/>
    </xf>
    <xf numFmtId="0" fontId="2" fillId="0" borderId="0" xfId="0" applyFont="1" applyAlignment="1">
      <alignment horizontal="center" wrapText="1"/>
    </xf>
    <xf numFmtId="0" fontId="2" fillId="0" borderId="0" xfId="0" applyFont="1" applyAlignment="1">
      <alignment horizontal="center" wrapText="1"/>
    </xf>
    <xf numFmtId="0" fontId="2" fillId="0" borderId="0" xfId="0" applyFont="1" applyAlignment="1">
      <alignment horizontal="center" wrapText="1"/>
    </xf>
    <xf numFmtId="0" fontId="2" fillId="0" borderId="0" xfId="0" applyFont="1" applyAlignment="1">
      <alignment horizontal="center" wrapText="1"/>
    </xf>
    <xf numFmtId="0" fontId="2" fillId="0" borderId="0" xfId="0" applyFont="1" applyAlignment="1">
      <alignment horizontal="center" wrapText="1"/>
    </xf>
    <xf numFmtId="0" fontId="2" fillId="0" borderId="0" xfId="0" applyFont="1" applyAlignment="1">
      <alignment horizontal="center" wrapText="1"/>
    </xf>
    <xf numFmtId="0" fontId="2" fillId="0" borderId="0" xfId="0" applyFont="1" applyAlignment="1">
      <alignment horizontal="center" wrapText="1"/>
    </xf>
    <xf numFmtId="0" fontId="2" fillId="4" borderId="16" xfId="0" applyFont="1" applyFill="1" applyBorder="1" applyAlignment="1">
      <alignment horizontal="center"/>
    </xf>
    <xf numFmtId="0" fontId="2" fillId="4" borderId="28" xfId="0" applyFont="1" applyFill="1" applyBorder="1" applyAlignment="1">
      <alignment horizontal="center"/>
    </xf>
    <xf numFmtId="0" fontId="2" fillId="4" borderId="17" xfId="0" applyFont="1" applyFill="1" applyBorder="1" applyAlignment="1">
      <alignment horizontal="center"/>
    </xf>
    <xf numFmtId="0" fontId="2" fillId="7" borderId="16" xfId="0" applyFont="1" applyFill="1" applyBorder="1" applyAlignment="1">
      <alignment horizontal="center"/>
    </xf>
    <xf numFmtId="0" fontId="2" fillId="7" borderId="28" xfId="0" applyFont="1" applyFill="1" applyBorder="1" applyAlignment="1">
      <alignment horizontal="center"/>
    </xf>
    <xf numFmtId="0" fontId="2" fillId="7" borderId="17" xfId="0" applyFont="1" applyFill="1" applyBorder="1" applyAlignment="1">
      <alignment horizontal="center"/>
    </xf>
    <xf numFmtId="0" fontId="2" fillId="9" borderId="16" xfId="0" applyFont="1" applyFill="1" applyBorder="1" applyAlignment="1">
      <alignment horizontal="center"/>
    </xf>
    <xf numFmtId="0" fontId="2" fillId="9" borderId="28" xfId="0" applyFont="1" applyFill="1" applyBorder="1" applyAlignment="1">
      <alignment horizontal="center"/>
    </xf>
    <xf numFmtId="0" fontId="2" fillId="9" borderId="17" xfId="0" applyFont="1" applyFill="1" applyBorder="1" applyAlignment="1">
      <alignment horizontal="center"/>
    </xf>
    <xf numFmtId="0" fontId="2" fillId="0" borderId="16" xfId="0" applyFont="1" applyBorder="1" applyAlignment="1">
      <alignment horizontal="left"/>
    </xf>
    <xf numFmtId="0" fontId="2" fillId="0" borderId="28" xfId="0" applyFont="1" applyBorder="1" applyAlignment="1">
      <alignment horizontal="left"/>
    </xf>
    <xf numFmtId="0" fontId="2" fillId="0" borderId="17" xfId="0" applyFont="1" applyBorder="1" applyAlignment="1">
      <alignment horizontal="left"/>
    </xf>
    <xf numFmtId="0" fontId="2" fillId="13" borderId="16" xfId="0" applyFont="1" applyFill="1" applyBorder="1" applyAlignment="1">
      <alignment horizontal="center"/>
    </xf>
    <xf numFmtId="0" fontId="2" fillId="13" borderId="28" xfId="0" applyFont="1" applyFill="1" applyBorder="1" applyAlignment="1">
      <alignment horizontal="center"/>
    </xf>
    <xf numFmtId="0" fontId="2" fillId="13" borderId="17" xfId="0" applyFont="1" applyFill="1" applyBorder="1" applyAlignment="1">
      <alignment horizontal="center"/>
    </xf>
  </cellXfs>
  <cellStyles count="11">
    <cellStyle name="Comma" xfId="1" builtinId="3"/>
    <cellStyle name="Comma 2" xfId="6"/>
    <cellStyle name="Currency" xfId="2" builtinId="4"/>
    <cellStyle name="Currency 2" xfId="7"/>
    <cellStyle name="Hyperlink" xfId="4" builtinId="8"/>
    <cellStyle name="Hyperlink 2" xfId="8"/>
    <cellStyle name="Normal" xfId="0" builtinId="0"/>
    <cellStyle name="Normal 2" xfId="5"/>
    <cellStyle name="Normal 29" xfId="10"/>
    <cellStyle name="Percent" xfId="3" builtinId="5"/>
    <cellStyle name="Percent 2" xfId="9"/>
  </cellStyles>
  <dxfs count="0"/>
  <tableStyles count="0" defaultTableStyle="TableStyleMedium2" defaultPivotStyle="PivotStyleLight16"/>
  <colors>
    <mruColors>
      <color rgb="FFFFFFCC"/>
      <color rgb="FF00FF00"/>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96"/>
  <sheetViews>
    <sheetView tabSelected="1" zoomScale="80" zoomScaleNormal="80" workbookViewId="0">
      <pane xSplit="2" ySplit="12" topLeftCell="C13" activePane="bottomRight" state="frozen"/>
      <selection pane="topRight" activeCell="C1" sqref="C1"/>
      <selection pane="bottomLeft" activeCell="A13" sqref="A13"/>
      <selection pane="bottomRight" activeCell="I16" sqref="I16"/>
    </sheetView>
  </sheetViews>
  <sheetFormatPr defaultRowHeight="15" x14ac:dyDescent="0.25"/>
  <cols>
    <col min="1" max="1" width="38.140625" customWidth="1"/>
    <col min="2" max="2" width="11.140625" bestFit="1" customWidth="1"/>
    <col min="3" max="3" width="13" bestFit="1" customWidth="1"/>
    <col min="4" max="4" width="14" customWidth="1"/>
    <col min="5" max="6" width="12.85546875" bestFit="1" customWidth="1"/>
    <col min="7" max="7" width="16.140625" bestFit="1" customWidth="1"/>
    <col min="8" max="10" width="12.85546875" bestFit="1" customWidth="1"/>
    <col min="11" max="12" width="13" bestFit="1" customWidth="1"/>
    <col min="13" max="14" width="12.85546875" bestFit="1" customWidth="1"/>
    <col min="15" max="15" width="14" bestFit="1" customWidth="1"/>
    <col min="17" max="17" width="13.85546875" bestFit="1" customWidth="1"/>
  </cols>
  <sheetData>
    <row r="1" spans="1:15" ht="18.75" x14ac:dyDescent="0.3">
      <c r="A1" s="106" t="s">
        <v>98</v>
      </c>
    </row>
    <row r="2" spans="1:15" ht="15.75" thickBot="1" x14ac:dyDescent="0.3"/>
    <row r="3" spans="1:15" hidden="1" x14ac:dyDescent="0.25">
      <c r="A3" s="1" t="s">
        <v>0</v>
      </c>
      <c r="B3" s="1"/>
      <c r="C3" s="1"/>
    </row>
    <row r="4" spans="1:15" hidden="1" x14ac:dyDescent="0.25">
      <c r="A4" s="1" t="s">
        <v>1</v>
      </c>
      <c r="B4" s="1"/>
      <c r="C4" s="1"/>
    </row>
    <row r="5" spans="1:15" hidden="1" x14ac:dyDescent="0.25">
      <c r="A5" t="s">
        <v>7</v>
      </c>
      <c r="B5" s="17"/>
      <c r="C5" s="19"/>
    </row>
    <row r="6" spans="1:15" hidden="1" x14ac:dyDescent="0.25">
      <c r="A6" t="s">
        <v>8</v>
      </c>
      <c r="B6" s="17"/>
      <c r="C6" s="19"/>
    </row>
    <row r="7" spans="1:15" hidden="1" x14ac:dyDescent="0.25">
      <c r="A7" t="s">
        <v>9</v>
      </c>
      <c r="B7" s="17"/>
      <c r="C7" s="19"/>
    </row>
    <row r="8" spans="1:15" ht="15.75" hidden="1" thickBot="1" x14ac:dyDescent="0.3">
      <c r="A8" s="2"/>
      <c r="B8" s="2"/>
    </row>
    <row r="9" spans="1:15" ht="15.75" thickBot="1" x14ac:dyDescent="0.3">
      <c r="A9" s="2" t="s">
        <v>10</v>
      </c>
      <c r="B9" s="2"/>
      <c r="C9" s="107" t="s">
        <v>74</v>
      </c>
      <c r="D9" s="107" t="s">
        <v>75</v>
      </c>
      <c r="E9" s="107" t="s">
        <v>76</v>
      </c>
      <c r="F9" s="107" t="s">
        <v>77</v>
      </c>
      <c r="G9" s="107" t="s">
        <v>78</v>
      </c>
      <c r="H9" s="107" t="s">
        <v>79</v>
      </c>
      <c r="I9" s="107" t="s">
        <v>80</v>
      </c>
      <c r="J9" s="107" t="s">
        <v>81</v>
      </c>
      <c r="K9" s="107" t="s">
        <v>82</v>
      </c>
      <c r="L9" s="107" t="s">
        <v>83</v>
      </c>
      <c r="M9" s="107" t="s">
        <v>84</v>
      </c>
      <c r="N9" s="107" t="s">
        <v>85</v>
      </c>
      <c r="O9" s="107" t="s">
        <v>86</v>
      </c>
    </row>
    <row r="10" spans="1:15" ht="15.75" thickBot="1" x14ac:dyDescent="0.3">
      <c r="A10" s="225" t="s">
        <v>40</v>
      </c>
      <c r="B10" s="226"/>
      <c r="C10" s="226"/>
      <c r="D10" s="226"/>
      <c r="E10" s="226"/>
      <c r="F10" s="226"/>
      <c r="G10" s="226"/>
      <c r="H10" s="226"/>
      <c r="I10" s="226"/>
      <c r="J10" s="226"/>
      <c r="K10" s="226"/>
      <c r="L10" s="226"/>
      <c r="M10" s="226"/>
      <c r="N10" s="226"/>
      <c r="O10" s="227"/>
    </row>
    <row r="11" spans="1:15" ht="6.75" customHeight="1" thickBot="1" x14ac:dyDescent="0.3">
      <c r="A11" s="2"/>
      <c r="B11" s="2"/>
      <c r="C11" s="9"/>
      <c r="D11" s="9"/>
      <c r="E11" s="9"/>
      <c r="F11" s="9"/>
      <c r="G11" s="9"/>
      <c r="H11" s="9"/>
      <c r="I11" s="9"/>
      <c r="J11" s="9"/>
      <c r="K11" s="9"/>
      <c r="L11" s="9"/>
      <c r="M11" s="9"/>
      <c r="N11" s="9"/>
      <c r="O11" s="9"/>
    </row>
    <row r="12" spans="1:15" ht="15.75" thickBot="1" x14ac:dyDescent="0.3">
      <c r="A12" s="13"/>
      <c r="B12" s="13"/>
      <c r="C12" s="231" t="s">
        <v>17</v>
      </c>
      <c r="D12" s="232"/>
      <c r="E12" s="232"/>
      <c r="F12" s="232"/>
      <c r="G12" s="232"/>
      <c r="H12" s="232"/>
      <c r="I12" s="232"/>
      <c r="J12" s="232"/>
      <c r="K12" s="232"/>
      <c r="L12" s="232"/>
      <c r="M12" s="232"/>
      <c r="N12" s="232"/>
      <c r="O12" s="233"/>
    </row>
    <row r="13" spans="1:15" x14ac:dyDescent="0.25">
      <c r="A13" s="7" t="s">
        <v>14</v>
      </c>
      <c r="B13" s="52" t="s">
        <v>52</v>
      </c>
      <c r="C13" s="176"/>
      <c r="D13" s="176"/>
      <c r="E13" s="176"/>
      <c r="F13" s="176"/>
      <c r="G13" s="176"/>
      <c r="H13" s="176"/>
      <c r="I13" s="176"/>
      <c r="J13" s="176"/>
      <c r="K13" s="176"/>
      <c r="L13" s="176"/>
      <c r="M13" s="176"/>
      <c r="N13" s="176"/>
      <c r="O13" s="176"/>
    </row>
    <row r="14" spans="1:15" ht="17.25" x14ac:dyDescent="0.25">
      <c r="A14" s="8" t="s">
        <v>12</v>
      </c>
      <c r="B14" s="53" t="s">
        <v>53</v>
      </c>
      <c r="C14" s="171">
        <f>'2016 01'!C10</f>
        <v>847592</v>
      </c>
      <c r="D14" s="171">
        <f>'2016 02'!C10</f>
        <v>1263584</v>
      </c>
      <c r="E14" s="171">
        <f>'2016 03'!C10</f>
        <v>1065465</v>
      </c>
      <c r="F14" s="171">
        <f>'2016 04'!C10</f>
        <v>1041701</v>
      </c>
      <c r="G14" s="171">
        <f>'2016 05'!C10</f>
        <v>1075585</v>
      </c>
      <c r="H14" s="171">
        <f>'2016 06'!C10</f>
        <v>981295</v>
      </c>
      <c r="I14" s="171">
        <f>'2016 07'!C10</f>
        <v>594486</v>
      </c>
      <c r="J14" s="171">
        <f>'2016 08'!C10</f>
        <v>1074125</v>
      </c>
      <c r="K14" s="171">
        <f>'2016 09'!C10</f>
        <v>587839</v>
      </c>
      <c r="L14" s="171">
        <f>'2016 10'!C10</f>
        <v>947064</v>
      </c>
      <c r="M14" s="171">
        <f>'2016 11'!C10</f>
        <v>763609</v>
      </c>
      <c r="N14" s="171">
        <f>'2016 12'!C10</f>
        <v>904065</v>
      </c>
      <c r="O14" s="171">
        <f>SUM(C14:N14)</f>
        <v>11146410</v>
      </c>
    </row>
    <row r="15" spans="1:15" ht="17.25" x14ac:dyDescent="0.25">
      <c r="A15" s="8" t="s">
        <v>13</v>
      </c>
      <c r="B15" s="53" t="s">
        <v>54</v>
      </c>
      <c r="C15" s="171">
        <f>'2016 01'!C11</f>
        <v>236701</v>
      </c>
      <c r="D15" s="171">
        <f>'2016 02'!C11</f>
        <v>396846</v>
      </c>
      <c r="E15" s="171">
        <f>'2016 03'!C11</f>
        <v>404848</v>
      </c>
      <c r="F15" s="171">
        <f>'2016 04'!C11</f>
        <v>297783</v>
      </c>
      <c r="G15" s="171">
        <f>'2016 05'!C11</f>
        <v>272453</v>
      </c>
      <c r="H15" s="171">
        <f>'2016 06'!C11</f>
        <v>375221</v>
      </c>
      <c r="I15" s="171">
        <f>'2016 07'!C11</f>
        <v>314492</v>
      </c>
      <c r="J15" s="171">
        <f>'2016 08'!C11</f>
        <v>560536</v>
      </c>
      <c r="K15" s="171">
        <f>'2016 09'!C11</f>
        <v>425902</v>
      </c>
      <c r="L15" s="171">
        <f>'2016 10'!C11</f>
        <v>496771</v>
      </c>
      <c r="M15" s="171">
        <f>'2016 11'!C11</f>
        <v>335368</v>
      </c>
      <c r="N15" s="171">
        <f>'2016 12'!C11</f>
        <v>240682</v>
      </c>
      <c r="O15" s="171">
        <f t="shared" ref="O15:O19" si="0">SUM(C15:N15)</f>
        <v>4357603</v>
      </c>
    </row>
    <row r="16" spans="1:15" ht="17.25" x14ac:dyDescent="0.25">
      <c r="A16" s="8" t="s">
        <v>11</v>
      </c>
      <c r="B16" s="53" t="s">
        <v>55</v>
      </c>
      <c r="C16" s="171">
        <f>'2016 01'!C12</f>
        <v>11864691</v>
      </c>
      <c r="D16" s="171">
        <f>'2016 02'!C12</f>
        <v>16241733</v>
      </c>
      <c r="E16" s="171">
        <f>'2016 03'!C12</f>
        <v>19052262</v>
      </c>
      <c r="F16" s="171">
        <f>'2016 04'!C12</f>
        <v>14401325</v>
      </c>
      <c r="G16" s="171">
        <f>'2016 05'!C12</f>
        <v>11990586</v>
      </c>
      <c r="H16" s="171">
        <f>'2016 06'!C12</f>
        <v>12148773</v>
      </c>
      <c r="I16" s="171">
        <f>'2016 07'!C12</f>
        <v>14186707</v>
      </c>
      <c r="J16" s="171">
        <f>'2016 08'!C12</f>
        <v>16737643</v>
      </c>
      <c r="K16" s="171">
        <f>'2016 09'!C12</f>
        <v>16022823</v>
      </c>
      <c r="L16" s="171">
        <f>'2016 10'!C12</f>
        <v>11736024</v>
      </c>
      <c r="M16" s="171">
        <f>'2016 11'!C12</f>
        <v>10823186</v>
      </c>
      <c r="N16" s="171">
        <f>'2016 12'!C12</f>
        <v>9862732</v>
      </c>
      <c r="O16" s="171">
        <f t="shared" si="0"/>
        <v>165068485</v>
      </c>
    </row>
    <row r="17" spans="1:15" ht="17.25" x14ac:dyDescent="0.25">
      <c r="A17" s="8" t="s">
        <v>15</v>
      </c>
      <c r="B17" s="53" t="s">
        <v>56</v>
      </c>
      <c r="C17" s="171">
        <f>'2016 01'!C13</f>
        <v>2833835</v>
      </c>
      <c r="D17" s="171">
        <f>'2016 02'!C13</f>
        <v>3893464</v>
      </c>
      <c r="E17" s="171">
        <f>'2016 03'!C13</f>
        <v>4650811</v>
      </c>
      <c r="F17" s="171">
        <f>'2016 04'!C13</f>
        <v>3542191</v>
      </c>
      <c r="G17" s="171">
        <f>'2016 05'!C13</f>
        <v>3214239</v>
      </c>
      <c r="H17" s="171">
        <f>'2016 06'!C13</f>
        <v>3244868</v>
      </c>
      <c r="I17" s="171">
        <f>'2016 07'!C13</f>
        <v>3794652</v>
      </c>
      <c r="J17" s="171">
        <f>'2016 08'!C13</f>
        <v>5021450</v>
      </c>
      <c r="K17" s="171">
        <f>'2016 09'!C13</f>
        <v>4517327</v>
      </c>
      <c r="L17" s="171">
        <f>'2016 10'!C13</f>
        <v>3381486</v>
      </c>
      <c r="M17" s="171">
        <f>'2016 11'!C13</f>
        <v>2919252</v>
      </c>
      <c r="N17" s="171">
        <f>'2016 12'!C13</f>
        <v>2620905</v>
      </c>
      <c r="O17" s="171">
        <f t="shared" si="0"/>
        <v>43634480</v>
      </c>
    </row>
    <row r="18" spans="1:15" ht="17.25" x14ac:dyDescent="0.25">
      <c r="A18" s="8" t="s">
        <v>16</v>
      </c>
      <c r="B18" s="53" t="s">
        <v>57</v>
      </c>
      <c r="C18" s="172">
        <f>'2016 01'!C14</f>
        <v>3256688</v>
      </c>
      <c r="D18" s="172">
        <f>'2016 02'!C14</f>
        <v>4387572</v>
      </c>
      <c r="E18" s="172">
        <f>'2016 03'!C14</f>
        <v>5272515</v>
      </c>
      <c r="F18" s="172">
        <f>'2016 04'!C14</f>
        <v>3880158</v>
      </c>
      <c r="G18" s="172">
        <f>'2016 05'!C14</f>
        <v>3363358</v>
      </c>
      <c r="H18" s="172">
        <f>'2016 06'!C14</f>
        <v>3141403</v>
      </c>
      <c r="I18" s="172">
        <f>'2016 07'!C14</f>
        <v>3930111</v>
      </c>
      <c r="J18" s="172">
        <f>'2016 08'!C14</f>
        <v>5797482</v>
      </c>
      <c r="K18" s="172">
        <f>'2016 09'!C14</f>
        <v>5167665</v>
      </c>
      <c r="L18" s="172">
        <f>'2016 10'!C14</f>
        <v>3578376</v>
      </c>
      <c r="M18" s="172">
        <f>'2016 11'!C14</f>
        <v>2727408</v>
      </c>
      <c r="N18" s="172">
        <f>'2016 12'!C14</f>
        <v>2958757</v>
      </c>
      <c r="O18" s="172">
        <f t="shared" si="0"/>
        <v>47461493</v>
      </c>
    </row>
    <row r="19" spans="1:15" x14ac:dyDescent="0.25">
      <c r="A19" s="18" t="s">
        <v>116</v>
      </c>
      <c r="B19" s="31" t="s">
        <v>58</v>
      </c>
      <c r="C19" s="139">
        <f>'2016 01'!C15</f>
        <v>19039507</v>
      </c>
      <c r="D19" s="139">
        <f>'2016 02'!C15</f>
        <v>26183199</v>
      </c>
      <c r="E19" s="139">
        <f>'2016 03'!C15</f>
        <v>30445901</v>
      </c>
      <c r="F19" s="139">
        <f>'2016 04'!C15</f>
        <v>23163158</v>
      </c>
      <c r="G19" s="139">
        <f>'2016 05'!C15</f>
        <v>19916221</v>
      </c>
      <c r="H19" s="139">
        <f>'2016 06'!C15</f>
        <v>19891560</v>
      </c>
      <c r="I19" s="139">
        <f>'2016 07'!C15</f>
        <v>22820448</v>
      </c>
      <c r="J19" s="139">
        <f>'2016 08'!C15</f>
        <v>29191236</v>
      </c>
      <c r="K19" s="139">
        <f>'2016 09'!C15</f>
        <v>26721556</v>
      </c>
      <c r="L19" s="139">
        <f>'2016 10'!C15</f>
        <v>20139721</v>
      </c>
      <c r="M19" s="139">
        <f>'2016 11'!C15</f>
        <v>17568823</v>
      </c>
      <c r="N19" s="139">
        <f>'2016 12'!C15</f>
        <v>16587141</v>
      </c>
      <c r="O19" s="108">
        <f t="shared" si="0"/>
        <v>271668471</v>
      </c>
    </row>
    <row r="20" spans="1:15" x14ac:dyDescent="0.25">
      <c r="A20" s="9" t="s">
        <v>101</v>
      </c>
      <c r="B20" s="30" t="s">
        <v>59</v>
      </c>
      <c r="C20" s="173">
        <f>'2016 01'!C16</f>
        <v>1.23572E-2</v>
      </c>
      <c r="D20" s="173">
        <f>'2016 02'!C16</f>
        <v>1.2231300000000001E-2</v>
      </c>
      <c r="E20" s="173">
        <f>'2016 03'!C16</f>
        <v>1.3410699999999999E-2</v>
      </c>
      <c r="F20" s="173">
        <f>'2016 04'!C16</f>
        <v>6.1320000000000003E-3</v>
      </c>
      <c r="G20" s="173">
        <f>'2016 05'!C16</f>
        <v>9.7076999999999997E-3</v>
      </c>
      <c r="H20" s="173">
        <f>'2016 06'!C16</f>
        <v>1.49759E-2</v>
      </c>
      <c r="I20" s="173">
        <f>'2016 07'!C16</f>
        <v>2.2413499999999999E-2</v>
      </c>
      <c r="J20" s="173">
        <f>'2016 08'!C16</f>
        <v>2.76887E-2</v>
      </c>
      <c r="K20" s="173">
        <f>'2016 09'!C16</f>
        <v>3.1455299999999999E-2</v>
      </c>
      <c r="L20" s="173">
        <f>'2016 10'!C16</f>
        <v>1.9869000000000001E-2</v>
      </c>
      <c r="M20" s="173">
        <f>'2016 11'!C16</f>
        <v>2.9619900000000001E-2</v>
      </c>
      <c r="N20" s="173">
        <f>'2016 12'!C16</f>
        <v>1.6795000000000001E-2</v>
      </c>
      <c r="O20" s="173"/>
    </row>
    <row r="21" spans="1:15" ht="17.25" x14ac:dyDescent="0.25">
      <c r="A21" s="9" t="s">
        <v>99</v>
      </c>
      <c r="B21" s="30" t="s">
        <v>60</v>
      </c>
      <c r="C21" s="173">
        <f>'2016 01'!C17</f>
        <v>0</v>
      </c>
      <c r="D21" s="173">
        <f>'2016 02'!C17</f>
        <v>0</v>
      </c>
      <c r="E21" s="173">
        <f>'2016 03'!C17</f>
        <v>0</v>
      </c>
      <c r="F21" s="173">
        <f>'2016 04'!C17</f>
        <v>0</v>
      </c>
      <c r="G21" s="173">
        <f>'2016 05'!C17</f>
        <v>0</v>
      </c>
      <c r="H21" s="173">
        <f>'2016 06'!C17</f>
        <v>0</v>
      </c>
      <c r="I21" s="173">
        <f>'2016 07'!C17</f>
        <v>0</v>
      </c>
      <c r="J21" s="173">
        <f>'2016 08'!C17</f>
        <v>0</v>
      </c>
      <c r="K21" s="173">
        <f>'2016 09'!C17</f>
        <v>0</v>
      </c>
      <c r="L21" s="173">
        <f>'2016 10'!C17</f>
        <v>0</v>
      </c>
      <c r="M21" s="173">
        <f>'2016 11'!C17</f>
        <v>0</v>
      </c>
      <c r="N21" s="173">
        <f>'2016 12'!C17</f>
        <v>0</v>
      </c>
      <c r="O21" s="173"/>
    </row>
    <row r="22" spans="1:15" ht="15.75" thickBot="1" x14ac:dyDescent="0.3">
      <c r="A22" s="10" t="s">
        <v>100</v>
      </c>
      <c r="B22" s="32" t="s">
        <v>61</v>
      </c>
      <c r="C22" s="203">
        <f>'2016 01'!C18</f>
        <v>9.5070000000000002E-2</v>
      </c>
      <c r="D22" s="203">
        <f>'2016 02'!C18</f>
        <v>9.7570000000000004E-2</v>
      </c>
      <c r="E22" s="203">
        <f>'2016 03'!C18</f>
        <v>9.6960000000000005E-2</v>
      </c>
      <c r="F22" s="203">
        <f>'2016 04'!C18</f>
        <v>9.6250000000000002E-2</v>
      </c>
      <c r="G22" s="203">
        <f>'2016 05'!C18</f>
        <v>0.11549</v>
      </c>
      <c r="H22" s="203">
        <f>'2016 06'!C18</f>
        <v>0.10709</v>
      </c>
      <c r="I22" s="203">
        <f>'2016 07'!C18</f>
        <v>0.10854999999999999</v>
      </c>
      <c r="J22" s="203">
        <f>'2016 08'!C18</f>
        <v>8.1467999999999999E-2</v>
      </c>
      <c r="K22" s="203">
        <f>'2016 09'!C18</f>
        <v>8.2869999999999999E-2</v>
      </c>
      <c r="L22" s="203">
        <f>'2016 10'!C18</f>
        <v>7.5670000000000001E-2</v>
      </c>
      <c r="M22" s="203">
        <f>'2016 11'!C18</f>
        <v>9.7430000000000003E-2</v>
      </c>
      <c r="N22" s="203">
        <f>'2016 12'!C18</f>
        <v>0.11869</v>
      </c>
      <c r="O22" s="203"/>
    </row>
    <row r="23" spans="1:15" ht="6.75" customHeight="1" thickBot="1" x14ac:dyDescent="0.3">
      <c r="B23" s="17"/>
      <c r="C23" s="8"/>
      <c r="D23" s="8"/>
      <c r="E23" s="8"/>
      <c r="F23" s="8"/>
      <c r="G23" s="8"/>
      <c r="H23" s="8"/>
      <c r="I23" s="8"/>
      <c r="J23" s="8"/>
      <c r="K23" s="8"/>
      <c r="L23" s="8"/>
      <c r="M23" s="8"/>
      <c r="N23" s="8"/>
      <c r="O23" s="8"/>
    </row>
    <row r="24" spans="1:15" ht="15.75" thickBot="1" x14ac:dyDescent="0.3">
      <c r="A24" s="234" t="s">
        <v>3</v>
      </c>
      <c r="B24" s="235"/>
      <c r="C24" s="235"/>
      <c r="D24" s="235"/>
      <c r="E24" s="235"/>
      <c r="F24" s="235"/>
      <c r="G24" s="235"/>
      <c r="H24" s="235"/>
      <c r="I24" s="235"/>
      <c r="J24" s="235"/>
      <c r="K24" s="235"/>
      <c r="L24" s="235"/>
      <c r="M24" s="235"/>
      <c r="N24" s="235"/>
      <c r="O24" s="236"/>
    </row>
    <row r="25" spans="1:15" x14ac:dyDescent="0.25">
      <c r="A25" s="9" t="s">
        <v>21</v>
      </c>
      <c r="B25" s="30" t="s">
        <v>62</v>
      </c>
      <c r="C25" s="174"/>
      <c r="D25" s="174"/>
      <c r="E25" s="174"/>
      <c r="F25" s="174"/>
      <c r="G25" s="174"/>
      <c r="H25" s="174"/>
      <c r="I25" s="174"/>
      <c r="J25" s="174"/>
      <c r="K25" s="174"/>
      <c r="L25" s="174"/>
      <c r="M25" s="174"/>
      <c r="N25" s="174"/>
      <c r="O25" s="174"/>
    </row>
    <row r="26" spans="1:15" x14ac:dyDescent="0.25">
      <c r="A26" s="8" t="s">
        <v>22</v>
      </c>
      <c r="B26" s="53" t="s">
        <v>63</v>
      </c>
      <c r="C26" s="175"/>
      <c r="D26" s="175"/>
      <c r="E26" s="175"/>
      <c r="F26" s="175"/>
      <c r="G26" s="175"/>
      <c r="H26" s="175"/>
      <c r="I26" s="175"/>
      <c r="J26" s="175"/>
      <c r="K26" s="175"/>
      <c r="L26" s="175"/>
      <c r="M26" s="175"/>
      <c r="N26" s="175"/>
      <c r="O26" s="175"/>
    </row>
    <row r="27" spans="1:15" x14ac:dyDescent="0.25">
      <c r="A27" s="9" t="s">
        <v>117</v>
      </c>
      <c r="B27" s="30" t="s">
        <v>64</v>
      </c>
      <c r="C27" s="109">
        <f>'2016 01'!H23</f>
        <v>19039507</v>
      </c>
      <c r="D27" s="109">
        <f>'2016 02'!H23</f>
        <v>26183199</v>
      </c>
      <c r="E27" s="109">
        <f>'2016 03'!H23</f>
        <v>30445901</v>
      </c>
      <c r="F27" s="109">
        <f>'2016 04'!H23</f>
        <v>23163158</v>
      </c>
      <c r="G27" s="109">
        <f>'2016 05'!H23</f>
        <v>19916221</v>
      </c>
      <c r="H27" s="109">
        <f>'2016 06'!H23</f>
        <v>19891560</v>
      </c>
      <c r="I27" s="109">
        <f>'2016 07'!H23</f>
        <v>22820448</v>
      </c>
      <c r="J27" s="109">
        <f>'2016 08'!H23</f>
        <v>29191236</v>
      </c>
      <c r="K27" s="109">
        <f>'2016 09'!H23</f>
        <v>26721556</v>
      </c>
      <c r="L27" s="109">
        <f>'2016 10'!H23</f>
        <v>20139721</v>
      </c>
      <c r="M27" s="109">
        <f>'2016 11'!H23</f>
        <v>17568823</v>
      </c>
      <c r="N27" s="109">
        <f>'2016 12'!H23</f>
        <v>16587141</v>
      </c>
      <c r="O27" s="109">
        <f t="shared" ref="O27:O34" si="1">SUM(C27:N27)</f>
        <v>271668471</v>
      </c>
    </row>
    <row r="28" spans="1:15" x14ac:dyDescent="0.25">
      <c r="A28" s="9"/>
      <c r="B28" s="30"/>
      <c r="C28" s="9"/>
      <c r="D28" s="9"/>
      <c r="E28" s="9"/>
      <c r="F28" s="9"/>
      <c r="G28" s="9"/>
      <c r="H28" s="9"/>
      <c r="I28" s="9"/>
      <c r="J28" s="9"/>
      <c r="K28" s="9"/>
      <c r="L28" s="9"/>
      <c r="M28" s="9"/>
      <c r="N28" s="9"/>
      <c r="O28" s="9"/>
    </row>
    <row r="29" spans="1:15" x14ac:dyDescent="0.25">
      <c r="A29" s="9" t="s">
        <v>118</v>
      </c>
      <c r="B29" s="30" t="s">
        <v>65</v>
      </c>
      <c r="C29" s="94">
        <f>'2016 01'!H25</f>
        <v>2028789.557</v>
      </c>
      <c r="D29" s="94">
        <f>'2016 02'!H25</f>
        <v>2785381.2830000003</v>
      </c>
      <c r="E29" s="94">
        <f>'2016 03'!H25</f>
        <v>3251775.0819999999</v>
      </c>
      <c r="F29" s="94">
        <f>'2016 04'!H25</f>
        <v>2465409.2999999998</v>
      </c>
      <c r="G29" s="94">
        <f>'2016 05'!H25</f>
        <v>2216617.0379999997</v>
      </c>
      <c r="H29" s="94">
        <f>'2016 06'!H25</f>
        <v>2197193.4929999998</v>
      </c>
      <c r="I29" s="94">
        <f>'2016 07'!H25</f>
        <v>2541843.1430000002</v>
      </c>
      <c r="J29" s="94">
        <f>'2016 08'!H25</f>
        <v>3341012.8319999995</v>
      </c>
      <c r="K29" s="94">
        <f>'2016 09'!H25</f>
        <v>3032534.0239999993</v>
      </c>
      <c r="L29" s="94">
        <f>'2016 10'!H25</f>
        <v>2269154.8029999998</v>
      </c>
      <c r="M29" s="94">
        <f>'2016 11'!H25</f>
        <v>1937123.1409999998</v>
      </c>
      <c r="N29" s="94">
        <f>'2016 12'!H25</f>
        <v>1858834.6209999998</v>
      </c>
      <c r="O29" s="94"/>
    </row>
    <row r="30" spans="1:15" x14ac:dyDescent="0.25">
      <c r="A30" s="9" t="s">
        <v>119</v>
      </c>
      <c r="B30" s="30" t="s">
        <v>66</v>
      </c>
      <c r="C30" s="94">
        <f>'2016 01'!H26</f>
        <v>235274.99590040001</v>
      </c>
      <c r="D30" s="94">
        <f>'2016 02'!H26</f>
        <v>320254.56192870002</v>
      </c>
      <c r="E30" s="94">
        <f>'2016 03'!H26</f>
        <v>408300.84454069997</v>
      </c>
      <c r="F30" s="94">
        <f>'2016 04'!H26</f>
        <v>142036.484856</v>
      </c>
      <c r="G30" s="94">
        <f>'2016 05'!H26</f>
        <v>193340.69860170002</v>
      </c>
      <c r="H30" s="94">
        <f>'2016 06'!H26</f>
        <v>297894.01340400003</v>
      </c>
      <c r="I30" s="94">
        <f>'2016 07'!H26</f>
        <v>511486.111248</v>
      </c>
      <c r="J30" s="94">
        <f>'2016 08'!H26</f>
        <v>808267.37623320008</v>
      </c>
      <c r="K30" s="94">
        <f>'2016 09'!H26</f>
        <v>840534.56044679997</v>
      </c>
      <c r="L30" s="94">
        <f>'2016 10'!H26</f>
        <v>400156.11654900003</v>
      </c>
      <c r="M30" s="94">
        <f>'2016 11'!H26</f>
        <v>520386.78037769999</v>
      </c>
      <c r="N30" s="94">
        <f>'2016 12'!H26</f>
        <v>278581.03309500002</v>
      </c>
      <c r="O30" s="94"/>
    </row>
    <row r="31" spans="1:15" ht="15.75" thickBot="1" x14ac:dyDescent="0.3">
      <c r="A31" s="10" t="s">
        <v>120</v>
      </c>
      <c r="B31" s="32" t="s">
        <v>67</v>
      </c>
      <c r="C31" s="95">
        <f>'2016 01'!H27</f>
        <v>1810085.9304900002</v>
      </c>
      <c r="D31" s="95">
        <f>'2016 02'!H27</f>
        <v>2554694.7264300003</v>
      </c>
      <c r="E31" s="95">
        <f>'2016 03'!H27</f>
        <v>2952034.5609600004</v>
      </c>
      <c r="F31" s="95">
        <f>'2016 04'!H27</f>
        <v>2229453.9575</v>
      </c>
      <c r="G31" s="95">
        <f>'2016 05'!H27</f>
        <v>2300124.3632899998</v>
      </c>
      <c r="H31" s="95">
        <f>'2016 06'!H27</f>
        <v>2130187.1604000004</v>
      </c>
      <c r="I31" s="95">
        <f>'2016 07'!H27</f>
        <v>2477159.6304000001</v>
      </c>
      <c r="J31" s="95">
        <f>'2016 08'!H27</f>
        <v>2378151.6144479997</v>
      </c>
      <c r="K31" s="95">
        <f>'2016 09'!H27</f>
        <v>2214415.3457200001</v>
      </c>
      <c r="L31" s="95">
        <f>'2016 10'!H27</f>
        <v>1523972.6880700001</v>
      </c>
      <c r="M31" s="95">
        <f>'2016 11'!H27</f>
        <v>1711730.4248899999</v>
      </c>
      <c r="N31" s="95">
        <f>'2016 12'!H27</f>
        <v>1968727.76529</v>
      </c>
      <c r="O31" s="95"/>
    </row>
    <row r="32" spans="1:15" x14ac:dyDescent="0.25">
      <c r="A32" s="18" t="s">
        <v>121</v>
      </c>
      <c r="B32" s="31" t="s">
        <v>68</v>
      </c>
      <c r="C32" s="140">
        <f>'2016 01'!H28</f>
        <v>-16572</v>
      </c>
      <c r="D32" s="140">
        <f>'2016 02'!H28</f>
        <v>-89568</v>
      </c>
      <c r="E32" s="140">
        <f>'2016 03'!H28</f>
        <v>-108559</v>
      </c>
      <c r="F32" s="140">
        <f>'2016 04'!H28</f>
        <v>93919</v>
      </c>
      <c r="G32" s="140">
        <f>'2016 05'!H28</f>
        <v>-276848</v>
      </c>
      <c r="H32" s="140">
        <f>'2016 06'!H28</f>
        <v>-230888</v>
      </c>
      <c r="I32" s="140">
        <f>'2016 07'!H28</f>
        <v>-446803</v>
      </c>
      <c r="J32" s="140">
        <f>'2016 08'!H28</f>
        <v>154595</v>
      </c>
      <c r="K32" s="140">
        <f>'2016 09'!H28</f>
        <v>-22417</v>
      </c>
      <c r="L32" s="140">
        <f>'2016 10'!H28</f>
        <v>345027</v>
      </c>
      <c r="M32" s="140">
        <f>'2016 11'!H28</f>
        <v>-294994</v>
      </c>
      <c r="N32" s="140">
        <f>'2016 12'!H28</f>
        <v>-388473</v>
      </c>
      <c r="O32" s="110">
        <f t="shared" si="1"/>
        <v>-1281581</v>
      </c>
    </row>
    <row r="33" spans="1:15" x14ac:dyDescent="0.25">
      <c r="A33" s="66" t="s">
        <v>122</v>
      </c>
      <c r="B33" s="67" t="s">
        <v>69</v>
      </c>
      <c r="C33" s="111">
        <f>'2016 01'!H29</f>
        <v>0</v>
      </c>
      <c r="D33" s="111">
        <f>'2016 02'!H29</f>
        <v>0</v>
      </c>
      <c r="E33" s="111">
        <f>'2016 03'!H29</f>
        <v>0</v>
      </c>
      <c r="F33" s="111">
        <f>'2016 04'!H29</f>
        <v>93919</v>
      </c>
      <c r="G33" s="111">
        <f>'2016 05'!H29</f>
        <v>0</v>
      </c>
      <c r="H33" s="111">
        <f>'2016 06'!H29</f>
        <v>0</v>
      </c>
      <c r="I33" s="111">
        <f>'2016 07'!H29</f>
        <v>0</v>
      </c>
      <c r="J33" s="111">
        <f>'2016 08'!H29</f>
        <v>154595</v>
      </c>
      <c r="K33" s="111">
        <f>'2016 09'!H29</f>
        <v>0</v>
      </c>
      <c r="L33" s="111">
        <f>'2016 10'!H29</f>
        <v>345027</v>
      </c>
      <c r="M33" s="111">
        <f>'2016 11'!H29</f>
        <v>0</v>
      </c>
      <c r="N33" s="111">
        <f>'2016 12'!H29</f>
        <v>0</v>
      </c>
      <c r="O33" s="111">
        <f t="shared" si="1"/>
        <v>593541</v>
      </c>
    </row>
    <row r="34" spans="1:15" ht="15.75" thickBot="1" x14ac:dyDescent="0.3">
      <c r="A34" s="71" t="s">
        <v>123</v>
      </c>
      <c r="B34" s="72" t="s">
        <v>70</v>
      </c>
      <c r="C34" s="112">
        <f>'2016 01'!H30</f>
        <v>16572</v>
      </c>
      <c r="D34" s="112">
        <f>'2016 02'!H30</f>
        <v>89568</v>
      </c>
      <c r="E34" s="112">
        <f>'2016 03'!H30</f>
        <v>108559</v>
      </c>
      <c r="F34" s="112">
        <f>'2016 04'!H30</f>
        <v>0</v>
      </c>
      <c r="G34" s="112">
        <f>'2016 05'!H30</f>
        <v>276848</v>
      </c>
      <c r="H34" s="112">
        <f>'2016 06'!H30</f>
        <v>230888</v>
      </c>
      <c r="I34" s="112">
        <f>'2016 07'!H30</f>
        <v>446803</v>
      </c>
      <c r="J34" s="112">
        <f>'2016 08'!H30</f>
        <v>0</v>
      </c>
      <c r="K34" s="112">
        <f>'2016 09'!H30</f>
        <v>22417</v>
      </c>
      <c r="L34" s="112">
        <f>'2016 10'!H30</f>
        <v>0</v>
      </c>
      <c r="M34" s="112">
        <f>'2016 11'!H30</f>
        <v>294994</v>
      </c>
      <c r="N34" s="112">
        <f>'2016 12'!H30</f>
        <v>388473</v>
      </c>
      <c r="O34" s="112">
        <f t="shared" si="1"/>
        <v>1875122</v>
      </c>
    </row>
    <row r="35" spans="1:15" ht="6.75" customHeight="1" x14ac:dyDescent="0.25">
      <c r="B35" s="17"/>
      <c r="C35" s="113"/>
      <c r="D35" s="113"/>
      <c r="E35" s="113"/>
      <c r="F35" s="113"/>
      <c r="G35" s="113"/>
      <c r="H35" s="113"/>
      <c r="I35" s="113"/>
      <c r="J35" s="113"/>
      <c r="K35" s="113"/>
      <c r="L35" s="113"/>
      <c r="M35" s="113"/>
      <c r="N35" s="113"/>
      <c r="O35" s="113"/>
    </row>
    <row r="36" spans="1:15" ht="4.5" customHeight="1" thickBot="1" x14ac:dyDescent="0.3">
      <c r="B36" s="17"/>
      <c r="C36" s="113"/>
      <c r="D36" s="113"/>
      <c r="E36" s="113"/>
      <c r="F36" s="113"/>
      <c r="G36" s="113"/>
      <c r="H36" s="113"/>
      <c r="I36" s="113"/>
      <c r="J36" s="113"/>
      <c r="K36" s="113"/>
      <c r="L36" s="113"/>
      <c r="M36" s="113"/>
      <c r="N36" s="113"/>
      <c r="O36" s="113"/>
    </row>
    <row r="37" spans="1:15" ht="15.75" thickBot="1" x14ac:dyDescent="0.3">
      <c r="A37" s="228" t="s">
        <v>41</v>
      </c>
      <c r="B37" s="229"/>
      <c r="C37" s="229"/>
      <c r="D37" s="229"/>
      <c r="E37" s="229"/>
      <c r="F37" s="229"/>
      <c r="G37" s="229"/>
      <c r="H37" s="229"/>
      <c r="I37" s="229"/>
      <c r="J37" s="229"/>
      <c r="K37" s="229"/>
      <c r="L37" s="229"/>
      <c r="M37" s="229"/>
      <c r="N37" s="229"/>
      <c r="O37" s="230"/>
    </row>
    <row r="38" spans="1:15" ht="6.75" customHeight="1" x14ac:dyDescent="0.25">
      <c r="A38" s="2" t="s">
        <v>10</v>
      </c>
      <c r="B38" s="2"/>
      <c r="C38" s="9"/>
      <c r="D38" s="9"/>
      <c r="E38" s="9"/>
      <c r="F38" s="9"/>
      <c r="G38" s="9"/>
      <c r="H38" s="9"/>
      <c r="I38" s="9"/>
      <c r="J38" s="9"/>
      <c r="K38" s="9"/>
      <c r="L38" s="9"/>
      <c r="M38" s="9"/>
      <c r="N38" s="9"/>
      <c r="O38" s="9"/>
    </row>
    <row r="39" spans="1:15" ht="4.5" customHeight="1" thickBot="1" x14ac:dyDescent="0.3">
      <c r="B39" s="17"/>
      <c r="C39" s="113"/>
      <c r="D39" s="113"/>
      <c r="E39" s="113"/>
      <c r="F39" s="113"/>
      <c r="G39" s="113"/>
      <c r="H39" s="113"/>
      <c r="I39" s="113"/>
      <c r="J39" s="113"/>
      <c r="K39" s="113"/>
      <c r="L39" s="113"/>
      <c r="M39" s="113"/>
      <c r="N39" s="113"/>
      <c r="O39" s="113"/>
    </row>
    <row r="40" spans="1:15" ht="15.75" thickBot="1" x14ac:dyDescent="0.3">
      <c r="A40" s="13"/>
      <c r="B40" s="13"/>
      <c r="C40" s="237" t="s">
        <v>17</v>
      </c>
      <c r="D40" s="238"/>
      <c r="E40" s="238"/>
      <c r="F40" s="238"/>
      <c r="G40" s="238"/>
      <c r="H40" s="238"/>
      <c r="I40" s="238"/>
      <c r="J40" s="238"/>
      <c r="K40" s="238"/>
      <c r="L40" s="238"/>
      <c r="M40" s="238"/>
      <c r="N40" s="238"/>
      <c r="O40" s="239"/>
    </row>
    <row r="41" spans="1:15" x14ac:dyDescent="0.25">
      <c r="A41" s="177" t="s">
        <v>14</v>
      </c>
      <c r="B41" s="178" t="s">
        <v>27</v>
      </c>
      <c r="C41" s="179">
        <f>'2016 01'!C37</f>
        <v>44481875</v>
      </c>
      <c r="D41" s="176">
        <f>'2016 02'!C37</f>
        <v>42024072</v>
      </c>
      <c r="E41" s="176">
        <f>'2016 03'!C37</f>
        <v>42506591</v>
      </c>
      <c r="F41" s="176">
        <f>'2016 04'!C37</f>
        <v>39991900</v>
      </c>
      <c r="G41" s="176">
        <f>'2016 05'!C37</f>
        <v>41303308</v>
      </c>
      <c r="H41" s="176">
        <f>'2016 06'!C37</f>
        <v>45203994</v>
      </c>
      <c r="I41" s="176">
        <f>'2016 07'!C37</f>
        <v>49505951</v>
      </c>
      <c r="J41" s="176">
        <f>'2016 08'!C37</f>
        <v>50443475</v>
      </c>
      <c r="K41" s="176">
        <f>'2016 09'!C37</f>
        <v>42560558</v>
      </c>
      <c r="L41" s="176">
        <f>'2016 10'!C37</f>
        <v>39190292</v>
      </c>
      <c r="M41" s="176">
        <f>'2016 11'!C37</f>
        <v>39353160</v>
      </c>
      <c r="N41" s="176">
        <f>'2016 12'!C37</f>
        <v>43820710</v>
      </c>
      <c r="O41" s="176">
        <f t="shared" ref="O41:O49" si="2">SUM(C41:N41)</f>
        <v>520385886</v>
      </c>
    </row>
    <row r="42" spans="1:15" ht="17.25" x14ac:dyDescent="0.25">
      <c r="A42" s="8" t="s">
        <v>124</v>
      </c>
      <c r="B42" s="53" t="s">
        <v>28</v>
      </c>
      <c r="C42" s="180">
        <f>'2016 01'!C38</f>
        <v>1089781.8289999999</v>
      </c>
      <c r="D42" s="171">
        <f>'2016 02'!C38</f>
        <v>1043920.414</v>
      </c>
      <c r="E42" s="171">
        <f>'2016 03'!C38</f>
        <v>1003332.8639999999</v>
      </c>
      <c r="F42" s="171">
        <f>'2016 04'!C38</f>
        <v>887260.38</v>
      </c>
      <c r="G42" s="171">
        <f>'2016 05'!C38</f>
        <v>835490.94199999992</v>
      </c>
      <c r="H42" s="171">
        <f>'2016 06'!C38</f>
        <v>844367.71600000001</v>
      </c>
      <c r="I42" s="171">
        <f>'2016 07'!C38</f>
        <v>941338.527</v>
      </c>
      <c r="J42" s="171">
        <f>'2016 08'!C38</f>
        <v>980208.38599999994</v>
      </c>
      <c r="K42" s="171">
        <f>'2016 09'!C38</f>
        <v>844555.375</v>
      </c>
      <c r="L42" s="171">
        <f>'2016 10'!C38</f>
        <v>825522.72600000002</v>
      </c>
      <c r="M42" s="171">
        <f>'2016 11'!C38</f>
        <v>873670.56099999999</v>
      </c>
      <c r="N42" s="171">
        <f>'2016 12'!C38</f>
        <v>1063684.2859999998</v>
      </c>
      <c r="O42" s="171">
        <f t="shared" si="2"/>
        <v>11233134.005999999</v>
      </c>
    </row>
    <row r="43" spans="1:15" ht="17.25" x14ac:dyDescent="0.25">
      <c r="A43" s="8" t="s">
        <v>125</v>
      </c>
      <c r="B43" s="53" t="s">
        <v>29</v>
      </c>
      <c r="C43" s="180">
        <f>'2016 01'!C39</f>
        <v>425909.17100000003</v>
      </c>
      <c r="D43" s="171">
        <f>'2016 02'!C39</f>
        <v>407985.58600000007</v>
      </c>
      <c r="E43" s="171">
        <f>'2016 03'!C39</f>
        <v>392123.13600000006</v>
      </c>
      <c r="F43" s="171">
        <f>'2016 04'!C39</f>
        <v>346759.62000000005</v>
      </c>
      <c r="G43" s="171">
        <f>'2016 05'!C39</f>
        <v>326527.05800000002</v>
      </c>
      <c r="H43" s="171">
        <f>'2016 06'!C39</f>
        <v>329996.28400000004</v>
      </c>
      <c r="I43" s="171">
        <f>'2016 07'!C39</f>
        <v>367894.47300000006</v>
      </c>
      <c r="J43" s="171">
        <f>'2016 08'!C39</f>
        <v>383085.61400000006</v>
      </c>
      <c r="K43" s="171">
        <f>'2016 09'!C39</f>
        <v>330069.62500000006</v>
      </c>
      <c r="L43" s="171">
        <f>'2016 10'!C39</f>
        <v>322631.27400000003</v>
      </c>
      <c r="M43" s="171">
        <f>'2016 11'!C39</f>
        <v>341448.43900000001</v>
      </c>
      <c r="N43" s="171">
        <f>'2016 12'!C39</f>
        <v>415709.71400000004</v>
      </c>
      <c r="O43" s="171">
        <f t="shared" si="2"/>
        <v>4390139.9940000009</v>
      </c>
    </row>
    <row r="44" spans="1:15" ht="17.25" x14ac:dyDescent="0.25">
      <c r="A44" s="8" t="s">
        <v>126</v>
      </c>
      <c r="B44" s="53" t="s">
        <v>30</v>
      </c>
      <c r="C44" s="180">
        <f>'2016 01'!C40</f>
        <v>14274636.096000001</v>
      </c>
      <c r="D44" s="171">
        <f>'2016 02'!C40</f>
        <v>13435574.936000001</v>
      </c>
      <c r="E44" s="171">
        <f>'2016 03'!C40</f>
        <v>13010665.024</v>
      </c>
      <c r="F44" s="171">
        <f>'2016 04'!C40</f>
        <v>11493638.016000001</v>
      </c>
      <c r="G44" s="171">
        <f>'2016 05'!C40</f>
        <v>11940118.064000001</v>
      </c>
      <c r="H44" s="171">
        <f>'2016 06'!C40</f>
        <v>14020619.956</v>
      </c>
      <c r="I44" s="171">
        <f>'2016 07'!C40</f>
        <v>16933898.855999999</v>
      </c>
      <c r="J44" s="171">
        <f>'2016 08'!C40</f>
        <v>17104482.864</v>
      </c>
      <c r="K44" s="171">
        <f>'2016 09'!C40</f>
        <v>13289081.036</v>
      </c>
      <c r="L44" s="171">
        <f>'2016 10'!C40</f>
        <v>11482331.308</v>
      </c>
      <c r="M44" s="171">
        <f>'2016 11'!C40</f>
        <v>11803477.364</v>
      </c>
      <c r="N44" s="171">
        <f>'2016 12'!C40</f>
        <v>14344381.296</v>
      </c>
      <c r="O44" s="171">
        <f t="shared" si="2"/>
        <v>163132904.81600001</v>
      </c>
    </row>
    <row r="45" spans="1:15" ht="17.25" x14ac:dyDescent="0.25">
      <c r="A45" s="8" t="s">
        <v>127</v>
      </c>
      <c r="B45" s="53" t="s">
        <v>31</v>
      </c>
      <c r="C45" s="180">
        <f>'2016 01'!C41</f>
        <v>3777015.5135999997</v>
      </c>
      <c r="D45" s="171">
        <f>'2016 02'!C41</f>
        <v>3555003.0575999999</v>
      </c>
      <c r="E45" s="171">
        <f>'2016 03'!C41</f>
        <v>3442573.4783999999</v>
      </c>
      <c r="F45" s="171">
        <f>'2016 04'!C41</f>
        <v>3041173.7856000001</v>
      </c>
      <c r="G45" s="171">
        <f>'2016 05'!C41</f>
        <v>3159310.7423999999</v>
      </c>
      <c r="H45" s="171">
        <f>'2016 06'!C41</f>
        <v>3709803.7895999998</v>
      </c>
      <c r="I45" s="171">
        <f>'2016 07'!C41</f>
        <v>4480646.5296</v>
      </c>
      <c r="J45" s="171">
        <f>'2016 08'!C41</f>
        <v>4525782.4223999996</v>
      </c>
      <c r="K45" s="171">
        <f>'2016 09'!C41</f>
        <v>3516241.3175999997</v>
      </c>
      <c r="L45" s="171">
        <f>'2016 10'!C41</f>
        <v>3038182.0727999997</v>
      </c>
      <c r="M45" s="171">
        <f>'2016 11'!C41</f>
        <v>3123156.1223999998</v>
      </c>
      <c r="N45" s="171">
        <f>'2016 12'!C41</f>
        <v>3795469.8336</v>
      </c>
      <c r="O45" s="171">
        <f t="shared" si="2"/>
        <v>43164358.665600002</v>
      </c>
    </row>
    <row r="46" spans="1:15" ht="17.25" x14ac:dyDescent="0.25">
      <c r="A46" s="8" t="s">
        <v>128</v>
      </c>
      <c r="B46" s="53" t="s">
        <v>32</v>
      </c>
      <c r="C46" s="181">
        <f>'2016 01'!C42</f>
        <v>4113932.3903999999</v>
      </c>
      <c r="D46" s="172">
        <f>'2016 02'!C42</f>
        <v>3872116.0063999998</v>
      </c>
      <c r="E46" s="172">
        <f>'2016 03'!C42</f>
        <v>3749657.4975999999</v>
      </c>
      <c r="F46" s="172">
        <f>'2016 04'!C42</f>
        <v>3312452.1983999996</v>
      </c>
      <c r="G46" s="172">
        <f>'2016 05'!C42</f>
        <v>3441127.1935999999</v>
      </c>
      <c r="H46" s="172">
        <f>'2016 06'!C42</f>
        <v>4040725.2543999995</v>
      </c>
      <c r="I46" s="172">
        <f>'2016 07'!C42</f>
        <v>4880328.6143999994</v>
      </c>
      <c r="J46" s="172">
        <f>'2016 08'!C42</f>
        <v>4929490.7135999994</v>
      </c>
      <c r="K46" s="172">
        <f>'2016 09'!C42</f>
        <v>3829896.6464</v>
      </c>
      <c r="L46" s="172">
        <f>'2016 10'!C42</f>
        <v>3309193.6191999996</v>
      </c>
      <c r="M46" s="172">
        <f>'2016 11'!C42</f>
        <v>3401747.5135999997</v>
      </c>
      <c r="N46" s="172">
        <f>'2016 12'!C42</f>
        <v>4134032.8703999999</v>
      </c>
      <c r="O46" s="172">
        <f t="shared" si="2"/>
        <v>47014700.518399991</v>
      </c>
    </row>
    <row r="47" spans="1:15" x14ac:dyDescent="0.25">
      <c r="A47" s="18" t="s">
        <v>129</v>
      </c>
      <c r="B47" s="31" t="s">
        <v>33</v>
      </c>
      <c r="C47" s="108">
        <f>'2016 01'!C43</f>
        <v>23681275</v>
      </c>
      <c r="D47" s="108">
        <f>'2016 02'!C43</f>
        <v>22314600</v>
      </c>
      <c r="E47" s="108">
        <f>'2016 03'!C43</f>
        <v>21598352</v>
      </c>
      <c r="F47" s="108">
        <f>'2016 04'!C43</f>
        <v>19081284</v>
      </c>
      <c r="G47" s="108">
        <f>'2016 05'!C43</f>
        <v>19702574</v>
      </c>
      <c r="H47" s="108">
        <f>'2016 06'!C43</f>
        <v>22945513</v>
      </c>
      <c r="I47" s="108">
        <f>'2016 07'!C43</f>
        <v>27604107</v>
      </c>
      <c r="J47" s="108">
        <f>'2016 08'!C43</f>
        <v>27923049.999999996</v>
      </c>
      <c r="K47" s="108">
        <f>'2016 09'!C43</f>
        <v>21809844</v>
      </c>
      <c r="L47" s="108">
        <f>'2016 10'!C43</f>
        <v>18977861</v>
      </c>
      <c r="M47" s="108">
        <f>'2016 11'!C43</f>
        <v>19543500</v>
      </c>
      <c r="N47" s="108">
        <f>'2016 12'!C43</f>
        <v>23753278</v>
      </c>
      <c r="O47" s="108">
        <f t="shared" si="2"/>
        <v>268935238</v>
      </c>
    </row>
    <row r="48" spans="1:15" x14ac:dyDescent="0.25">
      <c r="A48" s="9" t="s">
        <v>2</v>
      </c>
      <c r="B48" s="30" t="s">
        <v>34</v>
      </c>
      <c r="C48" s="173">
        <f>'2016 01'!C44</f>
        <v>3.29864873398329E-2</v>
      </c>
      <c r="D48" s="173">
        <f>'2016 02'!C44</f>
        <v>1.8171132910150101E-2</v>
      </c>
      <c r="E48" s="173">
        <f>'2016 03'!C44</f>
        <v>1.7414805626742465E-2</v>
      </c>
      <c r="F48" s="173">
        <f>'2016 04'!C44</f>
        <v>2.9843729214005695E-2</v>
      </c>
      <c r="G48" s="173">
        <f>'2016 05'!C44</f>
        <v>1.3689006521769536E-2</v>
      </c>
      <c r="H48" s="173">
        <f>'2016 06'!C44</f>
        <v>1.8454549355856161E-2</v>
      </c>
      <c r="I48" s="173">
        <f>'2016 07'!C44</f>
        <v>3.0844886380531185E-2</v>
      </c>
      <c r="J48" s="173">
        <f>'2016 08'!C44</f>
        <v>2.9241521688392683E-2</v>
      </c>
      <c r="K48" s="173">
        <f>'2016 09'!C44</f>
        <v>3.0637657707435897E-2</v>
      </c>
      <c r="L48" s="173">
        <f>'2016 10'!C44</f>
        <v>1.4064860032219977E-2</v>
      </c>
      <c r="M48" s="173">
        <f>'2016 11'!C44</f>
        <v>2.6820374364442002E-2</v>
      </c>
      <c r="N48" s="173">
        <f>'2016 12'!C44</f>
        <v>2.7717934245243027E-2</v>
      </c>
      <c r="O48" s="173"/>
    </row>
    <row r="49" spans="1:15" ht="17.25" x14ac:dyDescent="0.25">
      <c r="A49" s="9" t="s">
        <v>87</v>
      </c>
      <c r="B49" s="30" t="s">
        <v>35</v>
      </c>
      <c r="C49" s="171">
        <f>'2016 01'!C45</f>
        <v>45315053.846153848</v>
      </c>
      <c r="D49" s="171">
        <f>'2016 02'!C45</f>
        <v>41541076.923076928</v>
      </c>
      <c r="E49" s="171">
        <f>'2016 03'!C45</f>
        <v>41395176.923076928</v>
      </c>
      <c r="F49" s="171">
        <f>'2016 04'!C45</f>
        <v>39414946.15384616</v>
      </c>
      <c r="G49" s="171">
        <f>'2016 05'!C45</f>
        <v>40694476.923076928</v>
      </c>
      <c r="H49" s="171">
        <f>'2016 06'!C45</f>
        <v>44076992.307692304</v>
      </c>
      <c r="I49" s="171">
        <f>'2016 07'!C45</f>
        <v>50187092.307692312</v>
      </c>
      <c r="J49" s="171">
        <f>'2016 08'!C45</f>
        <v>52272200</v>
      </c>
      <c r="K49" s="171">
        <f>'2016 09'!C45</f>
        <v>42823330.769230776</v>
      </c>
      <c r="L49" s="171">
        <f>'2016 10'!C45</f>
        <v>39617084.615384616</v>
      </c>
      <c r="M49" s="171">
        <f>'2016 11'!C45</f>
        <v>39695584.615384616</v>
      </c>
      <c r="N49" s="171">
        <f>'2016 12'!C45</f>
        <v>44259330.769230768</v>
      </c>
      <c r="O49" s="171">
        <f t="shared" si="2"/>
        <v>521292346.1538462</v>
      </c>
    </row>
    <row r="50" spans="1:15" ht="17.25" x14ac:dyDescent="0.25">
      <c r="A50" s="9" t="s">
        <v>38</v>
      </c>
      <c r="B50" s="30" t="s">
        <v>36</v>
      </c>
      <c r="C50" s="173">
        <f>'2016 01'!C46</f>
        <v>91.79</v>
      </c>
      <c r="D50" s="173">
        <f>'2016 02'!C46</f>
        <v>98.51</v>
      </c>
      <c r="E50" s="173">
        <f>'2016 03'!C46</f>
        <v>106.1</v>
      </c>
      <c r="F50" s="173">
        <f>'2016 04'!C46</f>
        <v>111.32</v>
      </c>
      <c r="G50" s="173">
        <f>'2016 05'!C46</f>
        <v>107.49</v>
      </c>
      <c r="H50" s="173">
        <f>'2016 06'!C46</f>
        <v>95.45</v>
      </c>
      <c r="I50" s="173">
        <f>'2016 07'!C46</f>
        <v>83.06</v>
      </c>
      <c r="J50" s="173">
        <f>'2016 08'!C46</f>
        <v>71.03</v>
      </c>
      <c r="K50" s="173">
        <f>'2016 09'!C46</f>
        <v>95.31</v>
      </c>
      <c r="L50" s="173">
        <f>'2016 10'!C46</f>
        <v>112.26</v>
      </c>
      <c r="M50" s="173">
        <f>'2016 11'!C46</f>
        <v>111.09</v>
      </c>
      <c r="N50" s="173">
        <f>'2016 12'!C46</f>
        <v>87.08</v>
      </c>
      <c r="O50" s="173"/>
    </row>
    <row r="51" spans="1:15" ht="15.75" thickBot="1" x14ac:dyDescent="0.3">
      <c r="A51" s="10" t="s">
        <v>39</v>
      </c>
      <c r="B51" s="32" t="s">
        <v>37</v>
      </c>
      <c r="C51" s="203">
        <f>'2016 01'!C47</f>
        <v>9.179000000000001E-2</v>
      </c>
      <c r="D51" s="203">
        <f>'2016 02'!C47</f>
        <v>9.851E-2</v>
      </c>
      <c r="E51" s="203">
        <f>'2016 03'!C47</f>
        <v>0.1061</v>
      </c>
      <c r="F51" s="203">
        <f>'2016 04'!C47</f>
        <v>0.11131999999999999</v>
      </c>
      <c r="G51" s="203">
        <f>'2016 05'!C47</f>
        <v>0.10748999999999999</v>
      </c>
      <c r="H51" s="203">
        <f>'2016 06'!C47</f>
        <v>9.5450000000000007E-2</v>
      </c>
      <c r="I51" s="203">
        <f>'2016 07'!C47</f>
        <v>8.3060000000000009E-2</v>
      </c>
      <c r="J51" s="203">
        <f>'2016 08'!C47</f>
        <v>7.1029999999999996E-2</v>
      </c>
      <c r="K51" s="203">
        <f>'2016 09'!C47</f>
        <v>9.5310000000000006E-2</v>
      </c>
      <c r="L51" s="203">
        <f>'2016 10'!C47</f>
        <v>0.11226</v>
      </c>
      <c r="M51" s="203">
        <f>'2016 11'!C47</f>
        <v>0.11109000000000001</v>
      </c>
      <c r="N51" s="203">
        <f>'2016 12'!C47</f>
        <v>8.7080000000000005E-2</v>
      </c>
      <c r="O51" s="203"/>
    </row>
    <row r="52" spans="1:15" ht="8.25" customHeight="1" thickBot="1" x14ac:dyDescent="0.3">
      <c r="B52" s="17"/>
      <c r="C52" s="9"/>
      <c r="D52" s="9"/>
      <c r="E52" s="9"/>
      <c r="F52" s="9"/>
      <c r="G52" s="9"/>
      <c r="H52" s="9"/>
      <c r="I52" s="9"/>
      <c r="J52" s="9"/>
      <c r="K52" s="9"/>
      <c r="L52" s="9"/>
      <c r="M52" s="9"/>
      <c r="N52" s="9"/>
      <c r="O52" s="9"/>
    </row>
    <row r="53" spans="1:15" ht="15.75" thickBot="1" x14ac:dyDescent="0.3">
      <c r="A53" s="182" t="s">
        <v>137</v>
      </c>
      <c r="B53" s="183"/>
      <c r="C53" s="183"/>
      <c r="D53" s="183"/>
      <c r="E53" s="183"/>
      <c r="F53" s="183"/>
      <c r="G53" s="183"/>
      <c r="H53" s="183"/>
      <c r="I53" s="183"/>
      <c r="J53" s="183"/>
      <c r="K53" s="183"/>
      <c r="L53" s="183"/>
      <c r="M53" s="183"/>
      <c r="N53" s="183"/>
      <c r="O53" s="184"/>
    </row>
    <row r="54" spans="1:15" x14ac:dyDescent="0.25">
      <c r="A54" s="9" t="s">
        <v>21</v>
      </c>
      <c r="B54" s="30" t="s">
        <v>43</v>
      </c>
      <c r="C54" s="174"/>
      <c r="D54" s="174"/>
      <c r="E54" s="174"/>
      <c r="F54" s="174"/>
      <c r="G54" s="174"/>
      <c r="H54" s="174"/>
      <c r="I54" s="174"/>
      <c r="J54" s="174"/>
      <c r="K54" s="174"/>
      <c r="L54" s="174"/>
      <c r="M54" s="174"/>
      <c r="N54" s="174"/>
      <c r="O54" s="174"/>
    </row>
    <row r="55" spans="1:15" x14ac:dyDescent="0.25">
      <c r="A55" s="8" t="s">
        <v>22</v>
      </c>
      <c r="B55" s="53" t="s">
        <v>44</v>
      </c>
      <c r="C55" s="175"/>
      <c r="D55" s="175"/>
      <c r="E55" s="175"/>
      <c r="F55" s="175"/>
      <c r="G55" s="175"/>
      <c r="H55" s="175"/>
      <c r="I55" s="175"/>
      <c r="J55" s="175"/>
      <c r="K55" s="175"/>
      <c r="L55" s="175"/>
      <c r="M55" s="175"/>
      <c r="N55" s="175"/>
      <c r="O55" s="175"/>
    </row>
    <row r="56" spans="1:15" x14ac:dyDescent="0.25">
      <c r="A56" s="9" t="s">
        <v>130</v>
      </c>
      <c r="B56" s="30" t="s">
        <v>45</v>
      </c>
      <c r="C56" s="109">
        <f>'2016 01'!H52</f>
        <v>23681275</v>
      </c>
      <c r="D56" s="109">
        <f>'2016 02'!H52</f>
        <v>22314600</v>
      </c>
      <c r="E56" s="109">
        <f>'2016 03'!H52</f>
        <v>21598352</v>
      </c>
      <c r="F56" s="109">
        <f>'2016 04'!H52</f>
        <v>19081284</v>
      </c>
      <c r="G56" s="109">
        <f>'2016 05'!H52</f>
        <v>19702574</v>
      </c>
      <c r="H56" s="109">
        <f>'2016 06'!H52</f>
        <v>22945513</v>
      </c>
      <c r="I56" s="109">
        <f>'2016 07'!H52</f>
        <v>27604107</v>
      </c>
      <c r="J56" s="109">
        <f>'2016 08'!H52</f>
        <v>27923049.999999996</v>
      </c>
      <c r="K56" s="109">
        <f>'2016 09'!H52</f>
        <v>21809844</v>
      </c>
      <c r="L56" s="109">
        <f>'2016 10'!H52</f>
        <v>18977861</v>
      </c>
      <c r="M56" s="109">
        <f>'2016 11'!H52</f>
        <v>19543500</v>
      </c>
      <c r="N56" s="109">
        <f>'2016 12'!H52</f>
        <v>23753278</v>
      </c>
      <c r="O56" s="109">
        <f t="shared" ref="O56:O63" si="3">SUM(C56:N56)</f>
        <v>268935238</v>
      </c>
    </row>
    <row r="57" spans="1:15" x14ac:dyDescent="0.25">
      <c r="A57" s="9"/>
      <c r="B57" s="30"/>
      <c r="C57" s="9"/>
      <c r="D57" s="9"/>
      <c r="E57" s="9"/>
      <c r="F57" s="9"/>
      <c r="G57" s="9"/>
      <c r="H57" s="9"/>
      <c r="I57" s="9"/>
      <c r="J57" s="9"/>
      <c r="K57" s="9"/>
      <c r="L57" s="9"/>
      <c r="M57" s="9"/>
      <c r="N57" s="9"/>
      <c r="O57" s="9"/>
    </row>
    <row r="58" spans="1:15" x14ac:dyDescent="0.25">
      <c r="A58" s="9" t="s">
        <v>131</v>
      </c>
      <c r="B58" s="30" t="s">
        <v>46</v>
      </c>
      <c r="C58" s="114">
        <f>'2016 01'!H54</f>
        <v>2545484.8149357997</v>
      </c>
      <c r="D58" s="114">
        <f>'2016 02'!H54</f>
        <v>2398487.8611428002</v>
      </c>
      <c r="E58" s="114">
        <f>'2016 03'!H54</f>
        <v>2321540.9016192001</v>
      </c>
      <c r="F58" s="114">
        <f>'2016 04'!H54</f>
        <v>2050984.2281447998</v>
      </c>
      <c r="G58" s="114">
        <f>'2016 05'!H54</f>
        <v>2200787.5254568001</v>
      </c>
      <c r="H58" s="114">
        <f>'2016 06'!H54</f>
        <v>2563718.0073031997</v>
      </c>
      <c r="I58" s="114">
        <f>'2016 07'!H54</f>
        <v>3084626.7924851994</v>
      </c>
      <c r="J58" s="114">
        <f>'2016 08'!H54</f>
        <v>3120116.4404247999</v>
      </c>
      <c r="K58" s="114">
        <f>'2016 09'!H54</f>
        <v>2436602.9286571997</v>
      </c>
      <c r="L58" s="114">
        <f>'2016 10'!H54</f>
        <v>2119724.9337935997</v>
      </c>
      <c r="M58" s="114">
        <f>'2016 11'!H54</f>
        <v>2182777.0201748</v>
      </c>
      <c r="N58" s="114">
        <f>'2016 12'!H54</f>
        <v>2652949.4643112002</v>
      </c>
      <c r="O58" s="114">
        <f t="shared" si="3"/>
        <v>29677800.918449406</v>
      </c>
    </row>
    <row r="59" spans="1:15" x14ac:dyDescent="0.25">
      <c r="A59" s="9" t="s">
        <v>132</v>
      </c>
      <c r="B59" s="30" t="s">
        <v>47</v>
      </c>
      <c r="C59" s="114">
        <f>'2016 01'!H55</f>
        <v>781162.07797860145</v>
      </c>
      <c r="D59" s="114">
        <f>'2016 02'!H55</f>
        <v>405481.56243683549</v>
      </c>
      <c r="E59" s="114">
        <f>'2016 03'!H55</f>
        <v>376131.10193796438</v>
      </c>
      <c r="F59" s="114">
        <f>'2016 04'!H55</f>
        <v>569456.67275153939</v>
      </c>
      <c r="G59" s="114">
        <f>'2016 05'!H55</f>
        <v>269708.66398164688</v>
      </c>
      <c r="H59" s="114">
        <f>'2016 06'!H55</f>
        <v>423449.10215393914</v>
      </c>
      <c r="I59" s="114">
        <f>'2016 07'!H55</f>
        <v>851445.54405102553</v>
      </c>
      <c r="J59" s="114">
        <f>'2016 08'!H55</f>
        <v>816512.47218107339</v>
      </c>
      <c r="K59" s="114">
        <f>'2016 09'!H55</f>
        <v>668202.53512457456</v>
      </c>
      <c r="L59" s="114">
        <f>'2016 10'!H55</f>
        <v>266920.9586759262</v>
      </c>
      <c r="M59" s="114">
        <f>'2016 11'!H55</f>
        <v>524163.98639147228</v>
      </c>
      <c r="N59" s="114">
        <f>'2016 12'!H55</f>
        <v>658391.79771297774</v>
      </c>
      <c r="O59" s="114">
        <f t="shared" si="3"/>
        <v>6611026.4753775774</v>
      </c>
    </row>
    <row r="60" spans="1:15" ht="15.75" thickBot="1" x14ac:dyDescent="0.3">
      <c r="A60" s="10" t="s">
        <v>133</v>
      </c>
      <c r="B60" s="32" t="s">
        <v>48</v>
      </c>
      <c r="C60" s="115">
        <f>'2016 01'!H56</f>
        <v>2173704.2322500004</v>
      </c>
      <c r="D60" s="115">
        <f>'2016 02'!H56</f>
        <v>2198211.2459999998</v>
      </c>
      <c r="E60" s="115">
        <f>'2016 03'!H56</f>
        <v>2291585.1472</v>
      </c>
      <c r="F60" s="115">
        <f>'2016 04'!H56</f>
        <v>2124128.5348799997</v>
      </c>
      <c r="G60" s="115">
        <f>'2016 05'!H56</f>
        <v>2117829.6792599997</v>
      </c>
      <c r="H60" s="115">
        <f>'2016 06'!H56</f>
        <v>2190149.2158500003</v>
      </c>
      <c r="I60" s="115">
        <f>'2016 07'!H56</f>
        <v>2292797.1274200003</v>
      </c>
      <c r="J60" s="115">
        <f>'2016 08'!H56</f>
        <v>1983374.2414999998</v>
      </c>
      <c r="K60" s="115">
        <f>'2016 09'!H56</f>
        <v>2078696.2316400001</v>
      </c>
      <c r="L60" s="115">
        <f>'2016 10'!H56</f>
        <v>2130454.6758599998</v>
      </c>
      <c r="M60" s="115">
        <f>'2016 11'!H56</f>
        <v>2171087.415</v>
      </c>
      <c r="N60" s="115">
        <f>'2016 12'!H56</f>
        <v>2068435.4482400001</v>
      </c>
      <c r="O60" s="115">
        <f t="shared" si="3"/>
        <v>25820453.195099998</v>
      </c>
    </row>
    <row r="61" spans="1:15" x14ac:dyDescent="0.25">
      <c r="A61" s="18" t="s">
        <v>25</v>
      </c>
      <c r="B61" s="31" t="s">
        <v>49</v>
      </c>
      <c r="C61" s="110">
        <f>'2016 01'!H57</f>
        <v>-409381.49529280164</v>
      </c>
      <c r="D61" s="110">
        <f>'2016 02'!H57</f>
        <v>-205204.94729403529</v>
      </c>
      <c r="E61" s="110">
        <f>'2016 03'!H57</f>
        <v>-346175.34751876438</v>
      </c>
      <c r="F61" s="110">
        <f>'2016 04'!H57</f>
        <v>-642600.97948673926</v>
      </c>
      <c r="G61" s="110">
        <f>'2016 05'!H57</f>
        <v>-186750.81778484676</v>
      </c>
      <c r="H61" s="110">
        <f>'2016 06'!H57</f>
        <v>-49880.310700739501</v>
      </c>
      <c r="I61" s="110">
        <f>'2016 07'!H57</f>
        <v>-59615.878985825751</v>
      </c>
      <c r="J61" s="110">
        <f>'2016 08'!H57</f>
        <v>320229.72674372676</v>
      </c>
      <c r="K61" s="110">
        <f>'2016 09'!H57</f>
        <v>-310295.83810737502</v>
      </c>
      <c r="L61" s="110">
        <f>'2016 10'!H57</f>
        <v>-277650.70074232615</v>
      </c>
      <c r="M61" s="110">
        <f>'2016 11'!H57</f>
        <v>-512474.38121667237</v>
      </c>
      <c r="N61" s="110">
        <f>'2016 12'!H57</f>
        <v>-73877.781641778129</v>
      </c>
      <c r="O61" s="110">
        <f t="shared" si="3"/>
        <v>-2753678.752028177</v>
      </c>
    </row>
    <row r="62" spans="1:15" x14ac:dyDescent="0.25">
      <c r="A62" s="76" t="s">
        <v>23</v>
      </c>
      <c r="B62" s="77" t="s">
        <v>50</v>
      </c>
      <c r="C62" s="116">
        <f>'2016 01'!H58</f>
        <v>218791.39281806286</v>
      </c>
      <c r="D62" s="116">
        <f>'2016 02'!H58</f>
        <v>266056.02584670635</v>
      </c>
      <c r="E62" s="116">
        <f>'2016 03'!H58</f>
        <v>208492.45629192371</v>
      </c>
      <c r="F62" s="116">
        <f>'2016 04'!H58</f>
        <v>112081.02955072449</v>
      </c>
      <c r="G62" s="116">
        <f>'2016 05'!H58</f>
        <v>236597.40115172096</v>
      </c>
      <c r="H62" s="116">
        <f>'2016 06'!H58</f>
        <v>336545.60033877823</v>
      </c>
      <c r="I62" s="116">
        <f>'2016 07'!H58</f>
        <v>406253.93539681297</v>
      </c>
      <c r="J62" s="116">
        <f>'2016 08'!H58</f>
        <v>547232.24204204371</v>
      </c>
      <c r="K62" s="116">
        <f>'2016 09'!H58</f>
        <v>228296.38051372784</v>
      </c>
      <c r="L62" s="116">
        <f>'2016 10'!H58</f>
        <v>194863.53920178459</v>
      </c>
      <c r="M62" s="116">
        <f>'2016 11'!H58</f>
        <v>143178.2793541142</v>
      </c>
      <c r="N62" s="116">
        <f>'2016 12'!H58</f>
        <v>337415.66367705038</v>
      </c>
      <c r="O62" s="116">
        <f t="shared" si="3"/>
        <v>3235803.9461834496</v>
      </c>
    </row>
    <row r="63" spans="1:15" ht="15.75" thickBot="1" x14ac:dyDescent="0.3">
      <c r="A63" s="81" t="s">
        <v>24</v>
      </c>
      <c r="B63" s="82" t="s">
        <v>51</v>
      </c>
      <c r="C63" s="117">
        <f>'2016 01'!H59</f>
        <v>628172.88811086456</v>
      </c>
      <c r="D63" s="117">
        <f>'2016 02'!H59</f>
        <v>471260.97314074164</v>
      </c>
      <c r="E63" s="117">
        <f>'2016 03'!H59</f>
        <v>554667.80381068808</v>
      </c>
      <c r="F63" s="117">
        <f>'2016 04'!H59</f>
        <v>754682.00903746369</v>
      </c>
      <c r="G63" s="117">
        <f>'2016 05'!H59</f>
        <v>423348.21893656772</v>
      </c>
      <c r="H63" s="117">
        <f>'2016 06'!H59</f>
        <v>386425.91103951773</v>
      </c>
      <c r="I63" s="117">
        <f>'2016 07'!H59</f>
        <v>465869.81438263872</v>
      </c>
      <c r="J63" s="117">
        <f>'2016 08'!H59</f>
        <v>227002.51529831695</v>
      </c>
      <c r="K63" s="117">
        <f>'2016 09'!H59</f>
        <v>538592.21862110286</v>
      </c>
      <c r="L63" s="117">
        <f>'2016 10'!H59</f>
        <v>472514.23994411074</v>
      </c>
      <c r="M63" s="117">
        <f>'2016 11'!H59</f>
        <v>655652.66057078657</v>
      </c>
      <c r="N63" s="117">
        <f>'2016 12'!H59</f>
        <v>411293.44531882851</v>
      </c>
      <c r="O63" s="117">
        <f t="shared" si="3"/>
        <v>5989482.698211628</v>
      </c>
    </row>
    <row r="64" spans="1:15" ht="9" customHeight="1" x14ac:dyDescent="0.25">
      <c r="B64" s="17"/>
      <c r="C64" s="113"/>
      <c r="D64" s="113"/>
      <c r="E64" s="113"/>
      <c r="F64" s="113"/>
      <c r="G64" s="113"/>
      <c r="H64" s="113"/>
      <c r="I64" s="113"/>
      <c r="J64" s="113"/>
      <c r="K64" s="113"/>
      <c r="L64" s="113"/>
      <c r="M64" s="113"/>
      <c r="N64" s="113"/>
      <c r="O64" s="113"/>
    </row>
    <row r="65" spans="1:19" ht="15.75" thickBot="1" x14ac:dyDescent="0.3">
      <c r="A65" s="86" t="s">
        <v>42</v>
      </c>
      <c r="C65" s="9"/>
      <c r="D65" s="9"/>
      <c r="E65" s="9"/>
      <c r="F65" s="9"/>
      <c r="G65" s="9"/>
      <c r="H65" s="9"/>
      <c r="I65" s="9"/>
      <c r="J65" s="9"/>
      <c r="K65" s="9"/>
      <c r="L65" s="9"/>
      <c r="M65" s="9"/>
      <c r="N65" s="9"/>
      <c r="O65" s="9"/>
    </row>
    <row r="66" spans="1:19" x14ac:dyDescent="0.25">
      <c r="A66" s="210" t="s">
        <v>134</v>
      </c>
      <c r="B66" s="211"/>
      <c r="C66" s="212">
        <f>'2016 01'!H62</f>
        <v>-392809.49529280164</v>
      </c>
      <c r="D66" s="212">
        <f>'2016 02'!H62</f>
        <v>-115636.94729403529</v>
      </c>
      <c r="E66" s="212">
        <f>'2016 03'!H62</f>
        <v>-237616.34751876438</v>
      </c>
      <c r="F66" s="212">
        <f>'2016 04'!H62</f>
        <v>-736519.97948673926</v>
      </c>
      <c r="G66" s="212">
        <f>'2016 05'!H62</f>
        <v>90097.18221515324</v>
      </c>
      <c r="H66" s="212">
        <f>'2016 06'!H62</f>
        <v>181007.6892992605</v>
      </c>
      <c r="I66" s="212">
        <f>'2016 07'!H62</f>
        <v>387187.12101417425</v>
      </c>
      <c r="J66" s="212">
        <f>'2016 08'!H62</f>
        <v>165634.72674372676</v>
      </c>
      <c r="K66" s="212">
        <f>'2016 09'!H62</f>
        <v>-287878.83810737502</v>
      </c>
      <c r="L66" s="212">
        <f>'2016 10'!H62</f>
        <v>-622677.70074232621</v>
      </c>
      <c r="M66" s="212">
        <f>'2016 11'!H62</f>
        <v>-217480.38121667237</v>
      </c>
      <c r="N66" s="212">
        <f>'2016 12'!H62</f>
        <v>314595.21835822187</v>
      </c>
      <c r="O66" s="212">
        <f t="shared" ref="O66:O68" si="4">SUM(C66:N66)</f>
        <v>-1472097.7520281775</v>
      </c>
      <c r="Q66" s="102"/>
    </row>
    <row r="67" spans="1:19" x14ac:dyDescent="0.25">
      <c r="A67" s="204" t="s">
        <v>135</v>
      </c>
      <c r="B67" s="205" t="s">
        <v>72</v>
      </c>
      <c r="C67" s="206">
        <f>'2016 01'!H63</f>
        <v>224092.39281806286</v>
      </c>
      <c r="D67" s="206">
        <f>'2016 02'!H63</f>
        <v>295464.13343721488</v>
      </c>
      <c r="E67" s="206">
        <f>'2016 03'!H63</f>
        <v>243875.45629192371</v>
      </c>
      <c r="F67" s="206">
        <f>'2016 04'!H63</f>
        <v>96348.029550724488</v>
      </c>
      <c r="G67" s="206">
        <f>'2016 05'!H63</f>
        <v>331758.95067880477</v>
      </c>
      <c r="H67" s="206">
        <f>'2016 06'!H63</f>
        <v>417212.15090516466</v>
      </c>
      <c r="I67" s="206">
        <f>'2016 07'!H63</f>
        <v>565029.74571426143</v>
      </c>
      <c r="J67" s="206">
        <f>'2016 08'!H63</f>
        <v>484292.76471998711</v>
      </c>
      <c r="K67" s="206">
        <f>'2016 09'!H63</f>
        <v>236421.38051372784</v>
      </c>
      <c r="L67" s="206">
        <f>'2016 10'!H63</f>
        <v>116318.43069104454</v>
      </c>
      <c r="M67" s="206">
        <f>'2016 11'!H63</f>
        <v>219530.25747213117</v>
      </c>
      <c r="N67" s="206">
        <f>'2016 12'!H63</f>
        <v>482352.3864131241</v>
      </c>
      <c r="O67" s="206">
        <f t="shared" si="4"/>
        <v>3712696.0792061719</v>
      </c>
      <c r="Q67" s="147"/>
    </row>
    <row r="68" spans="1:19" ht="15.75" thickBot="1" x14ac:dyDescent="0.3">
      <c r="A68" s="207" t="s">
        <v>136</v>
      </c>
      <c r="B68" s="208" t="s">
        <v>73</v>
      </c>
      <c r="C68" s="209">
        <f>'2016 01'!H64</f>
        <v>616901.88811086456</v>
      </c>
      <c r="D68" s="209">
        <f>'2016 02'!H64</f>
        <v>411101.08073125017</v>
      </c>
      <c r="E68" s="209">
        <f>'2016 03'!H64</f>
        <v>481491.80381068808</v>
      </c>
      <c r="F68" s="209">
        <f>'2016 04'!H64</f>
        <v>832868.00903746369</v>
      </c>
      <c r="G68" s="209">
        <f>'2016 05'!H64</f>
        <v>241661.76846365148</v>
      </c>
      <c r="H68" s="209">
        <f>'2016 06'!H64</f>
        <v>236204.46160590416</v>
      </c>
      <c r="I68" s="209">
        <f>'2016 07'!H64</f>
        <v>177842.62470008712</v>
      </c>
      <c r="J68" s="209">
        <f>'2016 08'!H64</f>
        <v>318658.03797626036</v>
      </c>
      <c r="K68" s="209">
        <f>'2016 09'!H64</f>
        <v>524300.21862110286</v>
      </c>
      <c r="L68" s="209">
        <f>'2016 10'!H64</f>
        <v>738996.13143337076</v>
      </c>
      <c r="M68" s="209">
        <f>'2016 11'!H64</f>
        <v>437010.63868880353</v>
      </c>
      <c r="N68" s="209">
        <f>'2016 12'!H64</f>
        <v>167757.16805490223</v>
      </c>
      <c r="O68" s="209">
        <f t="shared" si="4"/>
        <v>5184793.8312343489</v>
      </c>
    </row>
    <row r="69" spans="1:19" x14ac:dyDescent="0.25">
      <c r="A69" s="141"/>
      <c r="C69" s="19"/>
    </row>
    <row r="70" spans="1:19" s="135" customFormat="1" ht="5.25" customHeight="1" x14ac:dyDescent="0.25">
      <c r="A70" s="134"/>
      <c r="C70" s="136"/>
    </row>
    <row r="71" spans="1:19" s="2" customFormat="1" hidden="1" x14ac:dyDescent="0.25">
      <c r="A71" s="149" t="s">
        <v>88</v>
      </c>
      <c r="B71" s="149"/>
      <c r="C71" s="150">
        <v>45315053.846153848</v>
      </c>
      <c r="D71" s="150">
        <v>41541076.923076928</v>
      </c>
      <c r="E71" s="150">
        <v>41395176.923076928</v>
      </c>
      <c r="F71" s="150">
        <v>39414946.15384616</v>
      </c>
      <c r="G71" s="150">
        <v>40694476.923076928</v>
      </c>
      <c r="H71" s="150">
        <v>44076992.307692304</v>
      </c>
      <c r="I71" s="150">
        <v>50187092.307692312</v>
      </c>
      <c r="J71" s="150">
        <v>52272200</v>
      </c>
      <c r="K71" s="150">
        <v>42823330.769230776</v>
      </c>
      <c r="L71" s="150">
        <v>39617084.615384616</v>
      </c>
      <c r="M71" s="150">
        <v>39695584.615384616</v>
      </c>
      <c r="N71" s="150">
        <v>44259330.769230768</v>
      </c>
      <c r="O71" s="144">
        <f t="shared" ref="O71:O75" si="5">SUM(C71:N71)</f>
        <v>521292346.1538462</v>
      </c>
    </row>
    <row r="72" spans="1:19" hidden="1" x14ac:dyDescent="0.25">
      <c r="A72" t="s">
        <v>94</v>
      </c>
      <c r="B72" t="s">
        <v>91</v>
      </c>
      <c r="C72" s="145">
        <v>1515691</v>
      </c>
      <c r="D72" s="145">
        <v>1451906</v>
      </c>
      <c r="E72" s="145">
        <v>1395456</v>
      </c>
      <c r="F72" s="145">
        <v>1234020</v>
      </c>
      <c r="G72" s="145">
        <v>1162018</v>
      </c>
      <c r="H72" s="145">
        <v>1174364</v>
      </c>
      <c r="I72" s="145">
        <v>1309233</v>
      </c>
      <c r="J72" s="145">
        <v>1363294</v>
      </c>
      <c r="K72" s="145">
        <v>1174625</v>
      </c>
      <c r="L72" s="145">
        <v>1148154</v>
      </c>
      <c r="M72" s="145">
        <v>1215119</v>
      </c>
      <c r="N72" s="148">
        <v>1479394</v>
      </c>
      <c r="O72" s="145">
        <f t="shared" si="5"/>
        <v>15623274</v>
      </c>
      <c r="P72" s="102"/>
      <c r="Q72" s="102"/>
      <c r="R72" s="102"/>
      <c r="S72" s="102"/>
    </row>
    <row r="73" spans="1:19" hidden="1" x14ac:dyDescent="0.25">
      <c r="B73" t="s">
        <v>90</v>
      </c>
      <c r="C73" s="145">
        <v>22165584</v>
      </c>
      <c r="D73" s="145">
        <v>20862694</v>
      </c>
      <c r="E73" s="145">
        <v>20202896</v>
      </c>
      <c r="F73" s="145">
        <v>17847264</v>
      </c>
      <c r="G73" s="145">
        <v>18540556</v>
      </c>
      <c r="H73" s="145">
        <v>21771149</v>
      </c>
      <c r="I73" s="145">
        <v>26294874</v>
      </c>
      <c r="J73" s="145">
        <v>26559756</v>
      </c>
      <c r="K73" s="145">
        <v>20635219</v>
      </c>
      <c r="L73" s="145">
        <v>17829707</v>
      </c>
      <c r="M73" s="145">
        <v>18328381</v>
      </c>
      <c r="N73" s="145">
        <v>22273884</v>
      </c>
      <c r="O73" s="145">
        <f t="shared" si="5"/>
        <v>253311964</v>
      </c>
      <c r="P73" s="102"/>
      <c r="Q73" s="102"/>
      <c r="R73" s="102"/>
      <c r="S73" s="102"/>
    </row>
    <row r="74" spans="1:19" hidden="1" x14ac:dyDescent="0.25">
      <c r="B74" t="s">
        <v>92</v>
      </c>
      <c r="C74" s="145">
        <v>6082120</v>
      </c>
      <c r="D74" s="145">
        <v>5712894</v>
      </c>
      <c r="E74" s="145">
        <v>5793079</v>
      </c>
      <c r="F74" s="145">
        <v>5452068</v>
      </c>
      <c r="G74" s="145">
        <v>5735336</v>
      </c>
      <c r="H74" s="145">
        <v>5973350</v>
      </c>
      <c r="I74" s="145">
        <v>6380876</v>
      </c>
      <c r="J74" s="145">
        <v>6288669</v>
      </c>
      <c r="K74" s="145">
        <v>5796664</v>
      </c>
      <c r="L74" s="145">
        <v>5498422</v>
      </c>
      <c r="M74" s="145">
        <v>5604034</v>
      </c>
      <c r="N74" s="145">
        <v>6115729</v>
      </c>
      <c r="O74" s="145">
        <f t="shared" si="5"/>
        <v>70433241</v>
      </c>
      <c r="P74" s="102"/>
      <c r="Q74" s="102"/>
      <c r="R74" s="102"/>
      <c r="S74" s="102"/>
    </row>
    <row r="75" spans="1:19" hidden="1" x14ac:dyDescent="0.25">
      <c r="B75" t="s">
        <v>93</v>
      </c>
      <c r="C75" s="146">
        <v>14718480</v>
      </c>
      <c r="D75" s="146">
        <v>13996579</v>
      </c>
      <c r="E75" s="146">
        <v>15115160</v>
      </c>
      <c r="F75" s="146">
        <v>15458551</v>
      </c>
      <c r="G75" s="146">
        <v>15865398</v>
      </c>
      <c r="H75" s="146">
        <v>16285134</v>
      </c>
      <c r="I75" s="146">
        <v>16869872</v>
      </c>
      <c r="J75" s="146">
        <v>17668540</v>
      </c>
      <c r="K75" s="146">
        <v>16351649</v>
      </c>
      <c r="L75" s="146">
        <v>16164458</v>
      </c>
      <c r="M75" s="146">
        <v>15318563</v>
      </c>
      <c r="N75" s="146">
        <v>14169819</v>
      </c>
      <c r="O75" s="146">
        <f t="shared" si="5"/>
        <v>187982203</v>
      </c>
      <c r="P75" s="102"/>
      <c r="Q75" s="102"/>
      <c r="R75" s="102"/>
      <c r="S75" s="102"/>
    </row>
    <row r="76" spans="1:19" s="2" customFormat="1" hidden="1" x14ac:dyDescent="0.25">
      <c r="A76" s="2" t="s">
        <v>95</v>
      </c>
      <c r="C76" s="123">
        <f>SUM(C72:C75)</f>
        <v>44481875</v>
      </c>
      <c r="D76" s="123">
        <f t="shared" ref="D76:O76" si="6">SUM(D72:D75)</f>
        <v>42024073</v>
      </c>
      <c r="E76" s="123">
        <f t="shared" si="6"/>
        <v>42506591</v>
      </c>
      <c r="F76" s="123">
        <f t="shared" si="6"/>
        <v>39991903</v>
      </c>
      <c r="G76" s="123">
        <f t="shared" si="6"/>
        <v>41303308</v>
      </c>
      <c r="H76" s="123">
        <f t="shared" si="6"/>
        <v>45203997</v>
      </c>
      <c r="I76" s="123">
        <f t="shared" si="6"/>
        <v>50854855</v>
      </c>
      <c r="J76" s="123">
        <f t="shared" si="6"/>
        <v>51880259</v>
      </c>
      <c r="K76" s="123">
        <f t="shared" si="6"/>
        <v>43958157</v>
      </c>
      <c r="L76" s="123">
        <f t="shared" si="6"/>
        <v>40640741</v>
      </c>
      <c r="M76" s="123">
        <f t="shared" si="6"/>
        <v>40466097</v>
      </c>
      <c r="N76" s="123">
        <f t="shared" si="6"/>
        <v>44038826</v>
      </c>
      <c r="O76" s="123">
        <f t="shared" si="6"/>
        <v>527350682</v>
      </c>
      <c r="P76" s="123"/>
      <c r="Q76" s="123"/>
      <c r="R76" s="123"/>
      <c r="S76" s="123"/>
    </row>
    <row r="77" spans="1:19" s="125" customFormat="1" hidden="1" x14ac:dyDescent="0.25">
      <c r="A77" s="126" t="s">
        <v>96</v>
      </c>
      <c r="B77" s="126"/>
      <c r="C77" s="127">
        <f t="shared" ref="C77:N77" si="7">C71-C76</f>
        <v>833178.84615384787</v>
      </c>
      <c r="D77" s="127">
        <f t="shared" si="7"/>
        <v>-482996.07692307234</v>
      </c>
      <c r="E77" s="127">
        <f t="shared" si="7"/>
        <v>-1111414.0769230723</v>
      </c>
      <c r="F77" s="127">
        <f t="shared" si="7"/>
        <v>-576956.84615384042</v>
      </c>
      <c r="G77" s="127">
        <f t="shared" si="7"/>
        <v>-608831.07692307234</v>
      </c>
      <c r="H77" s="127">
        <f t="shared" si="7"/>
        <v>-1127004.6923076957</v>
      </c>
      <c r="I77" s="127">
        <f t="shared" si="7"/>
        <v>-667762.6923076883</v>
      </c>
      <c r="J77" s="127">
        <f t="shared" si="7"/>
        <v>391941</v>
      </c>
      <c r="K77" s="127">
        <f t="shared" si="7"/>
        <v>-1134826.2307692245</v>
      </c>
      <c r="L77" s="127">
        <f t="shared" si="7"/>
        <v>-1023656.384615384</v>
      </c>
      <c r="M77" s="127">
        <f t="shared" si="7"/>
        <v>-770512.38461538404</v>
      </c>
      <c r="N77" s="127">
        <f t="shared" si="7"/>
        <v>220504.76923076808</v>
      </c>
      <c r="O77" s="127">
        <f>SUM(C77:N77)</f>
        <v>-6058335.8461538181</v>
      </c>
      <c r="P77" s="132"/>
    </row>
    <row r="78" spans="1:19" s="124" customFormat="1" hidden="1" x14ac:dyDescent="0.25">
      <c r="A78" s="124" t="s">
        <v>89</v>
      </c>
      <c r="C78" s="145">
        <v>0</v>
      </c>
      <c r="D78" s="145">
        <v>0</v>
      </c>
      <c r="E78" s="145">
        <v>0</v>
      </c>
      <c r="F78" s="145">
        <v>0</v>
      </c>
      <c r="G78" s="145">
        <v>0</v>
      </c>
      <c r="H78" s="145">
        <v>0</v>
      </c>
      <c r="I78" s="143">
        <v>1348903.1</v>
      </c>
      <c r="J78" s="143">
        <v>1436783.93</v>
      </c>
      <c r="K78" s="143">
        <v>1397598.94</v>
      </c>
      <c r="L78" s="143">
        <v>1450443.46</v>
      </c>
      <c r="M78" s="143">
        <v>1112934.94</v>
      </c>
      <c r="N78" s="143">
        <v>218116.04</v>
      </c>
      <c r="O78" s="143">
        <f>SUM(C78:N78)</f>
        <v>6964780.4099999992</v>
      </c>
    </row>
    <row r="79" spans="1:19" s="124" customFormat="1" hidden="1" x14ac:dyDescent="0.25">
      <c r="A79" s="124" t="s">
        <v>97</v>
      </c>
      <c r="B79" s="124" t="s">
        <v>17</v>
      </c>
      <c r="C79" s="145">
        <v>313662.21999999997</v>
      </c>
      <c r="D79" s="142">
        <v>310639.39</v>
      </c>
      <c r="E79" s="142">
        <v>331558.94</v>
      </c>
      <c r="F79" s="142">
        <v>367656.67</v>
      </c>
      <c r="G79" s="142">
        <v>416261.02</v>
      </c>
      <c r="H79" s="142">
        <v>405805.04</v>
      </c>
      <c r="I79" s="143">
        <v>370634.23</v>
      </c>
      <c r="J79" s="143">
        <v>356910.89</v>
      </c>
      <c r="K79" s="143">
        <v>316565.49</v>
      </c>
      <c r="L79" s="143">
        <v>313904.81</v>
      </c>
      <c r="M79" s="143">
        <v>307303.69</v>
      </c>
      <c r="N79" s="143">
        <v>323380.34000000003</v>
      </c>
      <c r="O79" s="143">
        <f>SUM(C79:N79)</f>
        <v>4134282.7299999995</v>
      </c>
    </row>
    <row r="80" spans="1:19" hidden="1" x14ac:dyDescent="0.25">
      <c r="A80" t="s">
        <v>97</v>
      </c>
      <c r="B80" t="s">
        <v>102</v>
      </c>
      <c r="C80" s="102">
        <v>569.13</v>
      </c>
      <c r="D80" s="102">
        <v>645.39</v>
      </c>
      <c r="E80" s="102">
        <v>718.06</v>
      </c>
      <c r="F80" s="102">
        <v>823.67</v>
      </c>
      <c r="G80" s="102">
        <v>839.14</v>
      </c>
      <c r="H80" s="102">
        <v>852.21</v>
      </c>
      <c r="I80" s="102">
        <v>827.22</v>
      </c>
      <c r="J80" s="102">
        <v>820.03</v>
      </c>
      <c r="K80" s="102">
        <v>716.73</v>
      </c>
      <c r="L80" s="102">
        <v>638.23</v>
      </c>
      <c r="M80" s="151">
        <v>597.42999999999995</v>
      </c>
      <c r="N80" s="151">
        <v>603.5</v>
      </c>
    </row>
    <row r="81" spans="3:16" ht="15.75" hidden="1" thickBot="1" x14ac:dyDescent="0.3">
      <c r="C81" s="102"/>
      <c r="P81" s="100"/>
    </row>
    <row r="82" spans="3:16" ht="30" hidden="1" x14ac:dyDescent="0.25">
      <c r="C82" s="153">
        <v>2016</v>
      </c>
      <c r="D82" s="154" t="s">
        <v>103</v>
      </c>
      <c r="E82" s="155" t="s">
        <v>104</v>
      </c>
      <c r="F82" s="156" t="s">
        <v>102</v>
      </c>
      <c r="G82" s="157" t="s">
        <v>26</v>
      </c>
      <c r="P82" s="133"/>
    </row>
    <row r="83" spans="3:16" hidden="1" x14ac:dyDescent="0.25">
      <c r="C83" s="158" t="s">
        <v>105</v>
      </c>
      <c r="D83" s="159">
        <v>45315053.846153848</v>
      </c>
      <c r="E83" s="160">
        <v>3.29864873398329E-2</v>
      </c>
      <c r="F83" s="161"/>
      <c r="G83" s="162">
        <v>1494784.45</v>
      </c>
    </row>
    <row r="84" spans="3:16" hidden="1" x14ac:dyDescent="0.25">
      <c r="C84" s="158" t="s">
        <v>106</v>
      </c>
      <c r="D84" s="159">
        <v>41541076.923076928</v>
      </c>
      <c r="E84" s="160">
        <v>1.8171132910150101E-2</v>
      </c>
      <c r="F84" s="161"/>
      <c r="G84" s="162">
        <v>754848.43</v>
      </c>
    </row>
    <row r="85" spans="3:16" hidden="1" x14ac:dyDescent="0.25">
      <c r="C85" s="158" t="s">
        <v>107</v>
      </c>
      <c r="D85" s="159">
        <v>41395176.923076928</v>
      </c>
      <c r="E85" s="160">
        <v>1.7414805626742465E-2</v>
      </c>
      <c r="F85" s="161"/>
      <c r="G85" s="162">
        <v>720888.96</v>
      </c>
    </row>
    <row r="86" spans="3:16" hidden="1" x14ac:dyDescent="0.25">
      <c r="C86" s="158" t="s">
        <v>108</v>
      </c>
      <c r="D86" s="159">
        <v>39414946.15384616</v>
      </c>
      <c r="E86" s="160">
        <v>2.9843729214005695E-2</v>
      </c>
      <c r="F86" s="161"/>
      <c r="G86" s="162">
        <v>1176288.98</v>
      </c>
    </row>
    <row r="87" spans="3:16" hidden="1" x14ac:dyDescent="0.25">
      <c r="C87" s="158" t="s">
        <v>78</v>
      </c>
      <c r="D87" s="159">
        <v>40694476.923076928</v>
      </c>
      <c r="E87" s="160">
        <v>1.3689006521769536E-2</v>
      </c>
      <c r="F87" s="161"/>
      <c r="G87" s="162">
        <v>557066.96</v>
      </c>
    </row>
    <row r="88" spans="3:16" hidden="1" x14ac:dyDescent="0.25">
      <c r="C88" s="158" t="s">
        <v>109</v>
      </c>
      <c r="D88" s="159">
        <v>44076992.307692304</v>
      </c>
      <c r="E88" s="160">
        <v>1.8454549355856161E-2</v>
      </c>
      <c r="F88" s="161"/>
      <c r="G88" s="162">
        <v>813421.03</v>
      </c>
    </row>
    <row r="89" spans="3:16" hidden="1" x14ac:dyDescent="0.25">
      <c r="C89" s="158" t="s">
        <v>110</v>
      </c>
      <c r="D89" s="159">
        <v>50187092.307692312</v>
      </c>
      <c r="E89" s="160">
        <v>3.0844886380531185E-2</v>
      </c>
      <c r="F89" s="161"/>
      <c r="G89" s="162">
        <v>1548015.16</v>
      </c>
    </row>
    <row r="90" spans="3:16" hidden="1" x14ac:dyDescent="0.25">
      <c r="C90" s="158" t="s">
        <v>111</v>
      </c>
      <c r="D90" s="159">
        <v>52272200</v>
      </c>
      <c r="E90" s="160">
        <v>2.9241521688392683E-2</v>
      </c>
      <c r="F90" s="161"/>
      <c r="G90" s="162">
        <v>1528518.67</v>
      </c>
    </row>
    <row r="91" spans="3:16" hidden="1" x14ac:dyDescent="0.25">
      <c r="C91" s="158" t="s">
        <v>112</v>
      </c>
      <c r="D91" s="159">
        <v>42823330.769230776</v>
      </c>
      <c r="E91" s="160">
        <v>3.0637657707435897E-2</v>
      </c>
      <c r="F91" s="161"/>
      <c r="G91" s="162">
        <v>1312006.55</v>
      </c>
    </row>
    <row r="92" spans="3:16" hidden="1" x14ac:dyDescent="0.25">
      <c r="C92" s="158" t="s">
        <v>113</v>
      </c>
      <c r="D92" s="159">
        <v>39617084.615384616</v>
      </c>
      <c r="E92" s="160">
        <v>1.4064860032219977E-2</v>
      </c>
      <c r="F92" s="161"/>
      <c r="G92" s="162">
        <v>557208.75</v>
      </c>
    </row>
    <row r="93" spans="3:16" hidden="1" x14ac:dyDescent="0.25">
      <c r="C93" s="158" t="s">
        <v>114</v>
      </c>
      <c r="D93" s="159">
        <v>39695584.615384616</v>
      </c>
      <c r="E93" s="160">
        <v>2.6820374364442002E-2</v>
      </c>
      <c r="F93" s="161"/>
      <c r="G93" s="162">
        <v>1064650.44</v>
      </c>
    </row>
    <row r="94" spans="3:16" ht="15.75" hidden="1" thickBot="1" x14ac:dyDescent="0.3">
      <c r="C94" s="158" t="s">
        <v>115</v>
      </c>
      <c r="D94" s="163">
        <v>44259330.769230768</v>
      </c>
      <c r="E94" s="160">
        <v>2.7717934245243027E-2</v>
      </c>
      <c r="F94" s="161"/>
      <c r="G94" s="164">
        <v>1226777.22</v>
      </c>
    </row>
    <row r="95" spans="3:16" ht="15.75" hidden="1" thickBot="1" x14ac:dyDescent="0.3">
      <c r="C95" s="165"/>
      <c r="D95" s="166">
        <v>521292346.1538462</v>
      </c>
      <c r="E95" s="167"/>
      <c r="F95" s="167"/>
      <c r="G95" s="168">
        <v>12754475.600000001</v>
      </c>
    </row>
    <row r="96" spans="3:16" hidden="1" x14ac:dyDescent="0.25"/>
  </sheetData>
  <sheetProtection password="CC7B" sheet="1" objects="1" scenarios="1"/>
  <mergeCells count="5">
    <mergeCell ref="A10:O10"/>
    <mergeCell ref="A37:O37"/>
    <mergeCell ref="C12:O12"/>
    <mergeCell ref="A24:O24"/>
    <mergeCell ref="C40:O40"/>
  </mergeCells>
  <pageMargins left="0.11811023622047245" right="0.11811023622047245" top="0.35433070866141736" bottom="0.35433070866141736" header="0.11811023622047245" footer="0.11811023622047245"/>
  <pageSetup paperSize="17" scale="76" orientation="landscape" r:id="rId1"/>
  <headerFooter>
    <oddFooter>&amp;L&amp;9&amp;Z&amp;F  &amp;A  &amp;D  &amp;T&amp;R&amp;P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3:L64"/>
  <sheetViews>
    <sheetView topLeftCell="A4" zoomScale="90" zoomScaleNormal="90" workbookViewId="0">
      <selection activeCell="F39" sqref="F39"/>
    </sheetView>
  </sheetViews>
  <sheetFormatPr defaultRowHeight="15" x14ac:dyDescent="0.25"/>
  <cols>
    <col min="1" max="1" width="36" customWidth="1"/>
    <col min="2" max="2" width="11.140625" bestFit="1" customWidth="1"/>
    <col min="3" max="3" width="15.28515625" bestFit="1" customWidth="1"/>
    <col min="4" max="4" width="12.5703125" bestFit="1" customWidth="1"/>
    <col min="5" max="5" width="12.85546875" bestFit="1" customWidth="1"/>
    <col min="6" max="7" width="12.140625" bestFit="1" customWidth="1"/>
    <col min="8" max="8" width="13.28515625" bestFit="1" customWidth="1"/>
    <col min="9" max="9" width="5.28515625" customWidth="1"/>
    <col min="10" max="10" width="9.7109375" style="4" bestFit="1" customWidth="1"/>
    <col min="11" max="16384" width="9.140625" style="4"/>
  </cols>
  <sheetData>
    <row r="3" spans="1:9" ht="5.25" customHeight="1" x14ac:dyDescent="0.25">
      <c r="A3" s="2"/>
      <c r="B3" s="2"/>
      <c r="E3" s="4"/>
    </row>
    <row r="4" spans="1:9" x14ac:dyDescent="0.25">
      <c r="A4" s="2"/>
      <c r="B4" s="2"/>
      <c r="E4" s="4"/>
    </row>
    <row r="5" spans="1:9" x14ac:dyDescent="0.25">
      <c r="A5" s="61" t="s">
        <v>40</v>
      </c>
      <c r="B5" s="61"/>
      <c r="C5" s="62"/>
      <c r="D5" s="62"/>
      <c r="E5" s="62"/>
      <c r="F5" s="62"/>
      <c r="G5" s="62"/>
      <c r="H5" s="62"/>
      <c r="I5" s="62"/>
    </row>
    <row r="6" spans="1:9" x14ac:dyDescent="0.25">
      <c r="A6" s="2" t="s">
        <v>10</v>
      </c>
      <c r="B6" s="2"/>
      <c r="E6" s="99" t="s">
        <v>82</v>
      </c>
      <c r="F6" s="99">
        <v>2016</v>
      </c>
    </row>
    <row r="7" spans="1:9" ht="15.75" thickBot="1" x14ac:dyDescent="0.3">
      <c r="A7" s="2"/>
      <c r="B7" s="2"/>
      <c r="E7" s="4"/>
    </row>
    <row r="8" spans="1:9" ht="15.75" thickBot="1" x14ac:dyDescent="0.3">
      <c r="A8" s="13"/>
      <c r="B8" s="13"/>
      <c r="C8" s="15" t="s">
        <v>17</v>
      </c>
      <c r="D8" s="16" t="s">
        <v>18</v>
      </c>
      <c r="E8" s="4"/>
    </row>
    <row r="9" spans="1:9" x14ac:dyDescent="0.25">
      <c r="A9" s="7" t="s">
        <v>14</v>
      </c>
      <c r="B9" s="52" t="s">
        <v>52</v>
      </c>
      <c r="C9" s="188"/>
      <c r="D9" s="189"/>
    </row>
    <row r="10" spans="1:9" ht="17.25" x14ac:dyDescent="0.25">
      <c r="A10" s="8" t="s">
        <v>12</v>
      </c>
      <c r="B10" s="53" t="s">
        <v>53</v>
      </c>
      <c r="C10" s="55">
        <v>587839</v>
      </c>
      <c r="D10" s="190"/>
      <c r="E10" s="101"/>
      <c r="G10" s="101"/>
    </row>
    <row r="11" spans="1:9" ht="17.25" x14ac:dyDescent="0.25">
      <c r="A11" s="8" t="s">
        <v>13</v>
      </c>
      <c r="B11" s="53" t="s">
        <v>54</v>
      </c>
      <c r="C11" s="55">
        <v>425902</v>
      </c>
      <c r="D11" s="190"/>
      <c r="E11" s="101"/>
      <c r="F11" s="104"/>
      <c r="G11" s="101"/>
    </row>
    <row r="12" spans="1:9" ht="17.25" x14ac:dyDescent="0.25">
      <c r="A12" s="8" t="s">
        <v>11</v>
      </c>
      <c r="B12" s="53" t="s">
        <v>55</v>
      </c>
      <c r="C12" s="55">
        <v>16022823</v>
      </c>
      <c r="D12" s="190"/>
      <c r="G12" s="101"/>
    </row>
    <row r="13" spans="1:9" ht="17.25" x14ac:dyDescent="0.25">
      <c r="A13" s="8" t="s">
        <v>15</v>
      </c>
      <c r="B13" s="53" t="s">
        <v>56</v>
      </c>
      <c r="C13" s="55">
        <v>4517327</v>
      </c>
      <c r="D13" s="190"/>
      <c r="G13" s="101"/>
    </row>
    <row r="14" spans="1:9" ht="17.25" x14ac:dyDescent="0.25">
      <c r="A14" s="8" t="s">
        <v>16</v>
      </c>
      <c r="B14" s="53" t="s">
        <v>57</v>
      </c>
      <c r="C14" s="56">
        <v>5167665</v>
      </c>
      <c r="D14" s="191"/>
      <c r="F14" s="104"/>
      <c r="G14" s="101"/>
    </row>
    <row r="15" spans="1:9" x14ac:dyDescent="0.25">
      <c r="A15" s="18" t="s">
        <v>116</v>
      </c>
      <c r="B15" s="31" t="s">
        <v>58</v>
      </c>
      <c r="C15" s="57">
        <f>SUM(C10:C14)</f>
        <v>26721556</v>
      </c>
      <c r="D15" s="191"/>
    </row>
    <row r="16" spans="1:9" x14ac:dyDescent="0.25">
      <c r="A16" s="9" t="s">
        <v>101</v>
      </c>
      <c r="B16" s="30" t="s">
        <v>59</v>
      </c>
      <c r="C16" s="201">
        <v>3.1455299999999999E-2</v>
      </c>
      <c r="D16" s="5"/>
    </row>
    <row r="17" spans="1:11" ht="17.25" x14ac:dyDescent="0.25">
      <c r="A17" s="9" t="s">
        <v>99</v>
      </c>
      <c r="B17" s="30" t="s">
        <v>60</v>
      </c>
      <c r="C17" s="186"/>
      <c r="D17" s="5"/>
      <c r="I17" s="4"/>
      <c r="J17" s="42"/>
    </row>
    <row r="18" spans="1:11" ht="15.75" thickBot="1" x14ac:dyDescent="0.3">
      <c r="A18" s="10" t="s">
        <v>100</v>
      </c>
      <c r="B18" s="32" t="s">
        <v>61</v>
      </c>
      <c r="C18" s="202">
        <v>8.2869999999999999E-2</v>
      </c>
      <c r="D18" s="6"/>
      <c r="I18" s="4"/>
    </row>
    <row r="19" spans="1:11" ht="8.25" customHeight="1" thickBot="1" x14ac:dyDescent="0.3">
      <c r="B19" s="17"/>
      <c r="I19" s="4"/>
    </row>
    <row r="20" spans="1:11" ht="15.75" thickBot="1" x14ac:dyDescent="0.3">
      <c r="A20" s="23" t="s">
        <v>3</v>
      </c>
      <c r="B20" s="15"/>
      <c r="C20" s="24" t="s">
        <v>19</v>
      </c>
      <c r="D20" s="16" t="s">
        <v>20</v>
      </c>
      <c r="E20" s="25" t="s">
        <v>4</v>
      </c>
      <c r="F20" s="25" t="s">
        <v>5</v>
      </c>
      <c r="G20" s="16" t="s">
        <v>6</v>
      </c>
      <c r="H20" s="90" t="s">
        <v>71</v>
      </c>
      <c r="I20" s="43"/>
    </row>
    <row r="21" spans="1:11" x14ac:dyDescent="0.25">
      <c r="A21" s="9" t="s">
        <v>21</v>
      </c>
      <c r="B21" s="30" t="s">
        <v>62</v>
      </c>
      <c r="C21" s="33">
        <v>0.10299999999999999</v>
      </c>
      <c r="D21" s="20">
        <v>0.121</v>
      </c>
      <c r="E21" s="26">
        <v>8.6999999999999994E-2</v>
      </c>
      <c r="F21" s="26">
        <v>0.13200000000000001</v>
      </c>
      <c r="G21" s="20">
        <v>0.18</v>
      </c>
      <c r="H21" s="91"/>
      <c r="I21" s="44"/>
    </row>
    <row r="22" spans="1:11" x14ac:dyDescent="0.25">
      <c r="A22" s="8" t="s">
        <v>22</v>
      </c>
      <c r="B22" s="53" t="s">
        <v>63</v>
      </c>
      <c r="C22" s="193"/>
      <c r="D22" s="192"/>
      <c r="E22" s="194"/>
      <c r="F22" s="194"/>
      <c r="G22" s="190"/>
      <c r="H22" s="92"/>
      <c r="I22" s="45"/>
    </row>
    <row r="23" spans="1:11" x14ac:dyDescent="0.25">
      <c r="A23" s="9" t="s">
        <v>117</v>
      </c>
      <c r="B23" s="30" t="s">
        <v>64</v>
      </c>
      <c r="C23" s="34">
        <f>C10</f>
        <v>587839</v>
      </c>
      <c r="D23" s="21">
        <f>C11</f>
        <v>425902</v>
      </c>
      <c r="E23" s="27">
        <f>C12</f>
        <v>16022823</v>
      </c>
      <c r="F23" s="27">
        <f>C13</f>
        <v>4517327</v>
      </c>
      <c r="G23" s="21">
        <f>C14</f>
        <v>5167665</v>
      </c>
      <c r="H23" s="93">
        <f>SUM(C23:G23)</f>
        <v>26721556</v>
      </c>
      <c r="I23" s="46"/>
    </row>
    <row r="24" spans="1:11" ht="9.75" customHeight="1" x14ac:dyDescent="0.25">
      <c r="A24" s="9"/>
      <c r="B24" s="30"/>
      <c r="C24" s="11"/>
      <c r="D24" s="5"/>
      <c r="E24" s="28"/>
      <c r="F24" s="28"/>
      <c r="G24" s="5"/>
      <c r="H24" s="8"/>
      <c r="I24" s="3"/>
    </row>
    <row r="25" spans="1:11" x14ac:dyDescent="0.25">
      <c r="A25" s="9" t="s">
        <v>118</v>
      </c>
      <c r="B25" s="30" t="s">
        <v>65</v>
      </c>
      <c r="C25" s="195">
        <f t="shared" ref="C25:D25" si="0">C23*C21</f>
        <v>60547.416999999994</v>
      </c>
      <c r="D25" s="196">
        <f t="shared" si="0"/>
        <v>51534.142</v>
      </c>
      <c r="E25" s="197">
        <f>E23*E21</f>
        <v>1393985.6009999998</v>
      </c>
      <c r="F25" s="197">
        <f t="shared" ref="F25:G25" si="1">F23*F21</f>
        <v>596287.16399999999</v>
      </c>
      <c r="G25" s="196">
        <f t="shared" si="1"/>
        <v>930179.7</v>
      </c>
      <c r="H25" s="94">
        <f t="shared" ref="H25:H30" si="2">SUM(C25:G25)</f>
        <v>3032534.0239999993</v>
      </c>
      <c r="I25" s="47"/>
    </row>
    <row r="26" spans="1:11" x14ac:dyDescent="0.25">
      <c r="A26" s="9" t="s">
        <v>119</v>
      </c>
      <c r="B26" s="30" t="s">
        <v>66</v>
      </c>
      <c r="C26" s="195">
        <f t="shared" ref="C26:D26" si="3">C23*$C$16</f>
        <v>18490.6520967</v>
      </c>
      <c r="D26" s="196">
        <f t="shared" si="3"/>
        <v>13396.8751806</v>
      </c>
      <c r="E26" s="197">
        <f>E23*$C$16</f>
        <v>504002.70431189996</v>
      </c>
      <c r="F26" s="197">
        <f t="shared" ref="F26:G26" si="4">F23*$C$16</f>
        <v>142093.87598310001</v>
      </c>
      <c r="G26" s="196">
        <f t="shared" si="4"/>
        <v>162550.45287449998</v>
      </c>
      <c r="H26" s="94">
        <f t="shared" si="2"/>
        <v>840534.56044679997</v>
      </c>
      <c r="I26" s="47"/>
    </row>
    <row r="27" spans="1:11" ht="15.75" thickBot="1" x14ac:dyDescent="0.3">
      <c r="A27" s="10" t="s">
        <v>120</v>
      </c>
      <c r="B27" s="32" t="s">
        <v>67</v>
      </c>
      <c r="C27" s="198">
        <f>C23*$C$18</f>
        <v>48714.217929999999</v>
      </c>
      <c r="D27" s="199">
        <f t="shared" ref="D27:G27" si="5">D23*$C$18</f>
        <v>35294.498740000003</v>
      </c>
      <c r="E27" s="200">
        <f t="shared" si="5"/>
        <v>1327811.34201</v>
      </c>
      <c r="F27" s="200">
        <f t="shared" si="5"/>
        <v>374350.88848999998</v>
      </c>
      <c r="G27" s="199">
        <f t="shared" si="5"/>
        <v>428244.39854999998</v>
      </c>
      <c r="H27" s="95">
        <f t="shared" si="2"/>
        <v>2214415.3457200001</v>
      </c>
      <c r="I27" s="47"/>
      <c r="J27" s="152"/>
    </row>
    <row r="28" spans="1:11" x14ac:dyDescent="0.25">
      <c r="A28" s="18" t="s">
        <v>121</v>
      </c>
      <c r="B28" s="31" t="s">
        <v>68</v>
      </c>
      <c r="C28" s="129">
        <f>48220-48714+1</f>
        <v>-493</v>
      </c>
      <c r="D28" s="130">
        <f>34937-35294</f>
        <v>-357</v>
      </c>
      <c r="E28" s="131">
        <f>1314351-1327793</f>
        <v>-13442</v>
      </c>
      <c r="F28" s="131">
        <f>370556-374346</f>
        <v>-3790</v>
      </c>
      <c r="G28" s="130">
        <f>423903-428238</f>
        <v>-4335</v>
      </c>
      <c r="H28" s="98">
        <f t="shared" si="2"/>
        <v>-22417</v>
      </c>
      <c r="I28" s="48"/>
      <c r="J28" s="50"/>
    </row>
    <row r="29" spans="1:11" x14ac:dyDescent="0.25">
      <c r="A29" s="66" t="s">
        <v>122</v>
      </c>
      <c r="B29" s="67" t="s">
        <v>69</v>
      </c>
      <c r="C29" s="68">
        <f>IF(C28&gt;0,C28,0)</f>
        <v>0</v>
      </c>
      <c r="D29" s="69">
        <f t="shared" ref="D29:G29" si="6">IF(D28&gt;0,D28,0)</f>
        <v>0</v>
      </c>
      <c r="E29" s="70">
        <f t="shared" si="6"/>
        <v>0</v>
      </c>
      <c r="F29" s="70">
        <f t="shared" si="6"/>
        <v>0</v>
      </c>
      <c r="G29" s="69">
        <f t="shared" si="6"/>
        <v>0</v>
      </c>
      <c r="H29" s="96">
        <f t="shared" si="2"/>
        <v>0</v>
      </c>
      <c r="I29" s="49"/>
      <c r="J29" s="50"/>
      <c r="K29" s="50"/>
    </row>
    <row r="30" spans="1:11" ht="15.75" thickBot="1" x14ac:dyDescent="0.3">
      <c r="A30" s="71" t="s">
        <v>123</v>
      </c>
      <c r="B30" s="72" t="s">
        <v>70</v>
      </c>
      <c r="C30" s="73">
        <f>IF(C28&lt;0,C28*-1,0)</f>
        <v>493</v>
      </c>
      <c r="D30" s="74">
        <f t="shared" ref="D30:G30" si="7">IF(D28&lt;0,D28*-1,0)</f>
        <v>357</v>
      </c>
      <c r="E30" s="75">
        <f t="shared" si="7"/>
        <v>13442</v>
      </c>
      <c r="F30" s="75">
        <f t="shared" si="7"/>
        <v>3790</v>
      </c>
      <c r="G30" s="74">
        <f t="shared" si="7"/>
        <v>4335</v>
      </c>
      <c r="H30" s="97">
        <f t="shared" si="2"/>
        <v>22417</v>
      </c>
      <c r="I30" s="49"/>
      <c r="J30" s="50"/>
      <c r="K30" s="50"/>
    </row>
    <row r="31" spans="1:11" x14ac:dyDescent="0.25">
      <c r="B31" s="17"/>
      <c r="C31" s="19"/>
      <c r="D31" s="19"/>
      <c r="E31" s="19"/>
      <c r="F31" s="19"/>
      <c r="G31" s="19"/>
      <c r="I31" s="50"/>
      <c r="J31" s="50"/>
      <c r="K31" s="50"/>
    </row>
    <row r="32" spans="1:11" x14ac:dyDescent="0.25">
      <c r="B32" s="17"/>
      <c r="C32" s="19"/>
      <c r="D32" s="19"/>
      <c r="E32" s="19"/>
      <c r="F32" s="19"/>
      <c r="G32" s="19"/>
      <c r="H32" s="19"/>
      <c r="I32" s="50"/>
      <c r="J32" s="50"/>
      <c r="K32" s="50"/>
    </row>
    <row r="33" spans="1:12" x14ac:dyDescent="0.25">
      <c r="A33" s="65" t="s">
        <v>41</v>
      </c>
      <c r="B33" s="63"/>
      <c r="C33" s="64"/>
      <c r="D33" s="64"/>
      <c r="E33" s="64"/>
      <c r="F33" s="64"/>
      <c r="G33" s="64"/>
      <c r="H33" s="64"/>
      <c r="I33" s="64"/>
      <c r="J33" s="50"/>
      <c r="K33" s="50"/>
    </row>
    <row r="34" spans="1:12" x14ac:dyDescent="0.25">
      <c r="A34" s="2" t="s">
        <v>10</v>
      </c>
      <c r="B34" s="2"/>
      <c r="E34" s="4"/>
      <c r="F34" s="122"/>
    </row>
    <row r="35" spans="1:12" ht="15.75" thickBot="1" x14ac:dyDescent="0.3">
      <c r="B35" s="17"/>
      <c r="C35" s="19"/>
      <c r="D35" s="19"/>
      <c r="E35" s="19"/>
      <c r="F35" s="19"/>
      <c r="G35" s="19"/>
      <c r="H35" s="19"/>
      <c r="I35" s="50"/>
      <c r="J35" s="50"/>
      <c r="K35" s="50"/>
    </row>
    <row r="36" spans="1:12" ht="30.75" thickBot="1" x14ac:dyDescent="0.3">
      <c r="A36" s="13"/>
      <c r="B36" s="13"/>
      <c r="C36" s="15" t="s">
        <v>17</v>
      </c>
      <c r="D36" s="16" t="s">
        <v>18</v>
      </c>
      <c r="E36" s="4"/>
      <c r="G36" s="217" t="s">
        <v>138</v>
      </c>
      <c r="J36" s="42"/>
    </row>
    <row r="37" spans="1:12" x14ac:dyDescent="0.25">
      <c r="A37" s="7" t="s">
        <v>14</v>
      </c>
      <c r="B37" s="52" t="s">
        <v>27</v>
      </c>
      <c r="C37" s="54">
        <v>42560558</v>
      </c>
      <c r="D37" s="14">
        <f>C37/C37</f>
        <v>1</v>
      </c>
    </row>
    <row r="38" spans="1:12" ht="17.25" x14ac:dyDescent="0.25">
      <c r="A38" s="8" t="s">
        <v>124</v>
      </c>
      <c r="B38" s="53" t="s">
        <v>28</v>
      </c>
      <c r="C38" s="55">
        <f>G38*D38</f>
        <v>844555.375</v>
      </c>
      <c r="D38" s="169">
        <v>0.71899999999999997</v>
      </c>
      <c r="F38" s="101">
        <f>G38/G43</f>
        <v>5.3857560833539202E-2</v>
      </c>
      <c r="G38" s="103">
        <v>1174625</v>
      </c>
    </row>
    <row r="39" spans="1:12" ht="17.25" x14ac:dyDescent="0.25">
      <c r="A39" s="8" t="s">
        <v>125</v>
      </c>
      <c r="B39" s="53" t="s">
        <v>29</v>
      </c>
      <c r="C39" s="55">
        <f>G38*D39</f>
        <v>330069.62500000006</v>
      </c>
      <c r="D39" s="169">
        <v>0.28100000000000003</v>
      </c>
      <c r="F39" s="101"/>
    </row>
    <row r="40" spans="1:12" ht="17.25" x14ac:dyDescent="0.25">
      <c r="A40" s="8" t="s">
        <v>126</v>
      </c>
      <c r="B40" s="53" t="s">
        <v>30</v>
      </c>
      <c r="C40" s="55">
        <f>G40*D40</f>
        <v>13289081.036</v>
      </c>
      <c r="D40" s="169">
        <v>0.64400000000000002</v>
      </c>
      <c r="F40" s="101">
        <f>G40/G43</f>
        <v>0.94614243916646079</v>
      </c>
      <c r="G40" s="103">
        <v>20635219</v>
      </c>
    </row>
    <row r="41" spans="1:12" ht="17.25" x14ac:dyDescent="0.25">
      <c r="A41" s="8" t="s">
        <v>127</v>
      </c>
      <c r="B41" s="53" t="s">
        <v>31</v>
      </c>
      <c r="C41" s="55">
        <f>G40*D41</f>
        <v>3516241.3175999997</v>
      </c>
      <c r="D41" s="169">
        <v>0.1704</v>
      </c>
      <c r="F41" s="101"/>
    </row>
    <row r="42" spans="1:12" ht="17.25" x14ac:dyDescent="0.25">
      <c r="A42" s="8" t="s">
        <v>128</v>
      </c>
      <c r="B42" s="53" t="s">
        <v>32</v>
      </c>
      <c r="C42" s="56">
        <f>G40*D42</f>
        <v>3829896.6464</v>
      </c>
      <c r="D42" s="170">
        <v>0.18559999999999999</v>
      </c>
      <c r="F42" s="101"/>
    </row>
    <row r="43" spans="1:12" x14ac:dyDescent="0.25">
      <c r="A43" s="18" t="s">
        <v>129</v>
      </c>
      <c r="B43" s="31" t="s">
        <v>33</v>
      </c>
      <c r="C43" s="57">
        <f>SUM(C38:C42)</f>
        <v>21809844</v>
      </c>
      <c r="D43" s="12">
        <f>C43/C37</f>
        <v>0.5124426235201146</v>
      </c>
      <c r="F43" s="101">
        <f>C43/G43</f>
        <v>1</v>
      </c>
      <c r="G43" s="103">
        <v>21809844</v>
      </c>
      <c r="H43" s="104">
        <f>F38+F40-F43</f>
        <v>0</v>
      </c>
    </row>
    <row r="44" spans="1:12" x14ac:dyDescent="0.25">
      <c r="A44" s="9" t="s">
        <v>2</v>
      </c>
      <c r="B44" s="30" t="s">
        <v>34</v>
      </c>
      <c r="C44" s="58">
        <f>D45/C45</f>
        <v>3.0637657707435897E-2</v>
      </c>
      <c r="D44" s="5"/>
    </row>
    <row r="45" spans="1:12" ht="17.25" x14ac:dyDescent="0.25">
      <c r="A45" s="9" t="s">
        <v>87</v>
      </c>
      <c r="B45" s="30" t="s">
        <v>35</v>
      </c>
      <c r="C45" s="55">
        <v>42823330.769230776</v>
      </c>
      <c r="D45" s="51">
        <v>1312006.55</v>
      </c>
      <c r="L45" s="42"/>
    </row>
    <row r="46" spans="1:12" ht="17.25" x14ac:dyDescent="0.25">
      <c r="A46" s="9" t="s">
        <v>38</v>
      </c>
      <c r="B46" s="30" t="s">
        <v>36</v>
      </c>
      <c r="C46" s="59">
        <v>95.31</v>
      </c>
      <c r="D46" s="5"/>
      <c r="I46" s="4"/>
      <c r="J46" s="42"/>
    </row>
    <row r="47" spans="1:12" ht="15.75" thickBot="1" x14ac:dyDescent="0.3">
      <c r="A47" s="10" t="s">
        <v>39</v>
      </c>
      <c r="B47" s="32" t="s">
        <v>37</v>
      </c>
      <c r="C47" s="60">
        <f>C46/1000</f>
        <v>9.5310000000000006E-2</v>
      </c>
      <c r="D47" s="6"/>
      <c r="H47" s="4"/>
      <c r="I47" s="4"/>
    </row>
    <row r="48" spans="1:12" ht="15.75" thickBot="1" x14ac:dyDescent="0.3">
      <c r="B48" s="17"/>
      <c r="H48" s="4"/>
      <c r="I48" s="4"/>
    </row>
    <row r="49" spans="1:11" ht="15.75" thickBot="1" x14ac:dyDescent="0.3">
      <c r="A49" s="23" t="s">
        <v>137</v>
      </c>
      <c r="B49" s="15"/>
      <c r="C49" s="24" t="s">
        <v>19</v>
      </c>
      <c r="D49" s="16" t="s">
        <v>20</v>
      </c>
      <c r="E49" s="25" t="s">
        <v>4</v>
      </c>
      <c r="F49" s="25" t="s">
        <v>5</v>
      </c>
      <c r="G49" s="16" t="s">
        <v>6</v>
      </c>
      <c r="H49" s="90" t="s">
        <v>71</v>
      </c>
      <c r="I49" s="43"/>
    </row>
    <row r="50" spans="1:11" x14ac:dyDescent="0.25">
      <c r="A50" s="9" t="s">
        <v>21</v>
      </c>
      <c r="B50" s="30" t="s">
        <v>43</v>
      </c>
      <c r="C50" s="118">
        <f>C21</f>
        <v>0.10299999999999999</v>
      </c>
      <c r="D50" s="119">
        <f t="shared" ref="D50:G50" si="8">D21</f>
        <v>0.121</v>
      </c>
      <c r="E50" s="120">
        <f t="shared" si="8"/>
        <v>8.6999999999999994E-2</v>
      </c>
      <c r="F50" s="120">
        <f t="shared" si="8"/>
        <v>0.13200000000000001</v>
      </c>
      <c r="G50" s="119">
        <f t="shared" si="8"/>
        <v>0.18</v>
      </c>
      <c r="H50" s="91"/>
      <c r="I50" s="44"/>
    </row>
    <row r="51" spans="1:11" x14ac:dyDescent="0.25">
      <c r="A51" s="8" t="s">
        <v>22</v>
      </c>
      <c r="B51" s="53" t="s">
        <v>44</v>
      </c>
      <c r="C51" s="193"/>
      <c r="D51" s="192"/>
      <c r="E51" s="194"/>
      <c r="F51" s="194"/>
      <c r="G51" s="190"/>
      <c r="H51" s="92"/>
      <c r="I51" s="45"/>
    </row>
    <row r="52" spans="1:11" x14ac:dyDescent="0.25">
      <c r="A52" s="9" t="s">
        <v>130</v>
      </c>
      <c r="B52" s="30" t="s">
        <v>45</v>
      </c>
      <c r="C52" s="34">
        <f>C38</f>
        <v>844555.375</v>
      </c>
      <c r="D52" s="21">
        <f>C39</f>
        <v>330069.62500000006</v>
      </c>
      <c r="E52" s="27">
        <f>C40</f>
        <v>13289081.036</v>
      </c>
      <c r="F52" s="27">
        <f>C41</f>
        <v>3516241.3175999997</v>
      </c>
      <c r="G52" s="21">
        <f>C42</f>
        <v>3829896.6464</v>
      </c>
      <c r="H52" s="93">
        <f>SUM(C52:G52)</f>
        <v>21809844</v>
      </c>
      <c r="I52" s="46"/>
    </row>
    <row r="53" spans="1:11" x14ac:dyDescent="0.25">
      <c r="A53" s="9"/>
      <c r="B53" s="30"/>
      <c r="C53" s="11"/>
      <c r="D53" s="5"/>
      <c r="E53" s="28"/>
      <c r="F53" s="28"/>
      <c r="G53" s="5"/>
      <c r="H53" s="8"/>
      <c r="I53" s="3"/>
    </row>
    <row r="54" spans="1:11" x14ac:dyDescent="0.25">
      <c r="A54" s="9" t="s">
        <v>131</v>
      </c>
      <c r="B54" s="30" t="s">
        <v>46</v>
      </c>
      <c r="C54" s="35">
        <f>C52*C50</f>
        <v>86989.203624999995</v>
      </c>
      <c r="D54" s="22">
        <f t="shared" ref="D54" si="9">D52*D50</f>
        <v>39938.424625000007</v>
      </c>
      <c r="E54" s="29">
        <f>E52*E50</f>
        <v>1156150.0501319999</v>
      </c>
      <c r="F54" s="29">
        <f t="shared" ref="F54:G54" si="10">F52*F50</f>
        <v>464143.85392319999</v>
      </c>
      <c r="G54" s="22">
        <f t="shared" si="10"/>
        <v>689381.39635199995</v>
      </c>
      <c r="H54" s="94">
        <f t="shared" ref="H54:H59" si="11">SUM(C54:G54)</f>
        <v>2436602.9286571997</v>
      </c>
      <c r="I54" s="47"/>
    </row>
    <row r="55" spans="1:11" x14ac:dyDescent="0.25">
      <c r="A55" s="9" t="s">
        <v>132</v>
      </c>
      <c r="B55" s="30" t="s">
        <v>47</v>
      </c>
      <c r="C55" s="35">
        <f>C52*$C$44</f>
        <v>25875.198494225166</v>
      </c>
      <c r="D55" s="22">
        <f t="shared" ref="D55:G55" si="12">D52*$C$44</f>
        <v>10112.560190371729</v>
      </c>
      <c r="E55" s="29">
        <f t="shared" si="12"/>
        <v>407146.3160273456</v>
      </c>
      <c r="F55" s="29">
        <f t="shared" si="12"/>
        <v>107729.39790537219</v>
      </c>
      <c r="G55" s="22">
        <f t="shared" si="12"/>
        <v>117339.06250725985</v>
      </c>
      <c r="H55" s="94">
        <f t="shared" si="11"/>
        <v>668202.53512457456</v>
      </c>
      <c r="I55" s="47"/>
    </row>
    <row r="56" spans="1:11" ht="15.75" thickBot="1" x14ac:dyDescent="0.3">
      <c r="A56" s="10" t="s">
        <v>133</v>
      </c>
      <c r="B56" s="32" t="s">
        <v>48</v>
      </c>
      <c r="C56" s="39">
        <f>C52*$C$47</f>
        <v>80494.572791250001</v>
      </c>
      <c r="D56" s="40">
        <f t="shared" ref="D56:G56" si="13">D52*$C$47</f>
        <v>31458.935958750008</v>
      </c>
      <c r="E56" s="41">
        <f t="shared" si="13"/>
        <v>1266582.3135411602</v>
      </c>
      <c r="F56" s="41">
        <f t="shared" si="13"/>
        <v>335132.95998045598</v>
      </c>
      <c r="G56" s="40">
        <f t="shared" si="13"/>
        <v>365027.44936838403</v>
      </c>
      <c r="H56" s="95">
        <f t="shared" si="11"/>
        <v>2078696.2316400001</v>
      </c>
      <c r="I56" s="47"/>
    </row>
    <row r="57" spans="1:11" x14ac:dyDescent="0.25">
      <c r="A57" s="18" t="s">
        <v>25</v>
      </c>
      <c r="B57" s="31" t="s">
        <v>49</v>
      </c>
      <c r="C57" s="36">
        <f>C54-C55-C56</f>
        <v>-19380.567660475172</v>
      </c>
      <c r="D57" s="37">
        <f t="shared" ref="D57:G57" si="14">D54-D55-D56</f>
        <v>-1633.0715241217295</v>
      </c>
      <c r="E57" s="38">
        <f t="shared" si="14"/>
        <v>-517578.57943650591</v>
      </c>
      <c r="F57" s="38">
        <f t="shared" si="14"/>
        <v>21281.496037371806</v>
      </c>
      <c r="G57" s="37">
        <f t="shared" si="14"/>
        <v>207014.88447635603</v>
      </c>
      <c r="H57" s="98">
        <f t="shared" si="11"/>
        <v>-310295.83810737502</v>
      </c>
      <c r="I57" s="48"/>
    </row>
    <row r="58" spans="1:11" x14ac:dyDescent="0.25">
      <c r="A58" s="76" t="s">
        <v>23</v>
      </c>
      <c r="B58" s="77" t="s">
        <v>50</v>
      </c>
      <c r="C58" s="78">
        <f>IF(C57&gt;0,C57,0)</f>
        <v>0</v>
      </c>
      <c r="D58" s="79">
        <f t="shared" ref="D58:G58" si="15">IF(D57&gt;0,D57,0)</f>
        <v>0</v>
      </c>
      <c r="E58" s="80">
        <f t="shared" si="15"/>
        <v>0</v>
      </c>
      <c r="F58" s="80">
        <f t="shared" si="15"/>
        <v>21281.496037371806</v>
      </c>
      <c r="G58" s="79">
        <f t="shared" si="15"/>
        <v>207014.88447635603</v>
      </c>
      <c r="H58" s="96">
        <f t="shared" si="11"/>
        <v>228296.38051372784</v>
      </c>
      <c r="I58" s="49"/>
      <c r="J58" s="50"/>
      <c r="K58" s="50"/>
    </row>
    <row r="59" spans="1:11" ht="15.75" thickBot="1" x14ac:dyDescent="0.3">
      <c r="A59" s="81" t="s">
        <v>24</v>
      </c>
      <c r="B59" s="82" t="s">
        <v>51</v>
      </c>
      <c r="C59" s="83">
        <f>IF(C57&lt;0,C57*-1,0)</f>
        <v>19380.567660475172</v>
      </c>
      <c r="D59" s="84">
        <f t="shared" ref="D59:G59" si="16">IF(D57&lt;0,D57*-1,0)</f>
        <v>1633.0715241217295</v>
      </c>
      <c r="E59" s="85">
        <f t="shared" si="16"/>
        <v>517578.57943650591</v>
      </c>
      <c r="F59" s="85">
        <f t="shared" si="16"/>
        <v>0</v>
      </c>
      <c r="G59" s="84">
        <f t="shared" si="16"/>
        <v>0</v>
      </c>
      <c r="H59" s="97">
        <f t="shared" si="11"/>
        <v>538592.21862110286</v>
      </c>
      <c r="I59" s="49"/>
      <c r="J59" s="50"/>
      <c r="K59" s="50"/>
    </row>
    <row r="60" spans="1:11" x14ac:dyDescent="0.25">
      <c r="B60" s="17"/>
      <c r="C60" s="19"/>
      <c r="D60" s="19"/>
      <c r="E60" s="19"/>
      <c r="F60" s="19"/>
      <c r="G60" s="19"/>
      <c r="H60" s="50"/>
      <c r="I60" s="50"/>
      <c r="J60" s="50"/>
      <c r="K60" s="50"/>
    </row>
    <row r="61" spans="1:11" ht="15.75" thickBot="1" x14ac:dyDescent="0.3">
      <c r="A61" s="86" t="s">
        <v>42</v>
      </c>
      <c r="H61" s="4"/>
      <c r="I61" s="4"/>
    </row>
    <row r="62" spans="1:11" x14ac:dyDescent="0.25">
      <c r="A62" s="7" t="s">
        <v>134</v>
      </c>
      <c r="B62" s="52"/>
      <c r="C62" s="87">
        <f>C57-C28</f>
        <v>-18887.567660475172</v>
      </c>
      <c r="D62" s="88">
        <f t="shared" ref="D62:G62" si="17">D57-D28</f>
        <v>-1276.0715241217295</v>
      </c>
      <c r="E62" s="89">
        <f t="shared" si="17"/>
        <v>-504136.57943650591</v>
      </c>
      <c r="F62" s="89">
        <f t="shared" si="17"/>
        <v>25071.496037371806</v>
      </c>
      <c r="G62" s="88">
        <f t="shared" si="17"/>
        <v>211349.88447635603</v>
      </c>
      <c r="H62" s="98">
        <f t="shared" ref="H62:H64" si="18">SUM(C62:G62)</f>
        <v>-287878.83810737502</v>
      </c>
      <c r="I62" s="48"/>
    </row>
    <row r="63" spans="1:11" x14ac:dyDescent="0.25">
      <c r="A63" s="76" t="s">
        <v>135</v>
      </c>
      <c r="B63" s="77" t="s">
        <v>72</v>
      </c>
      <c r="C63" s="78">
        <f>IF(C62&gt;0,C62,0)</f>
        <v>0</v>
      </c>
      <c r="D63" s="79">
        <f t="shared" ref="D63:G63" si="19">IF(D62&gt;0,D62,0)</f>
        <v>0</v>
      </c>
      <c r="E63" s="80">
        <f t="shared" si="19"/>
        <v>0</v>
      </c>
      <c r="F63" s="80">
        <f t="shared" si="19"/>
        <v>25071.496037371806</v>
      </c>
      <c r="G63" s="79">
        <f t="shared" si="19"/>
        <v>211349.88447635603</v>
      </c>
      <c r="H63" s="96">
        <f t="shared" si="18"/>
        <v>236421.38051372784</v>
      </c>
      <c r="I63" s="49"/>
      <c r="J63" s="50"/>
      <c r="K63" s="50"/>
    </row>
    <row r="64" spans="1:11" ht="15.75" thickBot="1" x14ac:dyDescent="0.3">
      <c r="A64" s="81" t="s">
        <v>136</v>
      </c>
      <c r="B64" s="82" t="s">
        <v>73</v>
      </c>
      <c r="C64" s="83">
        <f>IF(C62&lt;0,C62*-1,0)</f>
        <v>18887.567660475172</v>
      </c>
      <c r="D64" s="84">
        <f t="shared" ref="D64:G64" si="20">IF(D62&lt;0,D62*-1,0)</f>
        <v>1276.0715241217295</v>
      </c>
      <c r="E64" s="85">
        <f t="shared" si="20"/>
        <v>504136.57943650591</v>
      </c>
      <c r="F64" s="85">
        <f t="shared" si="20"/>
        <v>0</v>
      </c>
      <c r="G64" s="84">
        <f t="shared" si="20"/>
        <v>0</v>
      </c>
      <c r="H64" s="97">
        <f t="shared" si="18"/>
        <v>524300.21862110286</v>
      </c>
      <c r="I64" s="49"/>
      <c r="J64" s="50"/>
      <c r="K64" s="50"/>
    </row>
  </sheetData>
  <sheetProtection password="CC7B" sheet="1" objects="1" scenarios="1"/>
  <pageMargins left="0.11811023622047245" right="0.11811023622047245" top="0.35433070866141736" bottom="0.35433070866141736" header="0.11811023622047245" footer="0.11811023622047245"/>
  <pageSetup scale="75" orientation="portrait" verticalDpi="0" r:id="rId1"/>
  <headerFooter>
    <oddFooter>&amp;L&amp;9&amp;Z&amp;F  &amp;A  &amp;D  &amp;T&amp;R&amp;P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3:L64"/>
  <sheetViews>
    <sheetView topLeftCell="A4" zoomScale="90" zoomScaleNormal="90" workbookViewId="0">
      <selection activeCell="F39" sqref="F39"/>
    </sheetView>
  </sheetViews>
  <sheetFormatPr defaultRowHeight="15" x14ac:dyDescent="0.25"/>
  <cols>
    <col min="1" max="1" width="36" customWidth="1"/>
    <col min="2" max="2" width="11.140625" bestFit="1" customWidth="1"/>
    <col min="3" max="3" width="15.28515625" bestFit="1" customWidth="1"/>
    <col min="4" max="4" width="12.5703125" bestFit="1" customWidth="1"/>
    <col min="5" max="5" width="14" customWidth="1"/>
    <col min="6" max="7" width="12.140625" bestFit="1" customWidth="1"/>
    <col min="8" max="8" width="13.28515625" bestFit="1" customWidth="1"/>
    <col min="9" max="9" width="5.28515625" customWidth="1"/>
    <col min="10" max="10" width="10" style="4" bestFit="1" customWidth="1"/>
    <col min="11" max="16384" width="9.140625" style="4"/>
  </cols>
  <sheetData>
    <row r="3" spans="1:9" ht="5.25" customHeight="1" x14ac:dyDescent="0.25">
      <c r="A3" s="2"/>
      <c r="B3" s="2"/>
      <c r="E3" s="4"/>
    </row>
    <row r="4" spans="1:9" x14ac:dyDescent="0.25">
      <c r="A4" s="2"/>
      <c r="B4" s="2"/>
      <c r="E4" s="4"/>
    </row>
    <row r="5" spans="1:9" x14ac:dyDescent="0.25">
      <c r="A5" s="61" t="s">
        <v>40</v>
      </c>
      <c r="B5" s="61"/>
      <c r="C5" s="62"/>
      <c r="D5" s="62"/>
      <c r="E5" s="62"/>
      <c r="F5" s="62"/>
      <c r="G5" s="62"/>
      <c r="H5" s="62"/>
      <c r="I5" s="62"/>
    </row>
    <row r="6" spans="1:9" x14ac:dyDescent="0.25">
      <c r="A6" s="2" t="s">
        <v>10</v>
      </c>
      <c r="B6" s="2"/>
      <c r="E6" s="99" t="s">
        <v>83</v>
      </c>
      <c r="F6" s="99">
        <v>2016</v>
      </c>
    </row>
    <row r="7" spans="1:9" ht="15.75" thickBot="1" x14ac:dyDescent="0.3">
      <c r="A7" s="2"/>
      <c r="B7" s="2"/>
      <c r="E7" s="4"/>
    </row>
    <row r="8" spans="1:9" ht="15.75" thickBot="1" x14ac:dyDescent="0.3">
      <c r="A8" s="13"/>
      <c r="B8" s="13"/>
      <c r="C8" s="15" t="s">
        <v>17</v>
      </c>
      <c r="D8" s="16" t="s">
        <v>18</v>
      </c>
      <c r="E8" s="4"/>
    </row>
    <row r="9" spans="1:9" x14ac:dyDescent="0.25">
      <c r="A9" s="7" t="s">
        <v>14</v>
      </c>
      <c r="B9" s="52" t="s">
        <v>52</v>
      </c>
      <c r="C9" s="188"/>
      <c r="D9" s="189"/>
    </row>
    <row r="10" spans="1:9" ht="17.25" x14ac:dyDescent="0.25">
      <c r="A10" s="8" t="s">
        <v>12</v>
      </c>
      <c r="B10" s="53" t="s">
        <v>53</v>
      </c>
      <c r="C10" s="55">
        <v>947064</v>
      </c>
      <c r="D10" s="190"/>
      <c r="E10" s="101"/>
      <c r="G10" s="101"/>
    </row>
    <row r="11" spans="1:9" ht="17.25" x14ac:dyDescent="0.25">
      <c r="A11" s="8" t="s">
        <v>13</v>
      </c>
      <c r="B11" s="53" t="s">
        <v>54</v>
      </c>
      <c r="C11" s="55">
        <v>496771</v>
      </c>
      <c r="D11" s="190"/>
      <c r="E11" s="101"/>
      <c r="F11" s="104"/>
      <c r="G11" s="101"/>
    </row>
    <row r="12" spans="1:9" ht="17.25" x14ac:dyDescent="0.25">
      <c r="A12" s="8" t="s">
        <v>11</v>
      </c>
      <c r="B12" s="53" t="s">
        <v>55</v>
      </c>
      <c r="C12" s="55">
        <v>11736024</v>
      </c>
      <c r="D12" s="190"/>
      <c r="G12" s="101"/>
    </row>
    <row r="13" spans="1:9" ht="17.25" x14ac:dyDescent="0.25">
      <c r="A13" s="8" t="s">
        <v>15</v>
      </c>
      <c r="B13" s="53" t="s">
        <v>56</v>
      </c>
      <c r="C13" s="55">
        <v>3381486</v>
      </c>
      <c r="D13" s="190"/>
      <c r="G13" s="101"/>
    </row>
    <row r="14" spans="1:9" ht="17.25" x14ac:dyDescent="0.25">
      <c r="A14" s="8" t="s">
        <v>16</v>
      </c>
      <c r="B14" s="53" t="s">
        <v>57</v>
      </c>
      <c r="C14" s="56">
        <v>3578376</v>
      </c>
      <c r="D14" s="191"/>
      <c r="F14" s="104"/>
      <c r="G14" s="101"/>
    </row>
    <row r="15" spans="1:9" x14ac:dyDescent="0.25">
      <c r="A15" s="18" t="s">
        <v>116</v>
      </c>
      <c r="B15" s="31" t="s">
        <v>58</v>
      </c>
      <c r="C15" s="57">
        <f>SUM(C10:C14)</f>
        <v>20139721</v>
      </c>
      <c r="D15" s="191"/>
    </row>
    <row r="16" spans="1:9" x14ac:dyDescent="0.25">
      <c r="A16" s="9" t="s">
        <v>101</v>
      </c>
      <c r="B16" s="30" t="s">
        <v>59</v>
      </c>
      <c r="C16" s="201">
        <v>1.9869000000000001E-2</v>
      </c>
      <c r="D16" s="5"/>
    </row>
    <row r="17" spans="1:11" ht="17.25" x14ac:dyDescent="0.25">
      <c r="A17" s="9" t="s">
        <v>99</v>
      </c>
      <c r="B17" s="30" t="s">
        <v>60</v>
      </c>
      <c r="C17" s="186"/>
      <c r="D17" s="5"/>
      <c r="I17" s="4"/>
      <c r="J17" s="42"/>
    </row>
    <row r="18" spans="1:11" ht="15.75" thickBot="1" x14ac:dyDescent="0.3">
      <c r="A18" s="10" t="s">
        <v>100</v>
      </c>
      <c r="B18" s="32" t="s">
        <v>61</v>
      </c>
      <c r="C18" s="202">
        <v>7.5670000000000001E-2</v>
      </c>
      <c r="D18" s="6"/>
      <c r="I18" s="4"/>
    </row>
    <row r="19" spans="1:11" ht="8.25" customHeight="1" thickBot="1" x14ac:dyDescent="0.3">
      <c r="B19" s="17"/>
      <c r="I19" s="4"/>
    </row>
    <row r="20" spans="1:11" ht="15.75" thickBot="1" x14ac:dyDescent="0.3">
      <c r="A20" s="23" t="s">
        <v>3</v>
      </c>
      <c r="B20" s="15"/>
      <c r="C20" s="24" t="s">
        <v>19</v>
      </c>
      <c r="D20" s="16" t="s">
        <v>20</v>
      </c>
      <c r="E20" s="25" t="s">
        <v>4</v>
      </c>
      <c r="F20" s="25" t="s">
        <v>5</v>
      </c>
      <c r="G20" s="16" t="s">
        <v>6</v>
      </c>
      <c r="H20" s="90" t="s">
        <v>71</v>
      </c>
      <c r="I20" s="43"/>
    </row>
    <row r="21" spans="1:11" x14ac:dyDescent="0.25">
      <c r="A21" s="9" t="s">
        <v>21</v>
      </c>
      <c r="B21" s="30" t="s">
        <v>62</v>
      </c>
      <c r="C21" s="33">
        <v>0.10299999999999999</v>
      </c>
      <c r="D21" s="20">
        <v>0.121</v>
      </c>
      <c r="E21" s="26">
        <v>8.6999999999999994E-2</v>
      </c>
      <c r="F21" s="26">
        <v>0.13200000000000001</v>
      </c>
      <c r="G21" s="20">
        <v>0.18</v>
      </c>
      <c r="H21" s="91"/>
      <c r="I21" s="44"/>
    </row>
    <row r="22" spans="1:11" x14ac:dyDescent="0.25">
      <c r="A22" s="8" t="s">
        <v>22</v>
      </c>
      <c r="B22" s="53" t="s">
        <v>63</v>
      </c>
      <c r="C22" s="193"/>
      <c r="D22" s="192"/>
      <c r="E22" s="194"/>
      <c r="F22" s="194"/>
      <c r="G22" s="190"/>
      <c r="H22" s="92"/>
      <c r="I22" s="45"/>
    </row>
    <row r="23" spans="1:11" x14ac:dyDescent="0.25">
      <c r="A23" s="9" t="s">
        <v>117</v>
      </c>
      <c r="B23" s="30" t="s">
        <v>64</v>
      </c>
      <c r="C23" s="34">
        <f>C10</f>
        <v>947064</v>
      </c>
      <c r="D23" s="21">
        <f>C11</f>
        <v>496771</v>
      </c>
      <c r="E23" s="27">
        <f>C12</f>
        <v>11736024</v>
      </c>
      <c r="F23" s="27">
        <f>C13</f>
        <v>3381486</v>
      </c>
      <c r="G23" s="21">
        <f>C14</f>
        <v>3578376</v>
      </c>
      <c r="H23" s="93">
        <f>SUM(C23:G23)</f>
        <v>20139721</v>
      </c>
      <c r="I23" s="46"/>
    </row>
    <row r="24" spans="1:11" ht="9.75" customHeight="1" x14ac:dyDescent="0.25">
      <c r="A24" s="9"/>
      <c r="B24" s="30"/>
      <c r="C24" s="11"/>
      <c r="D24" s="5"/>
      <c r="E24" s="28"/>
      <c r="F24" s="28"/>
      <c r="G24" s="5"/>
      <c r="H24" s="8"/>
      <c r="I24" s="3"/>
    </row>
    <row r="25" spans="1:11" x14ac:dyDescent="0.25">
      <c r="A25" s="9" t="s">
        <v>118</v>
      </c>
      <c r="B25" s="30" t="s">
        <v>65</v>
      </c>
      <c r="C25" s="195">
        <f>C23*C21</f>
        <v>97547.59199999999</v>
      </c>
      <c r="D25" s="196">
        <f t="shared" ref="D25" si="0">D23*D21</f>
        <v>60109.290999999997</v>
      </c>
      <c r="E25" s="197">
        <f>E23*E21</f>
        <v>1021034.0879999999</v>
      </c>
      <c r="F25" s="197">
        <f t="shared" ref="F25:G25" si="1">F23*F21</f>
        <v>446356.152</v>
      </c>
      <c r="G25" s="196">
        <f t="shared" si="1"/>
        <v>644107.67999999993</v>
      </c>
      <c r="H25" s="94">
        <f t="shared" ref="H25:H30" si="2">SUM(C25:G25)</f>
        <v>2269154.8029999998</v>
      </c>
      <c r="I25" s="47"/>
    </row>
    <row r="26" spans="1:11" x14ac:dyDescent="0.25">
      <c r="A26" s="9" t="s">
        <v>119</v>
      </c>
      <c r="B26" s="30" t="s">
        <v>66</v>
      </c>
      <c r="C26" s="195">
        <f>C23*$C$16</f>
        <v>18817.214616000001</v>
      </c>
      <c r="D26" s="196">
        <f t="shared" ref="D26" si="3">D23*$C$16</f>
        <v>9870.3429990000004</v>
      </c>
      <c r="E26" s="197">
        <f>E23*$C$16</f>
        <v>233183.06085600003</v>
      </c>
      <c r="F26" s="197">
        <f t="shared" ref="F26:G26" si="4">F23*$C$16</f>
        <v>67186.745334000007</v>
      </c>
      <c r="G26" s="196">
        <f t="shared" si="4"/>
        <v>71098.752743999998</v>
      </c>
      <c r="H26" s="94">
        <f t="shared" si="2"/>
        <v>400156.11654900003</v>
      </c>
      <c r="I26" s="47"/>
    </row>
    <row r="27" spans="1:11" ht="15.75" thickBot="1" x14ac:dyDescent="0.3">
      <c r="A27" s="10" t="s">
        <v>120</v>
      </c>
      <c r="B27" s="32" t="s">
        <v>67</v>
      </c>
      <c r="C27" s="198">
        <f>C23*$C$18</f>
        <v>71664.332880000002</v>
      </c>
      <c r="D27" s="199">
        <f t="shared" ref="D27:G27" si="5">D23*$C$18</f>
        <v>37590.661570000004</v>
      </c>
      <c r="E27" s="200">
        <f t="shared" si="5"/>
        <v>888064.93608000001</v>
      </c>
      <c r="F27" s="200">
        <f t="shared" si="5"/>
        <v>255877.04561999999</v>
      </c>
      <c r="G27" s="199">
        <f t="shared" si="5"/>
        <v>270775.71192000003</v>
      </c>
      <c r="H27" s="95">
        <f t="shared" si="2"/>
        <v>1523972.6880700001</v>
      </c>
      <c r="I27" s="47"/>
      <c r="J27" s="152"/>
    </row>
    <row r="28" spans="1:11" x14ac:dyDescent="0.25">
      <c r="A28" s="18" t="s">
        <v>121</v>
      </c>
      <c r="B28" s="31" t="s">
        <v>68</v>
      </c>
      <c r="C28" s="129">
        <f>87895-71670</f>
        <v>16225</v>
      </c>
      <c r="D28" s="130">
        <f>46104-37594+1</f>
        <v>8511</v>
      </c>
      <c r="E28" s="131">
        <f>1089192-888135</f>
        <v>201057</v>
      </c>
      <c r="F28" s="131">
        <f>313828-255897</f>
        <v>57931</v>
      </c>
      <c r="G28" s="130">
        <f>332100-270797</f>
        <v>61303</v>
      </c>
      <c r="H28" s="98">
        <f t="shared" si="2"/>
        <v>345027</v>
      </c>
      <c r="I28" s="48"/>
      <c r="J28" s="50"/>
    </row>
    <row r="29" spans="1:11" x14ac:dyDescent="0.25">
      <c r="A29" s="66" t="s">
        <v>122</v>
      </c>
      <c r="B29" s="67" t="s">
        <v>69</v>
      </c>
      <c r="C29" s="68">
        <f>IF(C28&gt;0,C28,0)</f>
        <v>16225</v>
      </c>
      <c r="D29" s="69">
        <f t="shared" ref="D29:G29" si="6">IF(D28&gt;0,D28,0)</f>
        <v>8511</v>
      </c>
      <c r="E29" s="70">
        <f t="shared" si="6"/>
        <v>201057</v>
      </c>
      <c r="F29" s="70">
        <f t="shared" si="6"/>
        <v>57931</v>
      </c>
      <c r="G29" s="69">
        <f t="shared" si="6"/>
        <v>61303</v>
      </c>
      <c r="H29" s="96">
        <f t="shared" si="2"/>
        <v>345027</v>
      </c>
      <c r="I29" s="49"/>
      <c r="J29" s="50"/>
      <c r="K29" s="50"/>
    </row>
    <row r="30" spans="1:11" ht="15.75" thickBot="1" x14ac:dyDescent="0.3">
      <c r="A30" s="71" t="s">
        <v>123</v>
      </c>
      <c r="B30" s="72" t="s">
        <v>70</v>
      </c>
      <c r="C30" s="73">
        <f>IF(C28&lt;0,C28*-1,0)</f>
        <v>0</v>
      </c>
      <c r="D30" s="74">
        <f t="shared" ref="D30:G30" si="7">IF(D28&lt;0,D28*-1,0)</f>
        <v>0</v>
      </c>
      <c r="E30" s="75">
        <f t="shared" si="7"/>
        <v>0</v>
      </c>
      <c r="F30" s="75">
        <f t="shared" si="7"/>
        <v>0</v>
      </c>
      <c r="G30" s="74">
        <f t="shared" si="7"/>
        <v>0</v>
      </c>
      <c r="H30" s="97">
        <f t="shared" si="2"/>
        <v>0</v>
      </c>
      <c r="I30" s="49"/>
      <c r="J30" s="50"/>
      <c r="K30" s="50"/>
    </row>
    <row r="31" spans="1:11" x14ac:dyDescent="0.25">
      <c r="B31" s="17"/>
      <c r="C31" s="19"/>
      <c r="D31" s="19"/>
      <c r="E31" s="19"/>
      <c r="F31" s="19"/>
      <c r="G31" s="19"/>
      <c r="I31" s="50"/>
      <c r="J31" s="50"/>
      <c r="K31" s="50"/>
    </row>
    <row r="32" spans="1:11" x14ac:dyDescent="0.25">
      <c r="B32" s="17"/>
      <c r="C32" s="19"/>
      <c r="D32" s="19"/>
      <c r="E32" s="19"/>
      <c r="F32" s="19"/>
      <c r="G32" s="19"/>
      <c r="H32" s="19"/>
      <c r="I32" s="50"/>
      <c r="J32" s="50"/>
      <c r="K32" s="50"/>
    </row>
    <row r="33" spans="1:12" x14ac:dyDescent="0.25">
      <c r="A33" s="65" t="s">
        <v>41</v>
      </c>
      <c r="B33" s="63"/>
      <c r="C33" s="64"/>
      <c r="D33" s="64"/>
      <c r="E33" s="64"/>
      <c r="F33" s="64"/>
      <c r="G33" s="64"/>
      <c r="H33" s="64"/>
      <c r="I33" s="64"/>
      <c r="J33" s="50"/>
      <c r="K33" s="50"/>
    </row>
    <row r="34" spans="1:12" x14ac:dyDescent="0.25">
      <c r="A34" s="2" t="s">
        <v>10</v>
      </c>
      <c r="B34" s="2"/>
      <c r="E34" s="4"/>
      <c r="F34" s="122"/>
    </row>
    <row r="35" spans="1:12" ht="15.75" thickBot="1" x14ac:dyDescent="0.3">
      <c r="B35" s="17"/>
      <c r="C35" s="19"/>
      <c r="D35" s="19"/>
      <c r="E35" s="19"/>
      <c r="F35" s="19"/>
      <c r="G35" s="19"/>
      <c r="H35" s="19"/>
      <c r="I35" s="50"/>
      <c r="J35" s="50"/>
      <c r="K35" s="50"/>
    </row>
    <row r="36" spans="1:12" ht="30.75" thickBot="1" x14ac:dyDescent="0.3">
      <c r="A36" s="13"/>
      <c r="B36" s="13"/>
      <c r="C36" s="15" t="s">
        <v>17</v>
      </c>
      <c r="D36" s="16" t="s">
        <v>18</v>
      </c>
      <c r="E36" s="4"/>
      <c r="G36" s="216" t="s">
        <v>138</v>
      </c>
      <c r="J36" s="42"/>
    </row>
    <row r="37" spans="1:12" x14ac:dyDescent="0.25">
      <c r="A37" s="7" t="s">
        <v>14</v>
      </c>
      <c r="B37" s="52" t="s">
        <v>27</v>
      </c>
      <c r="C37" s="54">
        <v>39190292</v>
      </c>
      <c r="D37" s="14">
        <f>C37/C37</f>
        <v>1</v>
      </c>
    </row>
    <row r="38" spans="1:12" ht="17.25" x14ac:dyDescent="0.25">
      <c r="A38" s="8" t="s">
        <v>124</v>
      </c>
      <c r="B38" s="53" t="s">
        <v>28</v>
      </c>
      <c r="C38" s="55">
        <f>G38*D38</f>
        <v>825522.72600000002</v>
      </c>
      <c r="D38" s="169">
        <v>0.71899999999999997</v>
      </c>
      <c r="F38" s="101">
        <f>G38/G43</f>
        <v>6.0499652726932716E-2</v>
      </c>
      <c r="G38" s="103">
        <v>1148154</v>
      </c>
    </row>
    <row r="39" spans="1:12" ht="17.25" x14ac:dyDescent="0.25">
      <c r="A39" s="8" t="s">
        <v>125</v>
      </c>
      <c r="B39" s="53" t="s">
        <v>29</v>
      </c>
      <c r="C39" s="55">
        <f>G38*D39</f>
        <v>322631.27400000003</v>
      </c>
      <c r="D39" s="169">
        <v>0.28100000000000003</v>
      </c>
      <c r="F39" s="101"/>
    </row>
    <row r="40" spans="1:12" ht="17.25" x14ac:dyDescent="0.25">
      <c r="A40" s="8" t="s">
        <v>126</v>
      </c>
      <c r="B40" s="53" t="s">
        <v>30</v>
      </c>
      <c r="C40" s="55">
        <f>G40*D40</f>
        <v>11482331.308</v>
      </c>
      <c r="D40" s="169">
        <v>0.64400000000000002</v>
      </c>
      <c r="F40" s="101">
        <f>G40/G43</f>
        <v>0.9395003472730673</v>
      </c>
      <c r="G40" s="103">
        <v>17829707</v>
      </c>
    </row>
    <row r="41" spans="1:12" ht="17.25" x14ac:dyDescent="0.25">
      <c r="A41" s="8" t="s">
        <v>127</v>
      </c>
      <c r="B41" s="53" t="s">
        <v>31</v>
      </c>
      <c r="C41" s="55">
        <f>G40*D41</f>
        <v>3038182.0727999997</v>
      </c>
      <c r="D41" s="169">
        <v>0.1704</v>
      </c>
      <c r="F41" s="101"/>
    </row>
    <row r="42" spans="1:12" ht="17.25" x14ac:dyDescent="0.25">
      <c r="A42" s="8" t="s">
        <v>128</v>
      </c>
      <c r="B42" s="53" t="s">
        <v>32</v>
      </c>
      <c r="C42" s="56">
        <f>G40*D42</f>
        <v>3309193.6191999996</v>
      </c>
      <c r="D42" s="170">
        <v>0.18559999999999999</v>
      </c>
      <c r="F42" s="101"/>
    </row>
    <row r="43" spans="1:12" x14ac:dyDescent="0.25">
      <c r="A43" s="18" t="s">
        <v>129</v>
      </c>
      <c r="B43" s="31" t="s">
        <v>33</v>
      </c>
      <c r="C43" s="57">
        <f>SUM(C38:C42)</f>
        <v>18977861</v>
      </c>
      <c r="D43" s="12">
        <f>C43/C37</f>
        <v>0.48424903289824939</v>
      </c>
      <c r="F43" s="101">
        <f>C43/G43</f>
        <v>1</v>
      </c>
      <c r="G43" s="103">
        <v>18977861</v>
      </c>
      <c r="H43" s="104">
        <f>F38+F40-F43</f>
        <v>0</v>
      </c>
    </row>
    <row r="44" spans="1:12" x14ac:dyDescent="0.25">
      <c r="A44" s="9" t="s">
        <v>2</v>
      </c>
      <c r="B44" s="30" t="s">
        <v>34</v>
      </c>
      <c r="C44" s="58">
        <f>D45/C45</f>
        <v>1.4064860032219977E-2</v>
      </c>
      <c r="D44" s="5"/>
    </row>
    <row r="45" spans="1:12" ht="17.25" x14ac:dyDescent="0.25">
      <c r="A45" s="9" t="s">
        <v>87</v>
      </c>
      <c r="B45" s="30" t="s">
        <v>35</v>
      </c>
      <c r="C45" s="55">
        <v>39617084.615384616</v>
      </c>
      <c r="D45" s="51">
        <v>557208.75</v>
      </c>
      <c r="L45" s="42"/>
    </row>
    <row r="46" spans="1:12" ht="17.25" x14ac:dyDescent="0.25">
      <c r="A46" s="9" t="s">
        <v>38</v>
      </c>
      <c r="B46" s="30" t="s">
        <v>36</v>
      </c>
      <c r="C46" s="59">
        <v>112.26</v>
      </c>
      <c r="D46" s="5"/>
      <c r="I46" s="4"/>
      <c r="J46" s="42"/>
    </row>
    <row r="47" spans="1:12" ht="15.75" thickBot="1" x14ac:dyDescent="0.3">
      <c r="A47" s="10" t="s">
        <v>39</v>
      </c>
      <c r="B47" s="32" t="s">
        <v>37</v>
      </c>
      <c r="C47" s="60">
        <f>C46/1000</f>
        <v>0.11226</v>
      </c>
      <c r="D47" s="6"/>
      <c r="H47" s="4"/>
      <c r="I47" s="4"/>
    </row>
    <row r="48" spans="1:12" ht="15.75" thickBot="1" x14ac:dyDescent="0.3">
      <c r="B48" s="17"/>
      <c r="H48" s="4"/>
      <c r="I48" s="4"/>
    </row>
    <row r="49" spans="1:11" ht="15.75" thickBot="1" x14ac:dyDescent="0.3">
      <c r="A49" s="23" t="s">
        <v>137</v>
      </c>
      <c r="B49" s="15"/>
      <c r="C49" s="24" t="s">
        <v>19</v>
      </c>
      <c r="D49" s="16" t="s">
        <v>20</v>
      </c>
      <c r="E49" s="25" t="s">
        <v>4</v>
      </c>
      <c r="F49" s="25" t="s">
        <v>5</v>
      </c>
      <c r="G49" s="16" t="s">
        <v>6</v>
      </c>
      <c r="H49" s="90" t="s">
        <v>71</v>
      </c>
      <c r="I49" s="43"/>
    </row>
    <row r="50" spans="1:11" x14ac:dyDescent="0.25">
      <c r="A50" s="9" t="s">
        <v>21</v>
      </c>
      <c r="B50" s="30" t="s">
        <v>43</v>
      </c>
      <c r="C50" s="118">
        <f>C21</f>
        <v>0.10299999999999999</v>
      </c>
      <c r="D50" s="119">
        <f t="shared" ref="D50:G50" si="8">D21</f>
        <v>0.121</v>
      </c>
      <c r="E50" s="120">
        <f t="shared" si="8"/>
        <v>8.6999999999999994E-2</v>
      </c>
      <c r="F50" s="120">
        <f t="shared" si="8"/>
        <v>0.13200000000000001</v>
      </c>
      <c r="G50" s="119">
        <f t="shared" si="8"/>
        <v>0.18</v>
      </c>
      <c r="H50" s="91"/>
      <c r="I50" s="44"/>
    </row>
    <row r="51" spans="1:11" x14ac:dyDescent="0.25">
      <c r="A51" s="8" t="s">
        <v>22</v>
      </c>
      <c r="B51" s="53" t="s">
        <v>44</v>
      </c>
      <c r="C51" s="193"/>
      <c r="D51" s="192"/>
      <c r="E51" s="194"/>
      <c r="F51" s="194"/>
      <c r="G51" s="190"/>
      <c r="H51" s="92"/>
      <c r="I51" s="45"/>
    </row>
    <row r="52" spans="1:11" x14ac:dyDescent="0.25">
      <c r="A52" s="9" t="s">
        <v>130</v>
      </c>
      <c r="B52" s="30" t="s">
        <v>45</v>
      </c>
      <c r="C52" s="34">
        <f>C38</f>
        <v>825522.72600000002</v>
      </c>
      <c r="D52" s="21">
        <f>C39</f>
        <v>322631.27400000003</v>
      </c>
      <c r="E52" s="27">
        <f>C40</f>
        <v>11482331.308</v>
      </c>
      <c r="F52" s="27">
        <f>C41</f>
        <v>3038182.0727999997</v>
      </c>
      <c r="G52" s="21">
        <f>C42</f>
        <v>3309193.6191999996</v>
      </c>
      <c r="H52" s="93">
        <f>SUM(C52:G52)</f>
        <v>18977861</v>
      </c>
      <c r="I52" s="46"/>
    </row>
    <row r="53" spans="1:11" x14ac:dyDescent="0.25">
      <c r="A53" s="9"/>
      <c r="B53" s="30"/>
      <c r="C53" s="11"/>
      <c r="D53" s="5"/>
      <c r="E53" s="28"/>
      <c r="F53" s="28"/>
      <c r="G53" s="5"/>
      <c r="H53" s="8"/>
      <c r="I53" s="3"/>
    </row>
    <row r="54" spans="1:11" x14ac:dyDescent="0.25">
      <c r="A54" s="9" t="s">
        <v>131</v>
      </c>
      <c r="B54" s="30" t="s">
        <v>46</v>
      </c>
      <c r="C54" s="35">
        <f>C52*C50</f>
        <v>85028.840777999998</v>
      </c>
      <c r="D54" s="22">
        <f t="shared" ref="D54" si="9">D52*D50</f>
        <v>39038.384153999999</v>
      </c>
      <c r="E54" s="29">
        <f>E52*E50</f>
        <v>998962.82379599998</v>
      </c>
      <c r="F54" s="29">
        <f t="shared" ref="F54:G54" si="10">F52*F50</f>
        <v>401040.03360959998</v>
      </c>
      <c r="G54" s="22">
        <f t="shared" si="10"/>
        <v>595654.85145599989</v>
      </c>
      <c r="H54" s="94">
        <f t="shared" ref="H54:H59" si="11">SUM(C54:G54)</f>
        <v>2119724.9337935997</v>
      </c>
      <c r="I54" s="47"/>
    </row>
    <row r="55" spans="1:11" x14ac:dyDescent="0.25">
      <c r="A55" s="9" t="s">
        <v>132</v>
      </c>
      <c r="B55" s="30" t="s">
        <v>47</v>
      </c>
      <c r="C55" s="35">
        <f>C52*$C$44</f>
        <v>11610.861594606684</v>
      </c>
      <c r="D55" s="22">
        <f t="shared" ref="D55:G55" si="12">D52*$C$44</f>
        <v>4537.7637108268127</v>
      </c>
      <c r="E55" s="29">
        <f t="shared" si="12"/>
        <v>161497.38269059733</v>
      </c>
      <c r="F55" s="29">
        <f t="shared" si="12"/>
        <v>42731.605606331963</v>
      </c>
      <c r="G55" s="22">
        <f t="shared" si="12"/>
        <v>46543.345073563447</v>
      </c>
      <c r="H55" s="94">
        <f t="shared" si="11"/>
        <v>266920.9586759262</v>
      </c>
      <c r="I55" s="47"/>
    </row>
    <row r="56" spans="1:11" ht="15.75" thickBot="1" x14ac:dyDescent="0.3">
      <c r="A56" s="10" t="s">
        <v>133</v>
      </c>
      <c r="B56" s="32" t="s">
        <v>48</v>
      </c>
      <c r="C56" s="39">
        <f>C52*$C$47</f>
        <v>92673.181220760001</v>
      </c>
      <c r="D56" s="40">
        <f t="shared" ref="D56:G56" si="13">D52*$C$47</f>
        <v>36218.586819240001</v>
      </c>
      <c r="E56" s="41">
        <f t="shared" si="13"/>
        <v>1289006.5126360799</v>
      </c>
      <c r="F56" s="41">
        <f t="shared" si="13"/>
        <v>341066.31949252798</v>
      </c>
      <c r="G56" s="40">
        <f t="shared" si="13"/>
        <v>371490.07569139195</v>
      </c>
      <c r="H56" s="95">
        <f t="shared" si="11"/>
        <v>2130454.6758599998</v>
      </c>
      <c r="I56" s="47"/>
    </row>
    <row r="57" spans="1:11" x14ac:dyDescent="0.25">
      <c r="A57" s="18" t="s">
        <v>25</v>
      </c>
      <c r="B57" s="31" t="s">
        <v>49</v>
      </c>
      <c r="C57" s="36">
        <f>C54-C55-C56</f>
        <v>-19255.202037366689</v>
      </c>
      <c r="D57" s="37">
        <f t="shared" ref="D57:G57" si="14">D54-D55-D56</f>
        <v>-1717.9663760668118</v>
      </c>
      <c r="E57" s="38">
        <f t="shared" si="14"/>
        <v>-451541.07153067726</v>
      </c>
      <c r="F57" s="38">
        <f t="shared" si="14"/>
        <v>17242.108510740043</v>
      </c>
      <c r="G57" s="37">
        <f t="shared" si="14"/>
        <v>177621.43069104454</v>
      </c>
      <c r="H57" s="98">
        <f t="shared" si="11"/>
        <v>-277650.70074232615</v>
      </c>
      <c r="I57" s="48"/>
    </row>
    <row r="58" spans="1:11" x14ac:dyDescent="0.25">
      <c r="A58" s="76" t="s">
        <v>23</v>
      </c>
      <c r="B58" s="77" t="s">
        <v>50</v>
      </c>
      <c r="C58" s="78">
        <f>IF(C57&gt;0,C57,0)</f>
        <v>0</v>
      </c>
      <c r="D58" s="79">
        <f t="shared" ref="D58:G58" si="15">IF(D57&gt;0,D57,0)</f>
        <v>0</v>
      </c>
      <c r="E58" s="80">
        <f t="shared" si="15"/>
        <v>0</v>
      </c>
      <c r="F58" s="80">
        <f t="shared" si="15"/>
        <v>17242.108510740043</v>
      </c>
      <c r="G58" s="79">
        <f t="shared" si="15"/>
        <v>177621.43069104454</v>
      </c>
      <c r="H58" s="96">
        <f t="shared" si="11"/>
        <v>194863.53920178459</v>
      </c>
      <c r="I58" s="49"/>
      <c r="J58" s="50"/>
      <c r="K58" s="50"/>
    </row>
    <row r="59" spans="1:11" ht="15.75" thickBot="1" x14ac:dyDescent="0.3">
      <c r="A59" s="81" t="s">
        <v>24</v>
      </c>
      <c r="B59" s="82" t="s">
        <v>51</v>
      </c>
      <c r="C59" s="83">
        <f>IF(C57&lt;0,C57*-1,0)</f>
        <v>19255.202037366689</v>
      </c>
      <c r="D59" s="84">
        <f t="shared" ref="D59:G59" si="16">IF(D57&lt;0,D57*-1,0)</f>
        <v>1717.9663760668118</v>
      </c>
      <c r="E59" s="85">
        <f t="shared" si="16"/>
        <v>451541.07153067726</v>
      </c>
      <c r="F59" s="85">
        <f t="shared" si="16"/>
        <v>0</v>
      </c>
      <c r="G59" s="84">
        <f t="shared" si="16"/>
        <v>0</v>
      </c>
      <c r="H59" s="97">
        <f t="shared" si="11"/>
        <v>472514.23994411074</v>
      </c>
      <c r="I59" s="49"/>
      <c r="J59" s="50"/>
      <c r="K59" s="50"/>
    </row>
    <row r="60" spans="1:11" x14ac:dyDescent="0.25">
      <c r="B60" s="17"/>
      <c r="C60" s="19"/>
      <c r="D60" s="19"/>
      <c r="E60" s="19"/>
      <c r="F60" s="19"/>
      <c r="G60" s="19"/>
      <c r="H60" s="50"/>
      <c r="I60" s="50"/>
      <c r="J60" s="50"/>
      <c r="K60" s="50"/>
    </row>
    <row r="61" spans="1:11" ht="15.75" thickBot="1" x14ac:dyDescent="0.3">
      <c r="A61" s="86" t="s">
        <v>42</v>
      </c>
      <c r="H61" s="4"/>
      <c r="I61" s="4"/>
    </row>
    <row r="62" spans="1:11" x14ac:dyDescent="0.25">
      <c r="A62" s="7" t="s">
        <v>134</v>
      </c>
      <c r="B62" s="52"/>
      <c r="C62" s="87">
        <f>C57-C28</f>
        <v>-35480.202037366689</v>
      </c>
      <c r="D62" s="88">
        <f t="shared" ref="D62:G62" si="17">D57-D28</f>
        <v>-10228.966376066812</v>
      </c>
      <c r="E62" s="89">
        <f t="shared" si="17"/>
        <v>-652598.07153067726</v>
      </c>
      <c r="F62" s="89">
        <f t="shared" si="17"/>
        <v>-40688.891489259957</v>
      </c>
      <c r="G62" s="88">
        <f t="shared" si="17"/>
        <v>116318.43069104454</v>
      </c>
      <c r="H62" s="98">
        <f t="shared" ref="H62:H64" si="18">SUM(C62:G62)</f>
        <v>-622677.70074232621</v>
      </c>
      <c r="I62" s="48"/>
    </row>
    <row r="63" spans="1:11" x14ac:dyDescent="0.25">
      <c r="A63" s="76" t="s">
        <v>135</v>
      </c>
      <c r="B63" s="77" t="s">
        <v>72</v>
      </c>
      <c r="C63" s="78">
        <f>IF(C62&gt;0,C62,0)</f>
        <v>0</v>
      </c>
      <c r="D63" s="79">
        <f t="shared" ref="D63:G63" si="19">IF(D62&gt;0,D62,0)</f>
        <v>0</v>
      </c>
      <c r="E63" s="80">
        <f t="shared" si="19"/>
        <v>0</v>
      </c>
      <c r="F63" s="80">
        <f t="shared" si="19"/>
        <v>0</v>
      </c>
      <c r="G63" s="79">
        <f t="shared" si="19"/>
        <v>116318.43069104454</v>
      </c>
      <c r="H63" s="96">
        <f t="shared" si="18"/>
        <v>116318.43069104454</v>
      </c>
      <c r="I63" s="49"/>
      <c r="J63" s="50"/>
      <c r="K63" s="50"/>
    </row>
    <row r="64" spans="1:11" ht="15.75" thickBot="1" x14ac:dyDescent="0.3">
      <c r="A64" s="81" t="s">
        <v>136</v>
      </c>
      <c r="B64" s="82" t="s">
        <v>73</v>
      </c>
      <c r="C64" s="83">
        <f>IF(C62&lt;0,C62*-1,0)</f>
        <v>35480.202037366689</v>
      </c>
      <c r="D64" s="84">
        <f t="shared" ref="D64:G64" si="20">IF(D62&lt;0,D62*-1,0)</f>
        <v>10228.966376066812</v>
      </c>
      <c r="E64" s="85">
        <f t="shared" si="20"/>
        <v>652598.07153067726</v>
      </c>
      <c r="F64" s="85">
        <f t="shared" si="20"/>
        <v>40688.891489259957</v>
      </c>
      <c r="G64" s="84">
        <f t="shared" si="20"/>
        <v>0</v>
      </c>
      <c r="H64" s="97">
        <f t="shared" si="18"/>
        <v>738996.13143337076</v>
      </c>
      <c r="I64" s="49"/>
      <c r="J64" s="50"/>
      <c r="K64" s="50"/>
    </row>
  </sheetData>
  <sheetProtection password="CC7B" sheet="1" objects="1" scenarios="1"/>
  <pageMargins left="0.11811023622047245" right="0.11811023622047245" top="0.35433070866141736" bottom="0.35433070866141736" header="0.11811023622047245" footer="0.11811023622047245"/>
  <pageSetup scale="75" orientation="portrait" verticalDpi="0" r:id="rId1"/>
  <headerFooter>
    <oddFooter>&amp;L&amp;9&amp;Z&amp;F  &amp;A  &amp;D  &amp;T&amp;R&amp;P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3:L64"/>
  <sheetViews>
    <sheetView topLeftCell="A7" zoomScale="80" zoomScaleNormal="80" workbookViewId="0">
      <selection activeCell="F39" sqref="F39"/>
    </sheetView>
  </sheetViews>
  <sheetFormatPr defaultRowHeight="15" x14ac:dyDescent="0.25"/>
  <cols>
    <col min="1" max="1" width="36" customWidth="1"/>
    <col min="2" max="2" width="11.140625" bestFit="1" customWidth="1"/>
    <col min="3" max="3" width="15.28515625" bestFit="1" customWidth="1"/>
    <col min="4" max="4" width="12.5703125" bestFit="1" customWidth="1"/>
    <col min="5" max="5" width="12.85546875" bestFit="1" customWidth="1"/>
    <col min="6" max="7" width="12.140625" bestFit="1" customWidth="1"/>
    <col min="8" max="8" width="13.28515625" bestFit="1" customWidth="1"/>
    <col min="9" max="9" width="5.28515625" customWidth="1"/>
    <col min="10" max="11" width="10.5703125" style="4" bestFit="1" customWidth="1"/>
    <col min="12" max="16384" width="9.140625" style="4"/>
  </cols>
  <sheetData>
    <row r="3" spans="1:9" ht="5.25" customHeight="1" x14ac:dyDescent="0.25">
      <c r="A3" s="2"/>
      <c r="B3" s="2"/>
      <c r="E3" s="4"/>
    </row>
    <row r="4" spans="1:9" x14ac:dyDescent="0.25">
      <c r="A4" s="2"/>
      <c r="B4" s="2"/>
      <c r="E4" s="4"/>
    </row>
    <row r="5" spans="1:9" x14ac:dyDescent="0.25">
      <c r="A5" s="61" t="s">
        <v>40</v>
      </c>
      <c r="B5" s="61"/>
      <c r="C5" s="62"/>
      <c r="D5" s="62"/>
      <c r="E5" s="62"/>
      <c r="F5" s="62"/>
      <c r="G5" s="62"/>
      <c r="H5" s="62"/>
      <c r="I5" s="62"/>
    </row>
    <row r="6" spans="1:9" x14ac:dyDescent="0.25">
      <c r="A6" s="2" t="s">
        <v>10</v>
      </c>
      <c r="B6" s="2"/>
      <c r="E6" s="99" t="s">
        <v>84</v>
      </c>
      <c r="F6" s="99">
        <v>2016</v>
      </c>
    </row>
    <row r="7" spans="1:9" ht="15.75" thickBot="1" x14ac:dyDescent="0.3">
      <c r="A7" s="2"/>
      <c r="B7" s="2"/>
      <c r="E7" s="4"/>
    </row>
    <row r="8" spans="1:9" ht="15.75" thickBot="1" x14ac:dyDescent="0.3">
      <c r="A8" s="13"/>
      <c r="B8" s="13"/>
      <c r="C8" s="15" t="s">
        <v>17</v>
      </c>
      <c r="D8" s="16" t="s">
        <v>18</v>
      </c>
      <c r="E8" s="4"/>
    </row>
    <row r="9" spans="1:9" x14ac:dyDescent="0.25">
      <c r="A9" s="7" t="s">
        <v>14</v>
      </c>
      <c r="B9" s="52" t="s">
        <v>52</v>
      </c>
      <c r="C9" s="188"/>
      <c r="D9" s="189"/>
    </row>
    <row r="10" spans="1:9" ht="17.25" x14ac:dyDescent="0.25">
      <c r="A10" s="8" t="s">
        <v>12</v>
      </c>
      <c r="B10" s="53" t="s">
        <v>53</v>
      </c>
      <c r="C10" s="55">
        <v>763609</v>
      </c>
      <c r="D10" s="190"/>
      <c r="E10" s="101"/>
      <c r="G10" s="101"/>
    </row>
    <row r="11" spans="1:9" ht="17.25" x14ac:dyDescent="0.25">
      <c r="A11" s="8" t="s">
        <v>13</v>
      </c>
      <c r="B11" s="53" t="s">
        <v>54</v>
      </c>
      <c r="C11" s="55">
        <v>335368</v>
      </c>
      <c r="D11" s="190"/>
      <c r="E11" s="101"/>
      <c r="F11" s="104"/>
      <c r="G11" s="101"/>
    </row>
    <row r="12" spans="1:9" ht="17.25" x14ac:dyDescent="0.25">
      <c r="A12" s="8" t="s">
        <v>11</v>
      </c>
      <c r="B12" s="53" t="s">
        <v>55</v>
      </c>
      <c r="C12" s="55">
        <v>10823186</v>
      </c>
      <c r="D12" s="190"/>
      <c r="G12" s="101"/>
    </row>
    <row r="13" spans="1:9" ht="17.25" x14ac:dyDescent="0.25">
      <c r="A13" s="8" t="s">
        <v>15</v>
      </c>
      <c r="B13" s="53" t="s">
        <v>56</v>
      </c>
      <c r="C13" s="55">
        <v>2919252</v>
      </c>
      <c r="D13" s="190"/>
      <c r="G13" s="101"/>
    </row>
    <row r="14" spans="1:9" ht="17.25" x14ac:dyDescent="0.25">
      <c r="A14" s="8" t="s">
        <v>16</v>
      </c>
      <c r="B14" s="53" t="s">
        <v>57</v>
      </c>
      <c r="C14" s="56">
        <v>2727408</v>
      </c>
      <c r="D14" s="191"/>
      <c r="F14" s="104"/>
      <c r="G14" s="101"/>
    </row>
    <row r="15" spans="1:9" x14ac:dyDescent="0.25">
      <c r="A15" s="18" t="s">
        <v>116</v>
      </c>
      <c r="B15" s="31" t="s">
        <v>58</v>
      </c>
      <c r="C15" s="57">
        <f>SUM(C10:C14)</f>
        <v>17568823</v>
      </c>
      <c r="D15" s="191"/>
    </row>
    <row r="16" spans="1:9" x14ac:dyDescent="0.25">
      <c r="A16" s="9" t="s">
        <v>101</v>
      </c>
      <c r="B16" s="30" t="s">
        <v>59</v>
      </c>
      <c r="C16" s="201">
        <v>2.9619900000000001E-2</v>
      </c>
      <c r="D16" s="5"/>
    </row>
    <row r="17" spans="1:11" ht="17.25" x14ac:dyDescent="0.25">
      <c r="A17" s="9" t="s">
        <v>99</v>
      </c>
      <c r="B17" s="30" t="s">
        <v>60</v>
      </c>
      <c r="C17" s="186"/>
      <c r="D17" s="5"/>
      <c r="I17" s="4"/>
      <c r="J17" s="42"/>
    </row>
    <row r="18" spans="1:11" ht="15.75" thickBot="1" x14ac:dyDescent="0.3">
      <c r="A18" s="10" t="s">
        <v>100</v>
      </c>
      <c r="B18" s="32" t="s">
        <v>61</v>
      </c>
      <c r="C18" s="202">
        <v>9.7430000000000003E-2</v>
      </c>
      <c r="D18" s="6"/>
      <c r="I18" s="4"/>
    </row>
    <row r="19" spans="1:11" ht="8.25" customHeight="1" thickBot="1" x14ac:dyDescent="0.3">
      <c r="B19" s="17"/>
      <c r="I19" s="4"/>
    </row>
    <row r="20" spans="1:11" ht="15.75" thickBot="1" x14ac:dyDescent="0.3">
      <c r="A20" s="23" t="s">
        <v>3</v>
      </c>
      <c r="B20" s="15"/>
      <c r="C20" s="24" t="s">
        <v>19</v>
      </c>
      <c r="D20" s="16" t="s">
        <v>20</v>
      </c>
      <c r="E20" s="25" t="s">
        <v>4</v>
      </c>
      <c r="F20" s="25" t="s">
        <v>5</v>
      </c>
      <c r="G20" s="16" t="s">
        <v>6</v>
      </c>
      <c r="H20" s="90" t="s">
        <v>71</v>
      </c>
      <c r="I20" s="43"/>
    </row>
    <row r="21" spans="1:11" x14ac:dyDescent="0.25">
      <c r="A21" s="9" t="s">
        <v>21</v>
      </c>
      <c r="B21" s="30" t="s">
        <v>62</v>
      </c>
      <c r="C21" s="33">
        <v>0.10299999999999999</v>
      </c>
      <c r="D21" s="20">
        <v>0.121</v>
      </c>
      <c r="E21" s="26">
        <v>8.6999999999999994E-2</v>
      </c>
      <c r="F21" s="26">
        <v>0.13200000000000001</v>
      </c>
      <c r="G21" s="20">
        <v>0.18</v>
      </c>
      <c r="H21" s="91"/>
      <c r="I21" s="44"/>
    </row>
    <row r="22" spans="1:11" x14ac:dyDescent="0.25">
      <c r="A22" s="8" t="s">
        <v>22</v>
      </c>
      <c r="B22" s="53" t="s">
        <v>63</v>
      </c>
      <c r="C22" s="193"/>
      <c r="D22" s="192"/>
      <c r="E22" s="194"/>
      <c r="F22" s="194"/>
      <c r="G22" s="190"/>
      <c r="H22" s="92"/>
      <c r="I22" s="45"/>
    </row>
    <row r="23" spans="1:11" x14ac:dyDescent="0.25">
      <c r="A23" s="9" t="s">
        <v>117</v>
      </c>
      <c r="B23" s="30" t="s">
        <v>64</v>
      </c>
      <c r="C23" s="34">
        <f>C10</f>
        <v>763609</v>
      </c>
      <c r="D23" s="21">
        <f>C11</f>
        <v>335368</v>
      </c>
      <c r="E23" s="27">
        <f>C12</f>
        <v>10823186</v>
      </c>
      <c r="F23" s="27">
        <f>C13</f>
        <v>2919252</v>
      </c>
      <c r="G23" s="21">
        <f>C14</f>
        <v>2727408</v>
      </c>
      <c r="H23" s="93">
        <f>SUM(C23:G23)</f>
        <v>17568823</v>
      </c>
      <c r="I23" s="46"/>
    </row>
    <row r="24" spans="1:11" ht="9.75" customHeight="1" x14ac:dyDescent="0.25">
      <c r="A24" s="9"/>
      <c r="B24" s="30"/>
      <c r="C24" s="11"/>
      <c r="D24" s="5"/>
      <c r="E24" s="28"/>
      <c r="F24" s="28"/>
      <c r="G24" s="5"/>
      <c r="H24" s="8"/>
      <c r="I24" s="3"/>
    </row>
    <row r="25" spans="1:11" x14ac:dyDescent="0.25">
      <c r="A25" s="9" t="s">
        <v>118</v>
      </c>
      <c r="B25" s="30" t="s">
        <v>65</v>
      </c>
      <c r="C25" s="195">
        <f t="shared" ref="C25:D25" si="0">C23*C21</f>
        <v>78651.726999999999</v>
      </c>
      <c r="D25" s="196">
        <f t="shared" si="0"/>
        <v>40579.527999999998</v>
      </c>
      <c r="E25" s="197">
        <f>E23*E21</f>
        <v>941617.18199999991</v>
      </c>
      <c r="F25" s="197">
        <f t="shared" ref="F25:G25" si="1">F23*F21</f>
        <v>385341.26400000002</v>
      </c>
      <c r="G25" s="196">
        <f t="shared" si="1"/>
        <v>490933.44</v>
      </c>
      <c r="H25" s="94">
        <f t="shared" ref="H25:H30" si="2">SUM(C25:G25)</f>
        <v>1937123.1409999998</v>
      </c>
      <c r="I25" s="47"/>
    </row>
    <row r="26" spans="1:11" x14ac:dyDescent="0.25">
      <c r="A26" s="9" t="s">
        <v>119</v>
      </c>
      <c r="B26" s="30" t="s">
        <v>66</v>
      </c>
      <c r="C26" s="195">
        <f t="shared" ref="C26:D26" si="3">C23*$C$16</f>
        <v>22618.022219099999</v>
      </c>
      <c r="D26" s="196">
        <f t="shared" si="3"/>
        <v>9933.5666232000003</v>
      </c>
      <c r="E26" s="197">
        <f>E23*$C$16</f>
        <v>320581.68700139999</v>
      </c>
      <c r="F26" s="197">
        <f t="shared" ref="F26:G26" si="4">F23*$C$16</f>
        <v>86467.952314800001</v>
      </c>
      <c r="G26" s="196">
        <f t="shared" si="4"/>
        <v>80785.552219200006</v>
      </c>
      <c r="H26" s="94">
        <f t="shared" si="2"/>
        <v>520386.78037769999</v>
      </c>
      <c r="I26" s="47"/>
    </row>
    <row r="27" spans="1:11" ht="15.75" thickBot="1" x14ac:dyDescent="0.3">
      <c r="A27" s="10" t="s">
        <v>120</v>
      </c>
      <c r="B27" s="32" t="s">
        <v>67</v>
      </c>
      <c r="C27" s="198">
        <f>C23*$C$18</f>
        <v>74398.424870000003</v>
      </c>
      <c r="D27" s="199">
        <f t="shared" ref="D27:G27" si="5">D23*$C$18</f>
        <v>32674.90424</v>
      </c>
      <c r="E27" s="200">
        <f t="shared" si="5"/>
        <v>1054503.01198</v>
      </c>
      <c r="F27" s="200">
        <f t="shared" si="5"/>
        <v>284422.72236000001</v>
      </c>
      <c r="G27" s="199">
        <f t="shared" si="5"/>
        <v>265731.36144000001</v>
      </c>
      <c r="H27" s="95">
        <f t="shared" si="2"/>
        <v>1711730.4248899999</v>
      </c>
      <c r="I27" s="47"/>
      <c r="J27" s="152"/>
    </row>
    <row r="28" spans="1:11" x14ac:dyDescent="0.25">
      <c r="A28" s="18" t="s">
        <v>121</v>
      </c>
      <c r="B28" s="31" t="s">
        <v>68</v>
      </c>
      <c r="C28" s="129">
        <f>72777-85599</f>
        <v>-12822</v>
      </c>
      <c r="D28" s="130">
        <f>31963-37594</f>
        <v>-5631</v>
      </c>
      <c r="E28" s="131">
        <f>1031521-1213250-1</f>
        <v>-181730</v>
      </c>
      <c r="F28" s="131">
        <f>278224-327240</f>
        <v>-49016</v>
      </c>
      <c r="G28" s="130">
        <f>259940-305735</f>
        <v>-45795</v>
      </c>
      <c r="H28" s="98">
        <f t="shared" si="2"/>
        <v>-294994</v>
      </c>
      <c r="I28" s="48"/>
      <c r="J28" s="50"/>
      <c r="K28" s="50"/>
    </row>
    <row r="29" spans="1:11" x14ac:dyDescent="0.25">
      <c r="A29" s="66" t="s">
        <v>122</v>
      </c>
      <c r="B29" s="67" t="s">
        <v>69</v>
      </c>
      <c r="C29" s="68">
        <f>IF(C28&gt;0,C28,0)</f>
        <v>0</v>
      </c>
      <c r="D29" s="69">
        <f t="shared" ref="D29:G29" si="6">IF(D28&gt;0,D28,0)</f>
        <v>0</v>
      </c>
      <c r="E29" s="70">
        <f t="shared" si="6"/>
        <v>0</v>
      </c>
      <c r="F29" s="70">
        <f t="shared" si="6"/>
        <v>0</v>
      </c>
      <c r="G29" s="69">
        <f t="shared" si="6"/>
        <v>0</v>
      </c>
      <c r="H29" s="96">
        <f t="shared" si="2"/>
        <v>0</v>
      </c>
      <c r="I29" s="49"/>
      <c r="J29" s="50"/>
      <c r="K29" s="50"/>
    </row>
    <row r="30" spans="1:11" ht="15.75" thickBot="1" x14ac:dyDescent="0.3">
      <c r="A30" s="71" t="s">
        <v>123</v>
      </c>
      <c r="B30" s="72" t="s">
        <v>70</v>
      </c>
      <c r="C30" s="73">
        <f>IF(C28&lt;0,C28*-1,0)</f>
        <v>12822</v>
      </c>
      <c r="D30" s="74">
        <f t="shared" ref="D30:G30" si="7">IF(D28&lt;0,D28*-1,0)</f>
        <v>5631</v>
      </c>
      <c r="E30" s="75">
        <f t="shared" si="7"/>
        <v>181730</v>
      </c>
      <c r="F30" s="75">
        <f t="shared" si="7"/>
        <v>49016</v>
      </c>
      <c r="G30" s="74">
        <f t="shared" si="7"/>
        <v>45795</v>
      </c>
      <c r="H30" s="97">
        <f t="shared" si="2"/>
        <v>294994</v>
      </c>
      <c r="I30" s="49"/>
      <c r="J30" s="50"/>
      <c r="K30" s="50"/>
    </row>
    <row r="31" spans="1:11" x14ac:dyDescent="0.25">
      <c r="B31" s="17"/>
      <c r="C31" s="19"/>
      <c r="D31" s="19"/>
      <c r="E31" s="19"/>
      <c r="F31" s="19"/>
      <c r="G31" s="19"/>
      <c r="I31" s="50"/>
      <c r="J31" s="50"/>
      <c r="K31" s="50"/>
    </row>
    <row r="32" spans="1:11" x14ac:dyDescent="0.25">
      <c r="B32" s="17"/>
      <c r="C32" s="19"/>
      <c r="D32" s="19"/>
      <c r="E32" s="19"/>
      <c r="F32" s="19"/>
      <c r="G32" s="19"/>
      <c r="H32" s="19"/>
      <c r="I32" s="50"/>
      <c r="J32" s="50"/>
      <c r="K32" s="50"/>
    </row>
    <row r="33" spans="1:12" x14ac:dyDescent="0.25">
      <c r="A33" s="65" t="s">
        <v>41</v>
      </c>
      <c r="B33" s="63"/>
      <c r="C33" s="64"/>
      <c r="D33" s="64"/>
      <c r="E33" s="64"/>
      <c r="F33" s="64"/>
      <c r="G33" s="64"/>
      <c r="H33" s="64"/>
      <c r="I33" s="64"/>
      <c r="J33" s="50"/>
      <c r="K33" s="50"/>
    </row>
    <row r="34" spans="1:12" x14ac:dyDescent="0.25">
      <c r="A34" s="2" t="s">
        <v>10</v>
      </c>
      <c r="B34" s="2"/>
      <c r="E34" s="4"/>
      <c r="F34" s="122"/>
    </row>
    <row r="35" spans="1:12" ht="15.75" thickBot="1" x14ac:dyDescent="0.3">
      <c r="B35" s="17"/>
      <c r="C35" s="19"/>
      <c r="D35" s="19"/>
      <c r="E35" s="19"/>
      <c r="F35" s="19"/>
      <c r="G35" s="19"/>
      <c r="H35" s="19"/>
      <c r="I35" s="50"/>
      <c r="J35" s="50"/>
      <c r="K35" s="50"/>
    </row>
    <row r="36" spans="1:12" ht="30.75" thickBot="1" x14ac:dyDescent="0.3">
      <c r="A36" s="13"/>
      <c r="B36" s="13"/>
      <c r="C36" s="15" t="s">
        <v>17</v>
      </c>
      <c r="D36" s="16" t="s">
        <v>18</v>
      </c>
      <c r="E36" s="4"/>
      <c r="G36" s="215" t="s">
        <v>138</v>
      </c>
      <c r="J36" s="42"/>
    </row>
    <row r="37" spans="1:12" x14ac:dyDescent="0.25">
      <c r="A37" s="7" t="s">
        <v>14</v>
      </c>
      <c r="B37" s="52" t="s">
        <v>27</v>
      </c>
      <c r="C37" s="54">
        <v>39353160</v>
      </c>
      <c r="D37" s="14">
        <f>C37/C37</f>
        <v>1</v>
      </c>
    </row>
    <row r="38" spans="1:12" ht="17.25" x14ac:dyDescent="0.25">
      <c r="A38" s="8" t="s">
        <v>124</v>
      </c>
      <c r="B38" s="53" t="s">
        <v>28</v>
      </c>
      <c r="C38" s="55">
        <f>G38*D38</f>
        <v>873670.56099999999</v>
      </c>
      <c r="D38" s="169">
        <v>0.71899999999999997</v>
      </c>
      <c r="F38" s="101">
        <f>G38/G43</f>
        <v>6.2175096579425382E-2</v>
      </c>
      <c r="G38" s="103">
        <v>1215119</v>
      </c>
    </row>
    <row r="39" spans="1:12" ht="17.25" x14ac:dyDescent="0.25">
      <c r="A39" s="8" t="s">
        <v>125</v>
      </c>
      <c r="B39" s="53" t="s">
        <v>29</v>
      </c>
      <c r="C39" s="55">
        <f>G38*D39</f>
        <v>341448.43900000001</v>
      </c>
      <c r="D39" s="169">
        <v>0.28100000000000003</v>
      </c>
      <c r="F39" s="101"/>
    </row>
    <row r="40" spans="1:12" ht="17.25" x14ac:dyDescent="0.25">
      <c r="A40" s="8" t="s">
        <v>126</v>
      </c>
      <c r="B40" s="53" t="s">
        <v>30</v>
      </c>
      <c r="C40" s="55">
        <f>G40*D40</f>
        <v>11803477.364</v>
      </c>
      <c r="D40" s="169">
        <v>0.64400000000000002</v>
      </c>
      <c r="F40" s="101">
        <f>G40/G43</f>
        <v>0.93782490342057456</v>
      </c>
      <c r="G40" s="103">
        <v>18328381</v>
      </c>
    </row>
    <row r="41" spans="1:12" ht="17.25" x14ac:dyDescent="0.25">
      <c r="A41" s="8" t="s">
        <v>127</v>
      </c>
      <c r="B41" s="53" t="s">
        <v>31</v>
      </c>
      <c r="C41" s="55">
        <f>G40*D41</f>
        <v>3123156.1223999998</v>
      </c>
      <c r="D41" s="169">
        <v>0.1704</v>
      </c>
      <c r="F41" s="101"/>
    </row>
    <row r="42" spans="1:12" ht="17.25" x14ac:dyDescent="0.25">
      <c r="A42" s="8" t="s">
        <v>128</v>
      </c>
      <c r="B42" s="53" t="s">
        <v>32</v>
      </c>
      <c r="C42" s="56">
        <f>G40*D42</f>
        <v>3401747.5135999997</v>
      </c>
      <c r="D42" s="170">
        <v>0.18559999999999999</v>
      </c>
      <c r="F42" s="101"/>
    </row>
    <row r="43" spans="1:12" x14ac:dyDescent="0.25">
      <c r="A43" s="18" t="s">
        <v>129</v>
      </c>
      <c r="B43" s="31" t="s">
        <v>33</v>
      </c>
      <c r="C43" s="57">
        <f>SUM(C38:C42)</f>
        <v>19543500</v>
      </c>
      <c r="D43" s="12">
        <f>C43/C37</f>
        <v>0.49661831476811519</v>
      </c>
      <c r="F43" s="101">
        <f>C43/G43</f>
        <v>1</v>
      </c>
      <c r="G43" s="103">
        <v>19543500</v>
      </c>
      <c r="H43" s="104">
        <f>F38+F40-F43</f>
        <v>0</v>
      </c>
    </row>
    <row r="44" spans="1:12" x14ac:dyDescent="0.25">
      <c r="A44" s="9" t="s">
        <v>2</v>
      </c>
      <c r="B44" s="30" t="s">
        <v>34</v>
      </c>
      <c r="C44" s="58">
        <f>D45/C45</f>
        <v>2.6820374364442002E-2</v>
      </c>
      <c r="D44" s="5"/>
    </row>
    <row r="45" spans="1:12" ht="17.25" x14ac:dyDescent="0.25">
      <c r="A45" s="9" t="s">
        <v>87</v>
      </c>
      <c r="B45" s="30" t="s">
        <v>35</v>
      </c>
      <c r="C45" s="55">
        <v>39695584.615384616</v>
      </c>
      <c r="D45" s="51">
        <v>1064650.44</v>
      </c>
      <c r="L45" s="42"/>
    </row>
    <row r="46" spans="1:12" ht="17.25" x14ac:dyDescent="0.25">
      <c r="A46" s="9" t="s">
        <v>38</v>
      </c>
      <c r="B46" s="30" t="s">
        <v>36</v>
      </c>
      <c r="C46" s="59">
        <v>111.09</v>
      </c>
      <c r="D46" s="5"/>
      <c r="I46" s="4"/>
      <c r="J46" s="42"/>
    </row>
    <row r="47" spans="1:12" ht="15.75" thickBot="1" x14ac:dyDescent="0.3">
      <c r="A47" s="10" t="s">
        <v>39</v>
      </c>
      <c r="B47" s="32" t="s">
        <v>37</v>
      </c>
      <c r="C47" s="60">
        <f>C46/1000</f>
        <v>0.11109000000000001</v>
      </c>
      <c r="D47" s="6"/>
      <c r="H47" s="4"/>
      <c r="I47" s="4"/>
    </row>
    <row r="48" spans="1:12" ht="15.75" thickBot="1" x14ac:dyDescent="0.3">
      <c r="B48" s="17"/>
      <c r="H48" s="4"/>
      <c r="I48" s="4"/>
    </row>
    <row r="49" spans="1:11" ht="15.75" thickBot="1" x14ac:dyDescent="0.3">
      <c r="A49" s="23" t="s">
        <v>137</v>
      </c>
      <c r="B49" s="15"/>
      <c r="C49" s="24" t="s">
        <v>19</v>
      </c>
      <c r="D49" s="16" t="s">
        <v>20</v>
      </c>
      <c r="E49" s="25" t="s">
        <v>4</v>
      </c>
      <c r="F49" s="25" t="s">
        <v>5</v>
      </c>
      <c r="G49" s="16" t="s">
        <v>6</v>
      </c>
      <c r="H49" s="90" t="s">
        <v>71</v>
      </c>
      <c r="I49" s="43"/>
    </row>
    <row r="50" spans="1:11" x14ac:dyDescent="0.25">
      <c r="A50" s="9" t="s">
        <v>21</v>
      </c>
      <c r="B50" s="30" t="s">
        <v>43</v>
      </c>
      <c r="C50" s="118">
        <f>C21</f>
        <v>0.10299999999999999</v>
      </c>
      <c r="D50" s="119">
        <f t="shared" ref="D50:G50" si="8">D21</f>
        <v>0.121</v>
      </c>
      <c r="E50" s="120">
        <f t="shared" si="8"/>
        <v>8.6999999999999994E-2</v>
      </c>
      <c r="F50" s="120">
        <f t="shared" si="8"/>
        <v>0.13200000000000001</v>
      </c>
      <c r="G50" s="119">
        <f t="shared" si="8"/>
        <v>0.18</v>
      </c>
      <c r="H50" s="91"/>
      <c r="I50" s="44"/>
    </row>
    <row r="51" spans="1:11" x14ac:dyDescent="0.25">
      <c r="A51" s="8" t="s">
        <v>22</v>
      </c>
      <c r="B51" s="53" t="s">
        <v>44</v>
      </c>
      <c r="C51" s="193"/>
      <c r="D51" s="192"/>
      <c r="E51" s="194"/>
      <c r="F51" s="194"/>
      <c r="G51" s="190"/>
      <c r="H51" s="92"/>
      <c r="I51" s="45"/>
    </row>
    <row r="52" spans="1:11" x14ac:dyDescent="0.25">
      <c r="A52" s="9" t="s">
        <v>130</v>
      </c>
      <c r="B52" s="30" t="s">
        <v>45</v>
      </c>
      <c r="C52" s="34">
        <f>C38</f>
        <v>873670.56099999999</v>
      </c>
      <c r="D52" s="21">
        <f>C39</f>
        <v>341448.43900000001</v>
      </c>
      <c r="E52" s="27">
        <f>C40</f>
        <v>11803477.364</v>
      </c>
      <c r="F52" s="27">
        <f>C41</f>
        <v>3123156.1223999998</v>
      </c>
      <c r="G52" s="21">
        <f>C42</f>
        <v>3401747.5135999997</v>
      </c>
      <c r="H52" s="93">
        <f>SUM(C52:G52)</f>
        <v>19543500</v>
      </c>
      <c r="I52" s="46"/>
    </row>
    <row r="53" spans="1:11" x14ac:dyDescent="0.25">
      <c r="A53" s="9"/>
      <c r="B53" s="30"/>
      <c r="C53" s="11"/>
      <c r="D53" s="5"/>
      <c r="E53" s="28"/>
      <c r="F53" s="28"/>
      <c r="G53" s="5"/>
      <c r="H53" s="8"/>
      <c r="I53" s="3"/>
    </row>
    <row r="54" spans="1:11" x14ac:dyDescent="0.25">
      <c r="A54" s="9" t="s">
        <v>131</v>
      </c>
      <c r="B54" s="30" t="s">
        <v>46</v>
      </c>
      <c r="C54" s="35">
        <f>C52*C50</f>
        <v>89988.067782999991</v>
      </c>
      <c r="D54" s="22">
        <f t="shared" ref="D54" si="9">D52*D50</f>
        <v>41315.261119000003</v>
      </c>
      <c r="E54" s="29">
        <f>E52*E50</f>
        <v>1026902.530668</v>
      </c>
      <c r="F54" s="29">
        <f t="shared" ref="F54:G54" si="10">F52*F50</f>
        <v>412256.60815679998</v>
      </c>
      <c r="G54" s="22">
        <f t="shared" si="10"/>
        <v>612314.55244799994</v>
      </c>
      <c r="H54" s="94">
        <f t="shared" ref="H54:H59" si="11">SUM(C54:G54)</f>
        <v>2182777.0201748</v>
      </c>
      <c r="I54" s="47"/>
    </row>
    <row r="55" spans="1:11" x14ac:dyDescent="0.25">
      <c r="A55" s="9" t="s">
        <v>132</v>
      </c>
      <c r="B55" s="30" t="s">
        <v>47</v>
      </c>
      <c r="C55" s="35">
        <f>C52*$C$44</f>
        <v>23432.17151721206</v>
      </c>
      <c r="D55" s="22">
        <f t="shared" ref="D55:G55" si="12">D52*$C$44</f>
        <v>9157.7749601343385</v>
      </c>
      <c r="E55" s="29">
        <f t="shared" si="12"/>
        <v>316573.68170469708</v>
      </c>
      <c r="F55" s="29">
        <f t="shared" si="12"/>
        <v>83764.216401367041</v>
      </c>
      <c r="G55" s="22">
        <f t="shared" si="12"/>
        <v>91236.141808061759</v>
      </c>
      <c r="H55" s="94">
        <f t="shared" si="11"/>
        <v>524163.98639147228</v>
      </c>
      <c r="I55" s="47"/>
    </row>
    <row r="56" spans="1:11" ht="15.75" thickBot="1" x14ac:dyDescent="0.3">
      <c r="A56" s="10" t="s">
        <v>133</v>
      </c>
      <c r="B56" s="32" t="s">
        <v>48</v>
      </c>
      <c r="C56" s="39">
        <f>C52*$C$47</f>
        <v>97056.062621490011</v>
      </c>
      <c r="D56" s="40">
        <f t="shared" ref="D56:G56" si="13">D52*$C$47</f>
        <v>37931.507088510007</v>
      </c>
      <c r="E56" s="41">
        <f t="shared" si="13"/>
        <v>1311248.30036676</v>
      </c>
      <c r="F56" s="41">
        <f t="shared" si="13"/>
        <v>346951.41363741597</v>
      </c>
      <c r="G56" s="40">
        <f t="shared" si="13"/>
        <v>377900.131285824</v>
      </c>
      <c r="H56" s="95">
        <f t="shared" si="11"/>
        <v>2171087.415</v>
      </c>
      <c r="I56" s="47"/>
    </row>
    <row r="57" spans="1:11" x14ac:dyDescent="0.25">
      <c r="A57" s="18" t="s">
        <v>25</v>
      </c>
      <c r="B57" s="31" t="s">
        <v>49</v>
      </c>
      <c r="C57" s="36">
        <f>C54-C55-C56</f>
        <v>-30500.16635570208</v>
      </c>
      <c r="D57" s="37">
        <f t="shared" ref="D57:G57" si="14">D54-D55-D56</f>
        <v>-5774.0209296443427</v>
      </c>
      <c r="E57" s="38">
        <f t="shared" si="14"/>
        <v>-600919.45140345709</v>
      </c>
      <c r="F57" s="38">
        <f t="shared" si="14"/>
        <v>-18459.021881983033</v>
      </c>
      <c r="G57" s="37">
        <f t="shared" si="14"/>
        <v>143178.2793541142</v>
      </c>
      <c r="H57" s="98">
        <f t="shared" si="11"/>
        <v>-512474.38121667237</v>
      </c>
      <c r="I57" s="48"/>
    </row>
    <row r="58" spans="1:11" x14ac:dyDescent="0.25">
      <c r="A58" s="76" t="s">
        <v>23</v>
      </c>
      <c r="B58" s="77" t="s">
        <v>50</v>
      </c>
      <c r="C58" s="78">
        <f>IF(C57&gt;0,C57,0)</f>
        <v>0</v>
      </c>
      <c r="D58" s="79">
        <f t="shared" ref="D58:G58" si="15">IF(D57&gt;0,D57,0)</f>
        <v>0</v>
      </c>
      <c r="E58" s="80">
        <f t="shared" si="15"/>
        <v>0</v>
      </c>
      <c r="F58" s="80">
        <f t="shared" si="15"/>
        <v>0</v>
      </c>
      <c r="G58" s="79">
        <f t="shared" si="15"/>
        <v>143178.2793541142</v>
      </c>
      <c r="H58" s="96">
        <f t="shared" si="11"/>
        <v>143178.2793541142</v>
      </c>
      <c r="I58" s="49"/>
      <c r="J58" s="50"/>
      <c r="K58" s="50"/>
    </row>
    <row r="59" spans="1:11" ht="15.75" thickBot="1" x14ac:dyDescent="0.3">
      <c r="A59" s="81" t="s">
        <v>24</v>
      </c>
      <c r="B59" s="82" t="s">
        <v>51</v>
      </c>
      <c r="C59" s="83">
        <f>IF(C57&lt;0,C57*-1,0)</f>
        <v>30500.16635570208</v>
      </c>
      <c r="D59" s="84">
        <f t="shared" ref="D59:G59" si="16">IF(D57&lt;0,D57*-1,0)</f>
        <v>5774.0209296443427</v>
      </c>
      <c r="E59" s="85">
        <f t="shared" si="16"/>
        <v>600919.45140345709</v>
      </c>
      <c r="F59" s="85">
        <f t="shared" si="16"/>
        <v>18459.021881983033</v>
      </c>
      <c r="G59" s="84">
        <f t="shared" si="16"/>
        <v>0</v>
      </c>
      <c r="H59" s="97">
        <f t="shared" si="11"/>
        <v>655652.66057078657</v>
      </c>
      <c r="I59" s="49"/>
      <c r="J59" s="50"/>
      <c r="K59" s="50"/>
    </row>
    <row r="60" spans="1:11" x14ac:dyDescent="0.25">
      <c r="B60" s="17"/>
      <c r="C60" s="19"/>
      <c r="D60" s="19"/>
      <c r="E60" s="19"/>
      <c r="F60" s="19"/>
      <c r="G60" s="19"/>
      <c r="H60" s="50"/>
      <c r="I60" s="50"/>
      <c r="J60" s="50"/>
      <c r="K60" s="50"/>
    </row>
    <row r="61" spans="1:11" ht="15.75" thickBot="1" x14ac:dyDescent="0.3">
      <c r="A61" s="86" t="s">
        <v>42</v>
      </c>
      <c r="H61" s="4"/>
      <c r="I61" s="4"/>
    </row>
    <row r="62" spans="1:11" x14ac:dyDescent="0.25">
      <c r="A62" s="7" t="s">
        <v>134</v>
      </c>
      <c r="B62" s="52"/>
      <c r="C62" s="87">
        <f>C57-C28</f>
        <v>-17678.16635570208</v>
      </c>
      <c r="D62" s="88">
        <f t="shared" ref="D62:G62" si="17">D57-D28</f>
        <v>-143.02092964434269</v>
      </c>
      <c r="E62" s="89">
        <f t="shared" si="17"/>
        <v>-419189.45140345709</v>
      </c>
      <c r="F62" s="89">
        <f t="shared" si="17"/>
        <v>30556.978118016967</v>
      </c>
      <c r="G62" s="88">
        <f t="shared" si="17"/>
        <v>188973.2793541142</v>
      </c>
      <c r="H62" s="98">
        <f t="shared" ref="H62:H64" si="18">SUM(C62:G62)</f>
        <v>-217480.38121667237</v>
      </c>
      <c r="I62" s="48"/>
    </row>
    <row r="63" spans="1:11" x14ac:dyDescent="0.25">
      <c r="A63" s="76" t="s">
        <v>135</v>
      </c>
      <c r="B63" s="77" t="s">
        <v>72</v>
      </c>
      <c r="C63" s="78">
        <f>IF(C62&gt;0,C62,0)</f>
        <v>0</v>
      </c>
      <c r="D63" s="79">
        <f t="shared" ref="D63:G63" si="19">IF(D62&gt;0,D62,0)</f>
        <v>0</v>
      </c>
      <c r="E63" s="80">
        <f t="shared" si="19"/>
        <v>0</v>
      </c>
      <c r="F63" s="80">
        <f t="shared" si="19"/>
        <v>30556.978118016967</v>
      </c>
      <c r="G63" s="79">
        <f t="shared" si="19"/>
        <v>188973.2793541142</v>
      </c>
      <c r="H63" s="96">
        <f t="shared" si="18"/>
        <v>219530.25747213117</v>
      </c>
      <c r="I63" s="49"/>
      <c r="J63" s="50"/>
      <c r="K63" s="50"/>
    </row>
    <row r="64" spans="1:11" ht="15.75" thickBot="1" x14ac:dyDescent="0.3">
      <c r="A64" s="81" t="s">
        <v>136</v>
      </c>
      <c r="B64" s="82" t="s">
        <v>73</v>
      </c>
      <c r="C64" s="83">
        <f>IF(C62&lt;0,C62*-1,0)</f>
        <v>17678.16635570208</v>
      </c>
      <c r="D64" s="84">
        <f t="shared" ref="D64:G64" si="20">IF(D62&lt;0,D62*-1,0)</f>
        <v>143.02092964434269</v>
      </c>
      <c r="E64" s="85">
        <f t="shared" si="20"/>
        <v>419189.45140345709</v>
      </c>
      <c r="F64" s="85">
        <f t="shared" si="20"/>
        <v>0</v>
      </c>
      <c r="G64" s="84">
        <f t="shared" si="20"/>
        <v>0</v>
      </c>
      <c r="H64" s="97">
        <f t="shared" si="18"/>
        <v>437010.63868880353</v>
      </c>
      <c r="I64" s="49"/>
      <c r="J64" s="50"/>
      <c r="K64" s="50"/>
    </row>
  </sheetData>
  <sheetProtection password="CC7B" sheet="1" objects="1" scenarios="1"/>
  <pageMargins left="0.11811023622047245" right="0.11811023622047245" top="0.35433070866141736" bottom="0.35433070866141736" header="0.11811023622047245" footer="0.11811023622047245"/>
  <pageSetup scale="75" orientation="portrait" verticalDpi="0" r:id="rId1"/>
  <headerFooter>
    <oddFooter>&amp;L&amp;9&amp;Z&amp;F  &amp;A  &amp;D  &amp;T&amp;R&amp;P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3:L64"/>
  <sheetViews>
    <sheetView zoomScale="80" zoomScaleNormal="80" workbookViewId="0">
      <selection activeCell="K45" sqref="K44:K45"/>
    </sheetView>
  </sheetViews>
  <sheetFormatPr defaultRowHeight="15" x14ac:dyDescent="0.25"/>
  <cols>
    <col min="1" max="1" width="36" customWidth="1"/>
    <col min="2" max="2" width="11.140625" bestFit="1" customWidth="1"/>
    <col min="3" max="3" width="15.28515625" bestFit="1" customWidth="1"/>
    <col min="4" max="4" width="12.5703125" bestFit="1" customWidth="1"/>
    <col min="5" max="5" width="12.85546875" bestFit="1" customWidth="1"/>
    <col min="6" max="7" width="12.140625" bestFit="1" customWidth="1"/>
    <col min="8" max="8" width="13.28515625" bestFit="1" customWidth="1"/>
    <col min="9" max="9" width="5.28515625" customWidth="1"/>
    <col min="10" max="10" width="10.85546875" style="4" customWidth="1"/>
    <col min="11" max="16384" width="9.140625" style="4"/>
  </cols>
  <sheetData>
    <row r="3" spans="1:9" ht="5.25" customHeight="1" x14ac:dyDescent="0.25">
      <c r="A3" s="2"/>
      <c r="B3" s="2"/>
      <c r="E3" s="4"/>
    </row>
    <row r="4" spans="1:9" x14ac:dyDescent="0.25">
      <c r="A4" s="2"/>
      <c r="B4" s="2"/>
      <c r="E4" s="4"/>
    </row>
    <row r="5" spans="1:9" x14ac:dyDescent="0.25">
      <c r="A5" s="61" t="s">
        <v>40</v>
      </c>
      <c r="B5" s="61"/>
      <c r="C5" s="62"/>
      <c r="D5" s="62"/>
      <c r="E5" s="62"/>
      <c r="F5" s="62"/>
      <c r="G5" s="62"/>
      <c r="H5" s="62"/>
      <c r="I5" s="62"/>
    </row>
    <row r="6" spans="1:9" x14ac:dyDescent="0.25">
      <c r="A6" s="2" t="s">
        <v>10</v>
      </c>
      <c r="B6" s="2"/>
      <c r="E6" s="99" t="s">
        <v>85</v>
      </c>
      <c r="F6" s="99">
        <v>2016</v>
      </c>
    </row>
    <row r="7" spans="1:9" ht="15.75" thickBot="1" x14ac:dyDescent="0.3">
      <c r="A7" s="2"/>
      <c r="B7" s="2"/>
      <c r="E7" s="4"/>
    </row>
    <row r="8" spans="1:9" ht="15.75" thickBot="1" x14ac:dyDescent="0.3">
      <c r="A8" s="13"/>
      <c r="B8" s="13"/>
      <c r="C8" s="15" t="s">
        <v>17</v>
      </c>
      <c r="D8" s="16" t="s">
        <v>18</v>
      </c>
      <c r="E8" s="4"/>
    </row>
    <row r="9" spans="1:9" x14ac:dyDescent="0.25">
      <c r="A9" s="7" t="s">
        <v>14</v>
      </c>
      <c r="B9" s="52" t="s">
        <v>52</v>
      </c>
      <c r="C9" s="188"/>
      <c r="D9" s="189"/>
    </row>
    <row r="10" spans="1:9" ht="17.25" x14ac:dyDescent="0.25">
      <c r="A10" s="8" t="s">
        <v>12</v>
      </c>
      <c r="B10" s="53" t="s">
        <v>53</v>
      </c>
      <c r="C10" s="55">
        <v>904065</v>
      </c>
      <c r="D10" s="190"/>
      <c r="E10" s="101"/>
      <c r="G10" s="101"/>
    </row>
    <row r="11" spans="1:9" ht="17.25" x14ac:dyDescent="0.25">
      <c r="A11" s="8" t="s">
        <v>13</v>
      </c>
      <c r="B11" s="53" t="s">
        <v>54</v>
      </c>
      <c r="C11" s="55">
        <v>240682</v>
      </c>
      <c r="D11" s="190"/>
      <c r="E11" s="101"/>
      <c r="F11" s="104"/>
      <c r="G11" s="101"/>
    </row>
    <row r="12" spans="1:9" ht="17.25" x14ac:dyDescent="0.25">
      <c r="A12" s="8" t="s">
        <v>11</v>
      </c>
      <c r="B12" s="53" t="s">
        <v>55</v>
      </c>
      <c r="C12" s="55">
        <v>9862732</v>
      </c>
      <c r="D12" s="190"/>
      <c r="G12" s="101"/>
    </row>
    <row r="13" spans="1:9" ht="17.25" x14ac:dyDescent="0.25">
      <c r="A13" s="8" t="s">
        <v>15</v>
      </c>
      <c r="B13" s="53" t="s">
        <v>56</v>
      </c>
      <c r="C13" s="55">
        <v>2620905</v>
      </c>
      <c r="D13" s="190"/>
      <c r="G13" s="101"/>
    </row>
    <row r="14" spans="1:9" ht="17.25" x14ac:dyDescent="0.25">
      <c r="A14" s="8" t="s">
        <v>16</v>
      </c>
      <c r="B14" s="53" t="s">
        <v>57</v>
      </c>
      <c r="C14" s="56">
        <v>2958757</v>
      </c>
      <c r="D14" s="191"/>
      <c r="F14" s="104"/>
      <c r="G14" s="101"/>
    </row>
    <row r="15" spans="1:9" x14ac:dyDescent="0.25">
      <c r="A15" s="18" t="s">
        <v>116</v>
      </c>
      <c r="B15" s="31" t="s">
        <v>58</v>
      </c>
      <c r="C15" s="57">
        <f>SUM(C10:C14)</f>
        <v>16587141</v>
      </c>
      <c r="D15" s="191"/>
    </row>
    <row r="16" spans="1:9" x14ac:dyDescent="0.25">
      <c r="A16" s="9" t="s">
        <v>101</v>
      </c>
      <c r="B16" s="30" t="s">
        <v>59</v>
      </c>
      <c r="C16" s="201">
        <v>1.6795000000000001E-2</v>
      </c>
      <c r="D16" s="5"/>
    </row>
    <row r="17" spans="1:11" ht="17.25" x14ac:dyDescent="0.25">
      <c r="A17" s="9" t="s">
        <v>99</v>
      </c>
      <c r="B17" s="30" t="s">
        <v>60</v>
      </c>
      <c r="C17" s="186"/>
      <c r="D17" s="5"/>
      <c r="I17" s="4"/>
      <c r="J17" s="42"/>
    </row>
    <row r="18" spans="1:11" ht="15.75" thickBot="1" x14ac:dyDescent="0.3">
      <c r="A18" s="10" t="s">
        <v>100</v>
      </c>
      <c r="B18" s="32" t="s">
        <v>61</v>
      </c>
      <c r="C18" s="202">
        <v>0.11869</v>
      </c>
      <c r="D18" s="6"/>
      <c r="I18" s="4"/>
    </row>
    <row r="19" spans="1:11" ht="8.25" customHeight="1" thickBot="1" x14ac:dyDescent="0.3">
      <c r="B19" s="17"/>
      <c r="I19" s="4"/>
    </row>
    <row r="20" spans="1:11" ht="15.75" thickBot="1" x14ac:dyDescent="0.3">
      <c r="A20" s="23" t="s">
        <v>3</v>
      </c>
      <c r="B20" s="15"/>
      <c r="C20" s="24" t="s">
        <v>19</v>
      </c>
      <c r="D20" s="16" t="s">
        <v>20</v>
      </c>
      <c r="E20" s="25" t="s">
        <v>4</v>
      </c>
      <c r="F20" s="25" t="s">
        <v>5</v>
      </c>
      <c r="G20" s="16" t="s">
        <v>6</v>
      </c>
      <c r="H20" s="90" t="s">
        <v>71</v>
      </c>
      <c r="I20" s="43"/>
    </row>
    <row r="21" spans="1:11" x14ac:dyDescent="0.25">
      <c r="A21" s="9" t="s">
        <v>21</v>
      </c>
      <c r="B21" s="30" t="s">
        <v>62</v>
      </c>
      <c r="C21" s="33">
        <v>0.10299999999999999</v>
      </c>
      <c r="D21" s="20">
        <v>0.121</v>
      </c>
      <c r="E21" s="26">
        <v>8.6999999999999994E-2</v>
      </c>
      <c r="F21" s="26">
        <v>0.13200000000000001</v>
      </c>
      <c r="G21" s="20">
        <v>0.18</v>
      </c>
      <c r="H21" s="91"/>
      <c r="I21" s="44"/>
    </row>
    <row r="22" spans="1:11" x14ac:dyDescent="0.25">
      <c r="A22" s="8" t="s">
        <v>22</v>
      </c>
      <c r="B22" s="53" t="s">
        <v>63</v>
      </c>
      <c r="C22" s="193"/>
      <c r="D22" s="192"/>
      <c r="E22" s="194"/>
      <c r="F22" s="194"/>
      <c r="G22" s="190"/>
      <c r="H22" s="92"/>
      <c r="I22" s="45"/>
    </row>
    <row r="23" spans="1:11" x14ac:dyDescent="0.25">
      <c r="A23" s="9" t="s">
        <v>117</v>
      </c>
      <c r="B23" s="30" t="s">
        <v>64</v>
      </c>
      <c r="C23" s="34">
        <f>C10</f>
        <v>904065</v>
      </c>
      <c r="D23" s="21">
        <f>C11</f>
        <v>240682</v>
      </c>
      <c r="E23" s="27">
        <f>C12</f>
        <v>9862732</v>
      </c>
      <c r="F23" s="27">
        <f>C13</f>
        <v>2620905</v>
      </c>
      <c r="G23" s="21">
        <f>C14</f>
        <v>2958757</v>
      </c>
      <c r="H23" s="93">
        <f>SUM(C23:G23)</f>
        <v>16587141</v>
      </c>
      <c r="I23" s="46"/>
    </row>
    <row r="24" spans="1:11" ht="9.75" customHeight="1" x14ac:dyDescent="0.25">
      <c r="A24" s="9"/>
      <c r="B24" s="30"/>
      <c r="C24" s="11"/>
      <c r="D24" s="5"/>
      <c r="E24" s="28"/>
      <c r="F24" s="28"/>
      <c r="G24" s="5"/>
      <c r="H24" s="8"/>
      <c r="I24" s="3"/>
    </row>
    <row r="25" spans="1:11" x14ac:dyDescent="0.25">
      <c r="A25" s="9" t="s">
        <v>118</v>
      </c>
      <c r="B25" s="30" t="s">
        <v>65</v>
      </c>
      <c r="C25" s="195">
        <f t="shared" ref="C25:D25" si="0">C23*C21</f>
        <v>93118.694999999992</v>
      </c>
      <c r="D25" s="196">
        <f t="shared" si="0"/>
        <v>29122.522000000001</v>
      </c>
      <c r="E25" s="197">
        <f>E23*E21</f>
        <v>858057.68399999989</v>
      </c>
      <c r="F25" s="197">
        <f t="shared" ref="F25:G25" si="1">F23*F21</f>
        <v>345959.46</v>
      </c>
      <c r="G25" s="196">
        <f t="shared" si="1"/>
        <v>532576.26</v>
      </c>
      <c r="H25" s="94">
        <f t="shared" ref="H25:H30" si="2">SUM(C25:G25)</f>
        <v>1858834.6209999998</v>
      </c>
      <c r="I25" s="47"/>
    </row>
    <row r="26" spans="1:11" x14ac:dyDescent="0.25">
      <c r="A26" s="9" t="s">
        <v>119</v>
      </c>
      <c r="B26" s="30" t="s">
        <v>66</v>
      </c>
      <c r="C26" s="195">
        <f t="shared" ref="C26:D26" si="3">C23*$C$16</f>
        <v>15183.771675</v>
      </c>
      <c r="D26" s="196">
        <f t="shared" si="3"/>
        <v>4042.2541900000001</v>
      </c>
      <c r="E26" s="197">
        <f>E23*$C$16</f>
        <v>165644.58394000001</v>
      </c>
      <c r="F26" s="197">
        <f t="shared" ref="F26:G26" si="4">F23*$C$16</f>
        <v>44018.099475000003</v>
      </c>
      <c r="G26" s="196">
        <f t="shared" si="4"/>
        <v>49692.323815000003</v>
      </c>
      <c r="H26" s="94">
        <f t="shared" si="2"/>
        <v>278581.03309500002</v>
      </c>
      <c r="I26" s="47"/>
    </row>
    <row r="27" spans="1:11" ht="15.75" thickBot="1" x14ac:dyDescent="0.3">
      <c r="A27" s="10" t="s">
        <v>120</v>
      </c>
      <c r="B27" s="32" t="s">
        <v>67</v>
      </c>
      <c r="C27" s="198">
        <f>C23*$C$18</f>
        <v>107303.47485</v>
      </c>
      <c r="D27" s="199">
        <f t="shared" ref="D27:G27" si="5">D23*$C$18</f>
        <v>28566.546580000002</v>
      </c>
      <c r="E27" s="200">
        <f t="shared" si="5"/>
        <v>1170607.66108</v>
      </c>
      <c r="F27" s="200">
        <f t="shared" si="5"/>
        <v>311075.21445000003</v>
      </c>
      <c r="G27" s="199">
        <f t="shared" si="5"/>
        <v>351174.86833000003</v>
      </c>
      <c r="H27" s="95">
        <f t="shared" si="2"/>
        <v>1968727.76529</v>
      </c>
      <c r="I27" s="47"/>
      <c r="J27" s="152"/>
    </row>
    <row r="28" spans="1:11" x14ac:dyDescent="0.25">
      <c r="A28" s="18" t="s">
        <v>121</v>
      </c>
      <c r="B28" s="31" t="s">
        <v>68</v>
      </c>
      <c r="C28" s="129">
        <f>86148-107321</f>
        <v>-21173</v>
      </c>
      <c r="D28" s="130">
        <f>22934-28571</f>
        <v>-5637</v>
      </c>
      <c r="E28" s="131">
        <f>939815-1170802</f>
        <v>-230987</v>
      </c>
      <c r="F28" s="131">
        <f>249745-311127</f>
        <v>-61382</v>
      </c>
      <c r="G28" s="130">
        <f>281939-351233</f>
        <v>-69294</v>
      </c>
      <c r="H28" s="98">
        <f t="shared" si="2"/>
        <v>-388473</v>
      </c>
      <c r="I28" s="48"/>
      <c r="J28" s="50"/>
    </row>
    <row r="29" spans="1:11" x14ac:dyDescent="0.25">
      <c r="A29" s="66" t="s">
        <v>122</v>
      </c>
      <c r="B29" s="67" t="s">
        <v>69</v>
      </c>
      <c r="C29" s="68">
        <f>IF(C28&gt;0,C28,0)</f>
        <v>0</v>
      </c>
      <c r="D29" s="69">
        <f t="shared" ref="D29:G29" si="6">IF(D28&gt;0,D28,0)</f>
        <v>0</v>
      </c>
      <c r="E29" s="70">
        <f t="shared" si="6"/>
        <v>0</v>
      </c>
      <c r="F29" s="70">
        <f t="shared" si="6"/>
        <v>0</v>
      </c>
      <c r="G29" s="69">
        <f t="shared" si="6"/>
        <v>0</v>
      </c>
      <c r="H29" s="96">
        <f t="shared" si="2"/>
        <v>0</v>
      </c>
      <c r="I29" s="49"/>
      <c r="J29" s="50"/>
      <c r="K29" s="50"/>
    </row>
    <row r="30" spans="1:11" ht="15.75" thickBot="1" x14ac:dyDescent="0.3">
      <c r="A30" s="71" t="s">
        <v>123</v>
      </c>
      <c r="B30" s="72" t="s">
        <v>70</v>
      </c>
      <c r="C30" s="73">
        <f>IF(C28&lt;0,C28*-1,0)</f>
        <v>21173</v>
      </c>
      <c r="D30" s="74">
        <f t="shared" ref="D30:G30" si="7">IF(D28&lt;0,D28*-1,0)</f>
        <v>5637</v>
      </c>
      <c r="E30" s="75">
        <f t="shared" si="7"/>
        <v>230987</v>
      </c>
      <c r="F30" s="75">
        <f t="shared" si="7"/>
        <v>61382</v>
      </c>
      <c r="G30" s="74">
        <f t="shared" si="7"/>
        <v>69294</v>
      </c>
      <c r="H30" s="97">
        <f t="shared" si="2"/>
        <v>388473</v>
      </c>
      <c r="I30" s="49"/>
      <c r="J30" s="50"/>
      <c r="K30" s="50"/>
    </row>
    <row r="31" spans="1:11" x14ac:dyDescent="0.25">
      <c r="B31" s="17"/>
      <c r="C31" s="19"/>
      <c r="D31" s="19"/>
      <c r="E31" s="19"/>
      <c r="F31" s="19"/>
      <c r="G31" s="19"/>
      <c r="I31" s="50"/>
      <c r="J31" s="50"/>
      <c r="K31" s="50"/>
    </row>
    <row r="32" spans="1:11" x14ac:dyDescent="0.25">
      <c r="B32" s="17"/>
      <c r="C32" s="19"/>
      <c r="D32" s="19"/>
      <c r="E32" s="19"/>
      <c r="F32" s="19"/>
      <c r="G32" s="19"/>
      <c r="H32" s="19"/>
      <c r="I32" s="50"/>
      <c r="J32" s="50"/>
      <c r="K32" s="50"/>
    </row>
    <row r="33" spans="1:12" x14ac:dyDescent="0.25">
      <c r="A33" s="65" t="s">
        <v>41</v>
      </c>
      <c r="B33" s="63"/>
      <c r="C33" s="64"/>
      <c r="D33" s="64"/>
      <c r="E33" s="64"/>
      <c r="F33" s="64"/>
      <c r="G33" s="64"/>
      <c r="H33" s="64"/>
      <c r="I33" s="64"/>
      <c r="J33" s="50"/>
      <c r="K33" s="50"/>
    </row>
    <row r="34" spans="1:12" x14ac:dyDescent="0.25">
      <c r="A34" s="2" t="s">
        <v>10</v>
      </c>
      <c r="B34" s="2"/>
      <c r="E34" s="4"/>
      <c r="F34" s="122"/>
    </row>
    <row r="35" spans="1:12" ht="15.75" thickBot="1" x14ac:dyDescent="0.3">
      <c r="B35" s="17"/>
      <c r="C35" s="19"/>
      <c r="D35" s="19"/>
      <c r="E35" s="19"/>
      <c r="F35" s="19"/>
      <c r="G35" s="19"/>
      <c r="H35" s="19"/>
      <c r="I35" s="50"/>
      <c r="J35" s="50"/>
      <c r="K35" s="50"/>
    </row>
    <row r="36" spans="1:12" ht="30.75" thickBot="1" x14ac:dyDescent="0.3">
      <c r="A36" s="13"/>
      <c r="B36" s="13"/>
      <c r="C36" s="15" t="s">
        <v>17</v>
      </c>
      <c r="D36" s="16" t="s">
        <v>18</v>
      </c>
      <c r="E36" s="4"/>
      <c r="G36" s="214" t="s">
        <v>138</v>
      </c>
      <c r="J36" s="42"/>
    </row>
    <row r="37" spans="1:12" x14ac:dyDescent="0.25">
      <c r="A37" s="7" t="s">
        <v>14</v>
      </c>
      <c r="B37" s="52" t="s">
        <v>27</v>
      </c>
      <c r="C37" s="54">
        <v>43820710</v>
      </c>
      <c r="D37" s="14">
        <f>C37/C37</f>
        <v>1</v>
      </c>
    </row>
    <row r="38" spans="1:12" ht="17.25" x14ac:dyDescent="0.25">
      <c r="A38" s="8" t="s">
        <v>124</v>
      </c>
      <c r="B38" s="53" t="s">
        <v>28</v>
      </c>
      <c r="C38" s="55">
        <f>G38*D38</f>
        <v>1063684.2859999998</v>
      </c>
      <c r="D38" s="169">
        <v>0.71899999999999997</v>
      </c>
      <c r="F38" s="101">
        <f>G38/G43</f>
        <v>6.2281677501522109E-2</v>
      </c>
      <c r="G38" s="103">
        <v>1479394</v>
      </c>
    </row>
    <row r="39" spans="1:12" ht="17.25" x14ac:dyDescent="0.25">
      <c r="A39" s="8" t="s">
        <v>125</v>
      </c>
      <c r="B39" s="53" t="s">
        <v>29</v>
      </c>
      <c r="C39" s="55">
        <f>G38*D39</f>
        <v>415709.71400000004</v>
      </c>
      <c r="D39" s="169">
        <v>0.28100000000000003</v>
      </c>
      <c r="F39" s="101"/>
    </row>
    <row r="40" spans="1:12" ht="17.25" x14ac:dyDescent="0.25">
      <c r="A40" s="8" t="s">
        <v>126</v>
      </c>
      <c r="B40" s="53" t="s">
        <v>30</v>
      </c>
      <c r="C40" s="55">
        <f>G40*D40</f>
        <v>14344381.296</v>
      </c>
      <c r="D40" s="169">
        <v>0.64400000000000002</v>
      </c>
      <c r="F40" s="101">
        <f>G40/G43</f>
        <v>0.93771832249847786</v>
      </c>
      <c r="G40" s="103">
        <v>22273884</v>
      </c>
    </row>
    <row r="41" spans="1:12" ht="17.25" x14ac:dyDescent="0.25">
      <c r="A41" s="8" t="s">
        <v>127</v>
      </c>
      <c r="B41" s="53" t="s">
        <v>31</v>
      </c>
      <c r="C41" s="55">
        <f>G40*D41</f>
        <v>3795469.8336</v>
      </c>
      <c r="D41" s="169">
        <v>0.1704</v>
      </c>
      <c r="F41" s="101"/>
    </row>
    <row r="42" spans="1:12" ht="17.25" x14ac:dyDescent="0.25">
      <c r="A42" s="8" t="s">
        <v>128</v>
      </c>
      <c r="B42" s="53" t="s">
        <v>32</v>
      </c>
      <c r="C42" s="56">
        <f>G40*D42</f>
        <v>4134032.8703999999</v>
      </c>
      <c r="D42" s="170">
        <v>0.18559999999999999</v>
      </c>
      <c r="F42" s="101"/>
    </row>
    <row r="43" spans="1:12" x14ac:dyDescent="0.25">
      <c r="A43" s="18" t="s">
        <v>129</v>
      </c>
      <c r="B43" s="31" t="s">
        <v>33</v>
      </c>
      <c r="C43" s="57">
        <f>SUM(C38:C42)</f>
        <v>23753278</v>
      </c>
      <c r="D43" s="12">
        <f>C43/C37</f>
        <v>0.54205598220567397</v>
      </c>
      <c r="F43" s="101">
        <f>C43/G43</f>
        <v>1</v>
      </c>
      <c r="G43" s="103">
        <v>23753278</v>
      </c>
      <c r="H43" s="104">
        <f>F38+F40-F43</f>
        <v>0</v>
      </c>
    </row>
    <row r="44" spans="1:12" x14ac:dyDescent="0.25">
      <c r="A44" s="9" t="s">
        <v>2</v>
      </c>
      <c r="B44" s="30" t="s">
        <v>34</v>
      </c>
      <c r="C44" s="58">
        <f>D45/C45</f>
        <v>2.7717934245243027E-2</v>
      </c>
      <c r="D44" s="5"/>
    </row>
    <row r="45" spans="1:12" ht="17.25" x14ac:dyDescent="0.25">
      <c r="A45" s="9" t="s">
        <v>87</v>
      </c>
      <c r="B45" s="30" t="s">
        <v>35</v>
      </c>
      <c r="C45" s="55">
        <v>44259330.769230768</v>
      </c>
      <c r="D45" s="51">
        <v>1226777.22</v>
      </c>
      <c r="L45" s="42"/>
    </row>
    <row r="46" spans="1:12" ht="17.25" x14ac:dyDescent="0.25">
      <c r="A46" s="9" t="s">
        <v>38</v>
      </c>
      <c r="B46" s="30" t="s">
        <v>36</v>
      </c>
      <c r="C46" s="59">
        <v>87.08</v>
      </c>
      <c r="D46" s="5"/>
      <c r="I46" s="4"/>
      <c r="J46" s="42"/>
    </row>
    <row r="47" spans="1:12" ht="15.75" thickBot="1" x14ac:dyDescent="0.3">
      <c r="A47" s="10" t="s">
        <v>39</v>
      </c>
      <c r="B47" s="32" t="s">
        <v>37</v>
      </c>
      <c r="C47" s="60">
        <f>C46/1000</f>
        <v>8.7080000000000005E-2</v>
      </c>
      <c r="D47" s="6"/>
      <c r="H47" s="4"/>
      <c r="I47" s="4"/>
    </row>
    <row r="48" spans="1:12" ht="15.75" thickBot="1" x14ac:dyDescent="0.3">
      <c r="B48" s="17"/>
      <c r="H48" s="4"/>
      <c r="I48" s="4"/>
    </row>
    <row r="49" spans="1:11" ht="15.75" thickBot="1" x14ac:dyDescent="0.3">
      <c r="A49" s="23" t="s">
        <v>137</v>
      </c>
      <c r="B49" s="15"/>
      <c r="C49" s="24" t="s">
        <v>19</v>
      </c>
      <c r="D49" s="16" t="s">
        <v>20</v>
      </c>
      <c r="E49" s="25" t="s">
        <v>4</v>
      </c>
      <c r="F49" s="25" t="s">
        <v>5</v>
      </c>
      <c r="G49" s="16" t="s">
        <v>6</v>
      </c>
      <c r="H49" s="90" t="s">
        <v>71</v>
      </c>
      <c r="I49" s="43"/>
    </row>
    <row r="50" spans="1:11" x14ac:dyDescent="0.25">
      <c r="A50" s="9" t="s">
        <v>21</v>
      </c>
      <c r="B50" s="30" t="s">
        <v>43</v>
      </c>
      <c r="C50" s="118">
        <f>C21</f>
        <v>0.10299999999999999</v>
      </c>
      <c r="D50" s="119">
        <f t="shared" ref="D50:G50" si="8">D21</f>
        <v>0.121</v>
      </c>
      <c r="E50" s="120">
        <f t="shared" si="8"/>
        <v>8.6999999999999994E-2</v>
      </c>
      <c r="F50" s="120">
        <f t="shared" si="8"/>
        <v>0.13200000000000001</v>
      </c>
      <c r="G50" s="119">
        <f t="shared" si="8"/>
        <v>0.18</v>
      </c>
      <c r="H50" s="91"/>
      <c r="I50" s="44"/>
    </row>
    <row r="51" spans="1:11" x14ac:dyDescent="0.25">
      <c r="A51" s="8" t="s">
        <v>22</v>
      </c>
      <c r="B51" s="53" t="s">
        <v>44</v>
      </c>
      <c r="C51" s="193"/>
      <c r="D51" s="192"/>
      <c r="E51" s="194"/>
      <c r="F51" s="194"/>
      <c r="G51" s="190"/>
      <c r="H51" s="92"/>
      <c r="I51" s="45"/>
    </row>
    <row r="52" spans="1:11" x14ac:dyDescent="0.25">
      <c r="A52" s="9" t="s">
        <v>130</v>
      </c>
      <c r="B52" s="30" t="s">
        <v>45</v>
      </c>
      <c r="C52" s="34">
        <f>C38</f>
        <v>1063684.2859999998</v>
      </c>
      <c r="D52" s="21">
        <f>C39</f>
        <v>415709.71400000004</v>
      </c>
      <c r="E52" s="27">
        <f>C40</f>
        <v>14344381.296</v>
      </c>
      <c r="F52" s="27">
        <f>C41</f>
        <v>3795469.8336</v>
      </c>
      <c r="G52" s="21">
        <f>C42</f>
        <v>4134032.8703999999</v>
      </c>
      <c r="H52" s="93">
        <f>SUM(C52:G52)</f>
        <v>23753278</v>
      </c>
      <c r="I52" s="46"/>
    </row>
    <row r="53" spans="1:11" x14ac:dyDescent="0.25">
      <c r="A53" s="9"/>
      <c r="B53" s="30"/>
      <c r="C53" s="11"/>
      <c r="D53" s="5"/>
      <c r="E53" s="28"/>
      <c r="F53" s="28"/>
      <c r="G53" s="5"/>
      <c r="H53" s="8"/>
      <c r="I53" s="3"/>
    </row>
    <row r="54" spans="1:11" x14ac:dyDescent="0.25">
      <c r="A54" s="9" t="s">
        <v>131</v>
      </c>
      <c r="B54" s="30" t="s">
        <v>46</v>
      </c>
      <c r="C54" s="35">
        <f>C52*C50</f>
        <v>109559.48145799998</v>
      </c>
      <c r="D54" s="22">
        <f t="shared" ref="D54" si="9">D52*D50</f>
        <v>50300.875394000002</v>
      </c>
      <c r="E54" s="29">
        <f>E52*E50</f>
        <v>1247961.1727519999</v>
      </c>
      <c r="F54" s="29">
        <f t="shared" ref="F54:G54" si="10">F52*F50</f>
        <v>501002.01803520002</v>
      </c>
      <c r="G54" s="22">
        <f t="shared" si="10"/>
        <v>744125.91667199996</v>
      </c>
      <c r="H54" s="94">
        <f t="shared" ref="H54:H59" si="11">SUM(C54:G54)</f>
        <v>2652949.4643112002</v>
      </c>
      <c r="I54" s="47"/>
    </row>
    <row r="55" spans="1:11" x14ac:dyDescent="0.25">
      <c r="A55" s="9" t="s">
        <v>132</v>
      </c>
      <c r="B55" s="30" t="s">
        <v>47</v>
      </c>
      <c r="C55" s="35">
        <f>C52*$C$44</f>
        <v>29483.131097046273</v>
      </c>
      <c r="D55" s="22">
        <f t="shared" ref="D55:G55" si="12">D52*$C$44</f>
        <v>11522.614517760785</v>
      </c>
      <c r="E55" s="29">
        <f t="shared" si="12"/>
        <v>397596.61755122198</v>
      </c>
      <c r="F55" s="29">
        <f t="shared" si="12"/>
        <v>105202.58327752829</v>
      </c>
      <c r="G55" s="22">
        <f t="shared" si="12"/>
        <v>114586.85126942048</v>
      </c>
      <c r="H55" s="94">
        <f t="shared" si="11"/>
        <v>658391.79771297774</v>
      </c>
      <c r="I55" s="47"/>
    </row>
    <row r="56" spans="1:11" ht="15.75" thickBot="1" x14ac:dyDescent="0.3">
      <c r="A56" s="10" t="s">
        <v>133</v>
      </c>
      <c r="B56" s="32" t="s">
        <v>48</v>
      </c>
      <c r="C56" s="39">
        <f>C52*$C$47</f>
        <v>92625.627624879999</v>
      </c>
      <c r="D56" s="40">
        <f t="shared" ref="D56:G56" si="13">D52*$C$47</f>
        <v>36200.001895120004</v>
      </c>
      <c r="E56" s="41">
        <f t="shared" si="13"/>
        <v>1249108.7232556802</v>
      </c>
      <c r="F56" s="41">
        <f t="shared" si="13"/>
        <v>330509.51310988801</v>
      </c>
      <c r="G56" s="40">
        <f t="shared" si="13"/>
        <v>359991.58235443203</v>
      </c>
      <c r="H56" s="95">
        <f t="shared" si="11"/>
        <v>2068435.4482400001</v>
      </c>
      <c r="I56" s="47"/>
    </row>
    <row r="57" spans="1:11" x14ac:dyDescent="0.25">
      <c r="A57" s="18" t="s">
        <v>25</v>
      </c>
      <c r="B57" s="31" t="s">
        <v>49</v>
      </c>
      <c r="C57" s="36">
        <f>C54-C55-C56</f>
        <v>-12549.277263926284</v>
      </c>
      <c r="D57" s="37">
        <f t="shared" ref="D57:G57" si="14">D54-D55-D56</f>
        <v>2578.2589811192156</v>
      </c>
      <c r="E57" s="38">
        <f t="shared" si="14"/>
        <v>-398744.16805490223</v>
      </c>
      <c r="F57" s="38">
        <f t="shared" si="14"/>
        <v>65289.921647783718</v>
      </c>
      <c r="G57" s="37">
        <f t="shared" si="14"/>
        <v>269547.48304814746</v>
      </c>
      <c r="H57" s="98">
        <f t="shared" si="11"/>
        <v>-73877.781641778129</v>
      </c>
      <c r="I57" s="48"/>
    </row>
    <row r="58" spans="1:11" x14ac:dyDescent="0.25">
      <c r="A58" s="76" t="s">
        <v>23</v>
      </c>
      <c r="B58" s="77" t="s">
        <v>50</v>
      </c>
      <c r="C58" s="78">
        <f>IF(C57&gt;0,C57,0)</f>
        <v>0</v>
      </c>
      <c r="D58" s="79">
        <f t="shared" ref="D58:G58" si="15">IF(D57&gt;0,D57,0)</f>
        <v>2578.2589811192156</v>
      </c>
      <c r="E58" s="80">
        <f t="shared" si="15"/>
        <v>0</v>
      </c>
      <c r="F58" s="80">
        <f t="shared" si="15"/>
        <v>65289.921647783718</v>
      </c>
      <c r="G58" s="79">
        <f t="shared" si="15"/>
        <v>269547.48304814746</v>
      </c>
      <c r="H58" s="96">
        <f t="shared" si="11"/>
        <v>337415.66367705038</v>
      </c>
      <c r="I58" s="49"/>
      <c r="J58" s="50"/>
      <c r="K58" s="50"/>
    </row>
    <row r="59" spans="1:11" ht="15.75" thickBot="1" x14ac:dyDescent="0.3">
      <c r="A59" s="81" t="s">
        <v>24</v>
      </c>
      <c r="B59" s="82" t="s">
        <v>51</v>
      </c>
      <c r="C59" s="83">
        <f>IF(C57&lt;0,C57*-1,0)</f>
        <v>12549.277263926284</v>
      </c>
      <c r="D59" s="84">
        <f t="shared" ref="D59:G59" si="16">IF(D57&lt;0,D57*-1,0)</f>
        <v>0</v>
      </c>
      <c r="E59" s="85">
        <f t="shared" si="16"/>
        <v>398744.16805490223</v>
      </c>
      <c r="F59" s="85">
        <f t="shared" si="16"/>
        <v>0</v>
      </c>
      <c r="G59" s="84">
        <f t="shared" si="16"/>
        <v>0</v>
      </c>
      <c r="H59" s="97">
        <f t="shared" si="11"/>
        <v>411293.44531882851</v>
      </c>
      <c r="I59" s="49"/>
      <c r="J59" s="50"/>
      <c r="K59" s="50"/>
    </row>
    <row r="60" spans="1:11" x14ac:dyDescent="0.25">
      <c r="B60" s="17"/>
      <c r="C60" s="19"/>
      <c r="D60" s="19"/>
      <c r="E60" s="19"/>
      <c r="F60" s="19"/>
      <c r="G60" s="19"/>
      <c r="H60" s="50"/>
      <c r="I60" s="50"/>
      <c r="J60" s="50"/>
      <c r="K60" s="50"/>
    </row>
    <row r="61" spans="1:11" ht="15.75" thickBot="1" x14ac:dyDescent="0.3">
      <c r="A61" s="86" t="s">
        <v>42</v>
      </c>
      <c r="H61" s="4"/>
      <c r="I61" s="4"/>
    </row>
    <row r="62" spans="1:11" x14ac:dyDescent="0.25">
      <c r="A62" s="7" t="s">
        <v>134</v>
      </c>
      <c r="B62" s="52"/>
      <c r="C62" s="87">
        <f>C57-C28</f>
        <v>8623.7227360737161</v>
      </c>
      <c r="D62" s="88">
        <f t="shared" ref="D62:G62" si="17">D57-D28</f>
        <v>8215.2589811192156</v>
      </c>
      <c r="E62" s="89">
        <f t="shared" si="17"/>
        <v>-167757.16805490223</v>
      </c>
      <c r="F62" s="89">
        <f t="shared" si="17"/>
        <v>126671.92164778372</v>
      </c>
      <c r="G62" s="88">
        <f t="shared" si="17"/>
        <v>338841.48304814746</v>
      </c>
      <c r="H62" s="98">
        <f t="shared" ref="H62:H64" si="18">SUM(C62:G62)</f>
        <v>314595.21835822187</v>
      </c>
      <c r="I62" s="48"/>
    </row>
    <row r="63" spans="1:11" x14ac:dyDescent="0.25">
      <c r="A63" s="76" t="s">
        <v>135</v>
      </c>
      <c r="B63" s="77" t="s">
        <v>72</v>
      </c>
      <c r="C63" s="78">
        <f>IF(C62&gt;0,C62,0)</f>
        <v>8623.7227360737161</v>
      </c>
      <c r="D63" s="79">
        <f t="shared" ref="D63:G63" si="19">IF(D62&gt;0,D62,0)</f>
        <v>8215.2589811192156</v>
      </c>
      <c r="E63" s="80">
        <f t="shared" si="19"/>
        <v>0</v>
      </c>
      <c r="F63" s="80">
        <f t="shared" si="19"/>
        <v>126671.92164778372</v>
      </c>
      <c r="G63" s="79">
        <f t="shared" si="19"/>
        <v>338841.48304814746</v>
      </c>
      <c r="H63" s="96">
        <f t="shared" si="18"/>
        <v>482352.3864131241</v>
      </c>
      <c r="I63" s="49"/>
      <c r="J63" s="50"/>
      <c r="K63" s="50"/>
    </row>
    <row r="64" spans="1:11" ht="15.75" thickBot="1" x14ac:dyDescent="0.3">
      <c r="A64" s="81" t="s">
        <v>136</v>
      </c>
      <c r="B64" s="82" t="s">
        <v>73</v>
      </c>
      <c r="C64" s="83">
        <f>IF(C62&lt;0,C62*-1,0)</f>
        <v>0</v>
      </c>
      <c r="D64" s="84">
        <f t="shared" ref="D64:G64" si="20">IF(D62&lt;0,D62*-1,0)</f>
        <v>0</v>
      </c>
      <c r="E64" s="85">
        <f t="shared" si="20"/>
        <v>167757.16805490223</v>
      </c>
      <c r="F64" s="85">
        <f t="shared" si="20"/>
        <v>0</v>
      </c>
      <c r="G64" s="84">
        <f t="shared" si="20"/>
        <v>0</v>
      </c>
      <c r="H64" s="97">
        <f t="shared" si="18"/>
        <v>167757.16805490223</v>
      </c>
      <c r="I64" s="49"/>
      <c r="J64" s="50"/>
      <c r="K64" s="50"/>
    </row>
  </sheetData>
  <sheetProtection password="CC7B" sheet="1" objects="1" scenarios="1"/>
  <pageMargins left="0.11811023622047245" right="0.11811023622047245" top="0.35433070866141736" bottom="0.35433070866141736" header="0.11811023622047245" footer="0.11811023622047245"/>
  <pageSetup scale="75" orientation="portrait" verticalDpi="0" r:id="rId1"/>
  <headerFooter>
    <oddFooter>&amp;L&amp;9&amp;Z&amp;F  &amp;A  &amp;D  &amp;T&amp;R&amp;P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3:L65"/>
  <sheetViews>
    <sheetView topLeftCell="A4" zoomScale="80" zoomScaleNormal="80" workbookViewId="0">
      <selection activeCell="F39" sqref="F39"/>
    </sheetView>
  </sheetViews>
  <sheetFormatPr defaultRowHeight="15" x14ac:dyDescent="0.25"/>
  <cols>
    <col min="1" max="1" width="36" customWidth="1"/>
    <col min="2" max="2" width="11.140625" bestFit="1" customWidth="1"/>
    <col min="3" max="3" width="15.28515625" bestFit="1" customWidth="1"/>
    <col min="4" max="4" width="12.5703125" bestFit="1" customWidth="1"/>
    <col min="5" max="5" width="12.140625" bestFit="1" customWidth="1"/>
    <col min="6" max="6" width="18.42578125" bestFit="1" customWidth="1"/>
    <col min="7" max="7" width="14.28515625" bestFit="1" customWidth="1"/>
    <col min="8" max="8" width="13.28515625" bestFit="1" customWidth="1"/>
    <col min="9" max="9" width="5.28515625" customWidth="1"/>
    <col min="10" max="10" width="13.28515625" style="4" bestFit="1" customWidth="1"/>
    <col min="11" max="16384" width="9.140625" style="4"/>
  </cols>
  <sheetData>
    <row r="3" spans="1:9" ht="5.25" customHeight="1" x14ac:dyDescent="0.25">
      <c r="A3" s="2"/>
      <c r="B3" s="2"/>
      <c r="E3" s="4"/>
    </row>
    <row r="4" spans="1:9" x14ac:dyDescent="0.25">
      <c r="A4" s="2"/>
      <c r="B4" s="2"/>
      <c r="E4" s="4"/>
    </row>
    <row r="5" spans="1:9" x14ac:dyDescent="0.25">
      <c r="A5" s="61" t="s">
        <v>40</v>
      </c>
      <c r="B5" s="61"/>
      <c r="C5" s="62"/>
      <c r="D5" s="62"/>
      <c r="E5" s="62"/>
      <c r="F5" s="62"/>
      <c r="G5" s="62"/>
      <c r="H5" s="62"/>
      <c r="I5" s="62"/>
    </row>
    <row r="6" spans="1:9" x14ac:dyDescent="0.25">
      <c r="A6" s="2" t="s">
        <v>10</v>
      </c>
      <c r="B6" s="2"/>
      <c r="E6" s="99" t="s">
        <v>74</v>
      </c>
      <c r="F6" s="99">
        <v>2016</v>
      </c>
    </row>
    <row r="7" spans="1:9" ht="15.75" thickBot="1" x14ac:dyDescent="0.3">
      <c r="A7" s="2"/>
      <c r="B7" s="2"/>
      <c r="E7" s="4"/>
    </row>
    <row r="8" spans="1:9" ht="15.75" thickBot="1" x14ac:dyDescent="0.3">
      <c r="A8" s="13"/>
      <c r="B8" s="13"/>
      <c r="C8" s="15" t="s">
        <v>17</v>
      </c>
      <c r="D8" s="16" t="s">
        <v>18</v>
      </c>
      <c r="E8" s="4"/>
    </row>
    <row r="9" spans="1:9" x14ac:dyDescent="0.25">
      <c r="A9" s="7" t="s">
        <v>14</v>
      </c>
      <c r="B9" s="52" t="s">
        <v>52</v>
      </c>
      <c r="C9" s="188"/>
      <c r="D9" s="189"/>
    </row>
    <row r="10" spans="1:9" ht="17.25" x14ac:dyDescent="0.25">
      <c r="A10" s="8" t="s">
        <v>12</v>
      </c>
      <c r="B10" s="53" t="s">
        <v>53</v>
      </c>
      <c r="C10" s="55">
        <v>847592</v>
      </c>
      <c r="D10" s="190"/>
      <c r="G10" s="101"/>
    </row>
    <row r="11" spans="1:9" ht="17.25" x14ac:dyDescent="0.25">
      <c r="A11" s="8" t="s">
        <v>13</v>
      </c>
      <c r="B11" s="53" t="s">
        <v>54</v>
      </c>
      <c r="C11" s="55">
        <v>236701</v>
      </c>
      <c r="D11" s="190"/>
      <c r="F11" s="104"/>
      <c r="G11" s="101"/>
    </row>
    <row r="12" spans="1:9" ht="17.25" x14ac:dyDescent="0.25">
      <c r="A12" s="8" t="s">
        <v>11</v>
      </c>
      <c r="B12" s="53" t="s">
        <v>55</v>
      </c>
      <c r="C12" s="55">
        <v>11864691</v>
      </c>
      <c r="D12" s="190"/>
      <c r="G12" s="101"/>
    </row>
    <row r="13" spans="1:9" ht="17.25" x14ac:dyDescent="0.25">
      <c r="A13" s="8" t="s">
        <v>15</v>
      </c>
      <c r="B13" s="53" t="s">
        <v>56</v>
      </c>
      <c r="C13" s="55">
        <v>2833835</v>
      </c>
      <c r="D13" s="190"/>
      <c r="G13" s="101"/>
    </row>
    <row r="14" spans="1:9" ht="17.25" x14ac:dyDescent="0.25">
      <c r="A14" s="8" t="s">
        <v>16</v>
      </c>
      <c r="B14" s="53" t="s">
        <v>57</v>
      </c>
      <c r="C14" s="56">
        <v>3256688</v>
      </c>
      <c r="D14" s="191"/>
      <c r="F14" s="104"/>
      <c r="G14" s="101"/>
    </row>
    <row r="15" spans="1:9" x14ac:dyDescent="0.25">
      <c r="A15" s="18" t="s">
        <v>116</v>
      </c>
      <c r="B15" s="31" t="s">
        <v>58</v>
      </c>
      <c r="C15" s="57">
        <f>SUM(C10:C14)</f>
        <v>19039507</v>
      </c>
      <c r="D15" s="191"/>
    </row>
    <row r="16" spans="1:9" x14ac:dyDescent="0.25">
      <c r="A16" s="9" t="s">
        <v>101</v>
      </c>
      <c r="B16" s="30" t="s">
        <v>59</v>
      </c>
      <c r="C16" s="201">
        <v>1.23572E-2</v>
      </c>
      <c r="D16" s="192"/>
    </row>
    <row r="17" spans="1:11" ht="17.25" x14ac:dyDescent="0.25">
      <c r="A17" s="9" t="s">
        <v>99</v>
      </c>
      <c r="B17" s="30" t="s">
        <v>60</v>
      </c>
      <c r="C17" s="186"/>
      <c r="D17" s="5"/>
      <c r="I17" s="4"/>
      <c r="J17" s="42"/>
    </row>
    <row r="18" spans="1:11" ht="15.75" thickBot="1" x14ac:dyDescent="0.3">
      <c r="A18" s="10" t="s">
        <v>100</v>
      </c>
      <c r="B18" s="32" t="s">
        <v>61</v>
      </c>
      <c r="C18" s="202">
        <v>9.5070000000000002E-2</v>
      </c>
      <c r="D18" s="6"/>
      <c r="I18" s="4"/>
    </row>
    <row r="19" spans="1:11" ht="8.25" customHeight="1" thickBot="1" x14ac:dyDescent="0.3">
      <c r="B19" s="17"/>
      <c r="I19" s="4"/>
    </row>
    <row r="20" spans="1:11" ht="15.75" thickBot="1" x14ac:dyDescent="0.3">
      <c r="A20" s="23" t="s">
        <v>3</v>
      </c>
      <c r="B20" s="15"/>
      <c r="C20" s="24" t="s">
        <v>19</v>
      </c>
      <c r="D20" s="16" t="s">
        <v>20</v>
      </c>
      <c r="E20" s="25" t="s">
        <v>4</v>
      </c>
      <c r="F20" s="25" t="s">
        <v>5</v>
      </c>
      <c r="G20" s="16" t="s">
        <v>6</v>
      </c>
      <c r="H20" s="90" t="s">
        <v>71</v>
      </c>
      <c r="I20" s="43"/>
    </row>
    <row r="21" spans="1:11" x14ac:dyDescent="0.25">
      <c r="A21" s="9" t="s">
        <v>21</v>
      </c>
      <c r="B21" s="30" t="s">
        <v>62</v>
      </c>
      <c r="C21" s="33">
        <v>9.9000000000000005E-2</v>
      </c>
      <c r="D21" s="20">
        <v>0.11600000000000001</v>
      </c>
      <c r="E21" s="26">
        <v>8.3000000000000004E-2</v>
      </c>
      <c r="F21" s="26">
        <v>0.128</v>
      </c>
      <c r="G21" s="20">
        <v>0.17499999999999999</v>
      </c>
      <c r="H21" s="91"/>
      <c r="I21" s="44"/>
    </row>
    <row r="22" spans="1:11" x14ac:dyDescent="0.25">
      <c r="A22" s="8" t="s">
        <v>22</v>
      </c>
      <c r="B22" s="53" t="s">
        <v>63</v>
      </c>
      <c r="C22" s="193"/>
      <c r="D22" s="192"/>
      <c r="E22" s="194"/>
      <c r="F22" s="194"/>
      <c r="G22" s="190"/>
      <c r="H22" s="92"/>
      <c r="I22" s="45"/>
    </row>
    <row r="23" spans="1:11" x14ac:dyDescent="0.25">
      <c r="A23" s="9" t="s">
        <v>117</v>
      </c>
      <c r="B23" s="30" t="s">
        <v>64</v>
      </c>
      <c r="C23" s="34">
        <f>C10</f>
        <v>847592</v>
      </c>
      <c r="D23" s="21">
        <f>C11</f>
        <v>236701</v>
      </c>
      <c r="E23" s="27">
        <f>C12</f>
        <v>11864691</v>
      </c>
      <c r="F23" s="27">
        <f>C13</f>
        <v>2833835</v>
      </c>
      <c r="G23" s="21">
        <f>C14</f>
        <v>3256688</v>
      </c>
      <c r="H23" s="93">
        <f>SUM(C23:G23)</f>
        <v>19039507</v>
      </c>
      <c r="I23" s="46"/>
    </row>
    <row r="24" spans="1:11" ht="9.75" customHeight="1" x14ac:dyDescent="0.25">
      <c r="A24" s="9"/>
      <c r="B24" s="30"/>
      <c r="C24" s="11"/>
      <c r="D24" s="5"/>
      <c r="E24" s="28"/>
      <c r="F24" s="28"/>
      <c r="G24" s="5"/>
      <c r="H24" s="8"/>
      <c r="I24" s="3"/>
    </row>
    <row r="25" spans="1:11" x14ac:dyDescent="0.25">
      <c r="A25" s="9" t="s">
        <v>118</v>
      </c>
      <c r="B25" s="30" t="s">
        <v>65</v>
      </c>
      <c r="C25" s="195">
        <f t="shared" ref="C25:D25" si="0">C23*C21</f>
        <v>83911.608000000007</v>
      </c>
      <c r="D25" s="196">
        <f t="shared" si="0"/>
        <v>27457.316000000003</v>
      </c>
      <c r="E25" s="197">
        <f>E23*E21</f>
        <v>984769.353</v>
      </c>
      <c r="F25" s="197">
        <f t="shared" ref="F25:G25" si="1">F23*F21</f>
        <v>362730.88</v>
      </c>
      <c r="G25" s="196">
        <f t="shared" si="1"/>
        <v>569920.39999999991</v>
      </c>
      <c r="H25" s="94">
        <f t="shared" ref="H25:H30" si="2">SUM(C25:G25)</f>
        <v>2028789.557</v>
      </c>
      <c r="I25" s="47"/>
    </row>
    <row r="26" spans="1:11" x14ac:dyDescent="0.25">
      <c r="A26" s="9" t="s">
        <v>119</v>
      </c>
      <c r="B26" s="30" t="s">
        <v>66</v>
      </c>
      <c r="C26" s="195">
        <f t="shared" ref="C26:D26" si="3">C23*$C$16</f>
        <v>10473.8638624</v>
      </c>
      <c r="D26" s="196">
        <f t="shared" si="3"/>
        <v>2924.9615972000001</v>
      </c>
      <c r="E26" s="197">
        <f>E23*$C$16</f>
        <v>146614.35962520001</v>
      </c>
      <c r="F26" s="197">
        <f t="shared" ref="F26:G26" si="4">F23*$C$16</f>
        <v>35018.265862</v>
      </c>
      <c r="G26" s="196">
        <f t="shared" si="4"/>
        <v>40243.544953600001</v>
      </c>
      <c r="H26" s="94">
        <f t="shared" si="2"/>
        <v>235274.99590040001</v>
      </c>
      <c r="I26" s="47"/>
    </row>
    <row r="27" spans="1:11" ht="15.75" thickBot="1" x14ac:dyDescent="0.3">
      <c r="A27" s="10" t="s">
        <v>120</v>
      </c>
      <c r="B27" s="32" t="s">
        <v>67</v>
      </c>
      <c r="C27" s="198">
        <f>C23*$C$18</f>
        <v>80580.57144</v>
      </c>
      <c r="D27" s="199">
        <f t="shared" ref="D27:G27" si="5">D23*$C$18</f>
        <v>22503.164069999999</v>
      </c>
      <c r="E27" s="200">
        <f t="shared" si="5"/>
        <v>1127976.17337</v>
      </c>
      <c r="F27" s="200">
        <f t="shared" si="5"/>
        <v>269412.69345000002</v>
      </c>
      <c r="G27" s="199">
        <f t="shared" si="5"/>
        <v>309613.32816000003</v>
      </c>
      <c r="H27" s="95">
        <f t="shared" si="2"/>
        <v>1810085.9304900002</v>
      </c>
      <c r="I27" s="47"/>
      <c r="J27" s="152"/>
    </row>
    <row r="28" spans="1:11" x14ac:dyDescent="0.25">
      <c r="A28" s="18" t="s">
        <v>121</v>
      </c>
      <c r="B28" s="31" t="s">
        <v>68</v>
      </c>
      <c r="C28" s="129">
        <f>79856-80594</f>
        <v>-738</v>
      </c>
      <c r="D28" s="130">
        <f>22301-22507</f>
        <v>-206</v>
      </c>
      <c r="E28" s="131">
        <f>1117840-1128167</f>
        <v>-10327</v>
      </c>
      <c r="F28" s="131">
        <f>266992-269458</f>
        <v>-2466</v>
      </c>
      <c r="G28" s="130">
        <f>306831-309666</f>
        <v>-2835</v>
      </c>
      <c r="H28" s="98">
        <f t="shared" si="2"/>
        <v>-16572</v>
      </c>
      <c r="I28" s="48"/>
      <c r="J28" s="152"/>
      <c r="K28" s="50"/>
    </row>
    <row r="29" spans="1:11" x14ac:dyDescent="0.25">
      <c r="A29" s="66" t="s">
        <v>122</v>
      </c>
      <c r="B29" s="67" t="s">
        <v>69</v>
      </c>
      <c r="C29" s="68">
        <f>IF(C28&gt;0,C28,0)</f>
        <v>0</v>
      </c>
      <c r="D29" s="69">
        <f t="shared" ref="D29:G29" si="6">IF(D28&gt;0,D28,0)</f>
        <v>0</v>
      </c>
      <c r="E29" s="70">
        <f t="shared" si="6"/>
        <v>0</v>
      </c>
      <c r="F29" s="70">
        <f t="shared" si="6"/>
        <v>0</v>
      </c>
      <c r="G29" s="69">
        <f t="shared" si="6"/>
        <v>0</v>
      </c>
      <c r="H29" s="96">
        <f t="shared" si="2"/>
        <v>0</v>
      </c>
      <c r="I29" s="49"/>
      <c r="J29" s="50"/>
      <c r="K29" s="50"/>
    </row>
    <row r="30" spans="1:11" ht="15.75" thickBot="1" x14ac:dyDescent="0.3">
      <c r="A30" s="71" t="s">
        <v>123</v>
      </c>
      <c r="B30" s="72" t="s">
        <v>70</v>
      </c>
      <c r="C30" s="73">
        <f>IF(C28&lt;0,C28*-1,0)</f>
        <v>738</v>
      </c>
      <c r="D30" s="74">
        <f t="shared" ref="D30:G30" si="7">IF(D28&lt;0,D28*-1,0)</f>
        <v>206</v>
      </c>
      <c r="E30" s="75">
        <f t="shared" si="7"/>
        <v>10327</v>
      </c>
      <c r="F30" s="75">
        <f t="shared" si="7"/>
        <v>2466</v>
      </c>
      <c r="G30" s="74">
        <f t="shared" si="7"/>
        <v>2835</v>
      </c>
      <c r="H30" s="97">
        <f t="shared" si="2"/>
        <v>16572</v>
      </c>
      <c r="I30" s="49"/>
      <c r="J30" s="50"/>
      <c r="K30" s="50"/>
    </row>
    <row r="31" spans="1:11" x14ac:dyDescent="0.25">
      <c r="B31" s="17"/>
      <c r="C31" s="19"/>
      <c r="D31" s="19"/>
      <c r="E31" s="19"/>
      <c r="F31" s="19"/>
      <c r="G31" s="19"/>
      <c r="I31" s="50"/>
      <c r="J31" s="50"/>
      <c r="K31" s="50"/>
    </row>
    <row r="32" spans="1:11" x14ac:dyDescent="0.25">
      <c r="B32" s="17"/>
      <c r="C32" s="19"/>
      <c r="D32" s="19"/>
      <c r="E32" s="19"/>
      <c r="F32" s="19"/>
      <c r="G32" s="19"/>
      <c r="H32" s="19"/>
      <c r="I32" s="50"/>
      <c r="J32" s="50"/>
      <c r="K32" s="50"/>
    </row>
    <row r="33" spans="1:12" x14ac:dyDescent="0.25">
      <c r="A33" s="65" t="s">
        <v>41</v>
      </c>
      <c r="B33" s="63"/>
      <c r="C33" s="64"/>
      <c r="D33" s="64"/>
      <c r="E33" s="64"/>
      <c r="F33" s="64"/>
      <c r="G33" s="64"/>
      <c r="H33" s="64"/>
      <c r="I33" s="64"/>
      <c r="J33" s="50"/>
      <c r="K33" s="50"/>
    </row>
    <row r="34" spans="1:12" x14ac:dyDescent="0.25">
      <c r="A34" s="2" t="s">
        <v>10</v>
      </c>
      <c r="B34" s="2"/>
      <c r="E34" s="4"/>
    </row>
    <row r="35" spans="1:12" ht="15.75" thickBot="1" x14ac:dyDescent="0.3">
      <c r="B35" s="17"/>
      <c r="C35" s="19"/>
      <c r="D35" s="19"/>
      <c r="E35" s="19"/>
      <c r="F35" s="19"/>
      <c r="G35" s="19"/>
      <c r="H35" s="19"/>
      <c r="I35" s="50"/>
      <c r="J35" s="50"/>
      <c r="K35" s="50"/>
    </row>
    <row r="36" spans="1:12" ht="30.75" thickBot="1" x14ac:dyDescent="0.3">
      <c r="A36" s="13"/>
      <c r="B36" s="13"/>
      <c r="C36" s="15" t="s">
        <v>17</v>
      </c>
      <c r="D36" s="16" t="s">
        <v>18</v>
      </c>
      <c r="E36" s="4"/>
      <c r="G36" s="213" t="s">
        <v>138</v>
      </c>
      <c r="J36" s="42"/>
    </row>
    <row r="37" spans="1:12" x14ac:dyDescent="0.25">
      <c r="A37" s="7" t="s">
        <v>14</v>
      </c>
      <c r="B37" s="52" t="s">
        <v>27</v>
      </c>
      <c r="C37" s="54">
        <v>44481875</v>
      </c>
      <c r="D37" s="14">
        <f>C37/C37</f>
        <v>1</v>
      </c>
    </row>
    <row r="38" spans="1:12" ht="17.25" x14ac:dyDescent="0.25">
      <c r="A38" s="8" t="s">
        <v>124</v>
      </c>
      <c r="B38" s="53" t="s">
        <v>28</v>
      </c>
      <c r="C38" s="55">
        <f>G38*D38</f>
        <v>1089781.8289999999</v>
      </c>
      <c r="D38" s="169">
        <v>0.71899999999999997</v>
      </c>
      <c r="F38" s="101">
        <f>G38/G43</f>
        <v>6.4003777837290346E-2</v>
      </c>
      <c r="G38" s="103">
        <v>1515691</v>
      </c>
    </row>
    <row r="39" spans="1:12" ht="17.25" x14ac:dyDescent="0.25">
      <c r="A39" s="8" t="s">
        <v>125</v>
      </c>
      <c r="B39" s="53" t="s">
        <v>29</v>
      </c>
      <c r="C39" s="55">
        <f>G38*D39</f>
        <v>425909.17100000003</v>
      </c>
      <c r="D39" s="169">
        <v>0.28100000000000003</v>
      </c>
      <c r="E39" s="105"/>
      <c r="F39" s="101"/>
    </row>
    <row r="40" spans="1:12" ht="17.25" x14ac:dyDescent="0.25">
      <c r="A40" s="8" t="s">
        <v>126</v>
      </c>
      <c r="B40" s="53" t="s">
        <v>30</v>
      </c>
      <c r="C40" s="55">
        <f>G40*D40</f>
        <v>14274636.096000001</v>
      </c>
      <c r="D40" s="169">
        <v>0.64400000000000002</v>
      </c>
      <c r="F40" s="101">
        <f>G40/G43</f>
        <v>0.93599626439016748</v>
      </c>
      <c r="G40" s="103">
        <v>22165584</v>
      </c>
    </row>
    <row r="41" spans="1:12" ht="17.25" x14ac:dyDescent="0.25">
      <c r="A41" s="8" t="s">
        <v>127</v>
      </c>
      <c r="B41" s="53" t="s">
        <v>31</v>
      </c>
      <c r="C41" s="55">
        <f>G40*D41</f>
        <v>3777015.5135999997</v>
      </c>
      <c r="D41" s="169">
        <v>0.1704</v>
      </c>
      <c r="F41" s="101"/>
    </row>
    <row r="42" spans="1:12" ht="17.25" x14ac:dyDescent="0.25">
      <c r="A42" s="8" t="s">
        <v>128</v>
      </c>
      <c r="B42" s="53" t="s">
        <v>32</v>
      </c>
      <c r="C42" s="56">
        <f>G40*D42</f>
        <v>4113932.3903999999</v>
      </c>
      <c r="D42" s="170">
        <v>0.18559999999999999</v>
      </c>
      <c r="F42" s="101"/>
    </row>
    <row r="43" spans="1:12" x14ac:dyDescent="0.25">
      <c r="A43" s="18" t="s">
        <v>129</v>
      </c>
      <c r="B43" s="31" t="s">
        <v>33</v>
      </c>
      <c r="C43" s="57">
        <f>SUM(C38:C42)</f>
        <v>23681275</v>
      </c>
      <c r="D43" s="12">
        <f>C43/C37</f>
        <v>0.53238032344634756</v>
      </c>
      <c r="F43" s="101">
        <f>C43/G43</f>
        <v>1.000000042227458</v>
      </c>
      <c r="G43" s="103">
        <v>23681274</v>
      </c>
      <c r="H43" s="104">
        <f>F38+F40-F43</f>
        <v>0</v>
      </c>
    </row>
    <row r="44" spans="1:12" x14ac:dyDescent="0.25">
      <c r="A44" s="9" t="s">
        <v>2</v>
      </c>
      <c r="B44" s="30" t="s">
        <v>34</v>
      </c>
      <c r="C44" s="58">
        <f>D45/C45</f>
        <v>3.29864873398329E-2</v>
      </c>
      <c r="D44" s="5"/>
    </row>
    <row r="45" spans="1:12" ht="17.25" x14ac:dyDescent="0.25">
      <c r="A45" s="9" t="s">
        <v>87</v>
      </c>
      <c r="B45" s="30" t="s">
        <v>35</v>
      </c>
      <c r="C45" s="55">
        <v>45315053.846153848</v>
      </c>
      <c r="D45" s="51">
        <v>1494784.45</v>
      </c>
      <c r="L45" s="42"/>
    </row>
    <row r="46" spans="1:12" ht="17.25" x14ac:dyDescent="0.25">
      <c r="A46" s="9" t="s">
        <v>38</v>
      </c>
      <c r="B46" s="30" t="s">
        <v>36</v>
      </c>
      <c r="C46" s="59">
        <v>91.79</v>
      </c>
      <c r="D46" s="5"/>
      <c r="I46" s="4"/>
      <c r="J46" s="42"/>
    </row>
    <row r="47" spans="1:12" ht="15.75" thickBot="1" x14ac:dyDescent="0.3">
      <c r="A47" s="10" t="s">
        <v>39</v>
      </c>
      <c r="B47" s="32" t="s">
        <v>37</v>
      </c>
      <c r="C47" s="60">
        <f>C46/1000</f>
        <v>9.179000000000001E-2</v>
      </c>
      <c r="D47" s="6"/>
      <c r="H47" s="4"/>
      <c r="I47" s="4"/>
    </row>
    <row r="48" spans="1:12" ht="15.75" thickBot="1" x14ac:dyDescent="0.3">
      <c r="B48" s="17"/>
      <c r="H48" s="4"/>
      <c r="I48" s="4"/>
    </row>
    <row r="49" spans="1:11" ht="15.75" thickBot="1" x14ac:dyDescent="0.3">
      <c r="A49" s="23" t="s">
        <v>137</v>
      </c>
      <c r="B49" s="15"/>
      <c r="C49" s="24" t="s">
        <v>19</v>
      </c>
      <c r="D49" s="16" t="s">
        <v>20</v>
      </c>
      <c r="E49" s="25" t="s">
        <v>4</v>
      </c>
      <c r="F49" s="25" t="s">
        <v>5</v>
      </c>
      <c r="G49" s="16" t="s">
        <v>6</v>
      </c>
      <c r="H49" s="90" t="s">
        <v>71</v>
      </c>
      <c r="I49" s="43"/>
    </row>
    <row r="50" spans="1:11" x14ac:dyDescent="0.25">
      <c r="A50" s="9" t="s">
        <v>21</v>
      </c>
      <c r="B50" s="30" t="s">
        <v>43</v>
      </c>
      <c r="C50" s="118">
        <f>C21</f>
        <v>9.9000000000000005E-2</v>
      </c>
      <c r="D50" s="119">
        <f t="shared" ref="D50:G50" si="8">D21</f>
        <v>0.11600000000000001</v>
      </c>
      <c r="E50" s="120">
        <f t="shared" si="8"/>
        <v>8.3000000000000004E-2</v>
      </c>
      <c r="F50" s="120">
        <f t="shared" si="8"/>
        <v>0.128</v>
      </c>
      <c r="G50" s="119">
        <f t="shared" si="8"/>
        <v>0.17499999999999999</v>
      </c>
      <c r="H50" s="91"/>
      <c r="I50" s="44"/>
    </row>
    <row r="51" spans="1:11" x14ac:dyDescent="0.25">
      <c r="A51" s="8" t="s">
        <v>22</v>
      </c>
      <c r="B51" s="53" t="s">
        <v>44</v>
      </c>
      <c r="C51" s="193"/>
      <c r="D51" s="192"/>
      <c r="E51" s="194"/>
      <c r="F51" s="194"/>
      <c r="G51" s="190"/>
      <c r="H51" s="92"/>
      <c r="I51" s="45"/>
    </row>
    <row r="52" spans="1:11" x14ac:dyDescent="0.25">
      <c r="A52" s="9" t="s">
        <v>130</v>
      </c>
      <c r="B52" s="30" t="s">
        <v>45</v>
      </c>
      <c r="C52" s="34">
        <f>C38</f>
        <v>1089781.8289999999</v>
      </c>
      <c r="D52" s="21">
        <f>C39</f>
        <v>425909.17100000003</v>
      </c>
      <c r="E52" s="27">
        <f>C40</f>
        <v>14274636.096000001</v>
      </c>
      <c r="F52" s="27">
        <f>C41</f>
        <v>3777015.5135999997</v>
      </c>
      <c r="G52" s="21">
        <f>C42</f>
        <v>4113932.3903999999</v>
      </c>
      <c r="H52" s="93">
        <f>SUM(C52:G52)</f>
        <v>23681275</v>
      </c>
      <c r="I52" s="46"/>
    </row>
    <row r="53" spans="1:11" x14ac:dyDescent="0.25">
      <c r="A53" s="9"/>
      <c r="B53" s="30"/>
      <c r="C53" s="11"/>
      <c r="D53" s="5"/>
      <c r="E53" s="28"/>
      <c r="F53" s="28"/>
      <c r="G53" s="5"/>
      <c r="H53" s="8"/>
      <c r="I53" s="3"/>
    </row>
    <row r="54" spans="1:11" x14ac:dyDescent="0.25">
      <c r="A54" s="9" t="s">
        <v>131</v>
      </c>
      <c r="B54" s="30" t="s">
        <v>46</v>
      </c>
      <c r="C54" s="35">
        <f>C52*C50</f>
        <v>107888.401071</v>
      </c>
      <c r="D54" s="22">
        <f t="shared" ref="D54" si="9">D52*D50</f>
        <v>49405.463836000003</v>
      </c>
      <c r="E54" s="29">
        <f>E52*E50</f>
        <v>1184794.7959680001</v>
      </c>
      <c r="F54" s="29">
        <f t="shared" ref="F54:G54" si="10">F52*F50</f>
        <v>483457.98574079998</v>
      </c>
      <c r="G54" s="22">
        <f t="shared" si="10"/>
        <v>719938.16831999994</v>
      </c>
      <c r="H54" s="94">
        <f t="shared" ref="H54:H59" si="11">SUM(C54:G54)</f>
        <v>2545484.8149357997</v>
      </c>
      <c r="I54" s="47"/>
    </row>
    <row r="55" spans="1:11" x14ac:dyDescent="0.25">
      <c r="A55" s="9" t="s">
        <v>132</v>
      </c>
      <c r="B55" s="30" t="s">
        <v>47</v>
      </c>
      <c r="C55" s="35">
        <f>C52*$C$44</f>
        <v>35948.074505488439</v>
      </c>
      <c r="D55" s="22">
        <f t="shared" ref="D55:G55" si="12">D52*$C$44</f>
        <v>14049.247477110226</v>
      </c>
      <c r="E55" s="29">
        <f t="shared" si="12"/>
        <v>470870.10286142578</v>
      </c>
      <c r="F55" s="29">
        <f t="shared" si="12"/>
        <v>124590.47442171884</v>
      </c>
      <c r="G55" s="22">
        <f t="shared" si="12"/>
        <v>135704.17871285809</v>
      </c>
      <c r="H55" s="94">
        <f t="shared" si="11"/>
        <v>781162.07797860145</v>
      </c>
      <c r="I55" s="47"/>
    </row>
    <row r="56" spans="1:11" ht="15.75" thickBot="1" x14ac:dyDescent="0.3">
      <c r="A56" s="10" t="s">
        <v>133</v>
      </c>
      <c r="B56" s="32" t="s">
        <v>48</v>
      </c>
      <c r="C56" s="39">
        <f>C52*$C$47</f>
        <v>100031.07408391</v>
      </c>
      <c r="D56" s="40">
        <f t="shared" ref="D56:G56" si="13">D52*$C$47</f>
        <v>39094.202806090005</v>
      </c>
      <c r="E56" s="41">
        <f t="shared" si="13"/>
        <v>1310268.8472518402</v>
      </c>
      <c r="F56" s="41">
        <f t="shared" si="13"/>
        <v>346692.25399334403</v>
      </c>
      <c r="G56" s="40">
        <f t="shared" si="13"/>
        <v>377617.85411481606</v>
      </c>
      <c r="H56" s="95">
        <f t="shared" si="11"/>
        <v>2173704.2322500004</v>
      </c>
      <c r="I56" s="47"/>
    </row>
    <row r="57" spans="1:11" x14ac:dyDescent="0.25">
      <c r="A57" s="18" t="s">
        <v>25</v>
      </c>
      <c r="B57" s="31" t="s">
        <v>49</v>
      </c>
      <c r="C57" s="36">
        <f>C54-C55-C56</f>
        <v>-28090.74751839845</v>
      </c>
      <c r="D57" s="37">
        <f t="shared" ref="D57:G57" si="14">D54-D55-D56</f>
        <v>-3737.98644720023</v>
      </c>
      <c r="E57" s="38">
        <f t="shared" si="14"/>
        <v>-596344.15414526593</v>
      </c>
      <c r="F57" s="38">
        <f t="shared" si="14"/>
        <v>12175.257325737097</v>
      </c>
      <c r="G57" s="37">
        <f t="shared" si="14"/>
        <v>206616.13549232576</v>
      </c>
      <c r="H57" s="98">
        <f t="shared" si="11"/>
        <v>-409381.49529280164</v>
      </c>
      <c r="I57" s="48"/>
    </row>
    <row r="58" spans="1:11" x14ac:dyDescent="0.25">
      <c r="A58" s="76" t="s">
        <v>23</v>
      </c>
      <c r="B58" s="77" t="s">
        <v>50</v>
      </c>
      <c r="C58" s="78">
        <f>IF(C57&gt;0,C57,0)</f>
        <v>0</v>
      </c>
      <c r="D58" s="79">
        <f t="shared" ref="D58:G58" si="15">IF(D57&gt;0,D57,0)</f>
        <v>0</v>
      </c>
      <c r="E58" s="80">
        <f t="shared" si="15"/>
        <v>0</v>
      </c>
      <c r="F58" s="80">
        <f t="shared" si="15"/>
        <v>12175.257325737097</v>
      </c>
      <c r="G58" s="79">
        <f t="shared" si="15"/>
        <v>206616.13549232576</v>
      </c>
      <c r="H58" s="96">
        <f t="shared" si="11"/>
        <v>218791.39281806286</v>
      </c>
      <c r="I58" s="49"/>
      <c r="J58" s="50"/>
      <c r="K58" s="50"/>
    </row>
    <row r="59" spans="1:11" ht="15.75" thickBot="1" x14ac:dyDescent="0.3">
      <c r="A59" s="81" t="s">
        <v>24</v>
      </c>
      <c r="B59" s="82" t="s">
        <v>51</v>
      </c>
      <c r="C59" s="83">
        <f>IF(C57&lt;0,C57*-1,0)</f>
        <v>28090.74751839845</v>
      </c>
      <c r="D59" s="84">
        <f t="shared" ref="D59:G59" si="16">IF(D57&lt;0,D57*-1,0)</f>
        <v>3737.98644720023</v>
      </c>
      <c r="E59" s="85">
        <f t="shared" si="16"/>
        <v>596344.15414526593</v>
      </c>
      <c r="F59" s="85">
        <f t="shared" si="16"/>
        <v>0</v>
      </c>
      <c r="G59" s="84">
        <f t="shared" si="16"/>
        <v>0</v>
      </c>
      <c r="H59" s="97">
        <f t="shared" si="11"/>
        <v>628172.88811086456</v>
      </c>
      <c r="I59" s="49"/>
      <c r="J59" s="50"/>
      <c r="K59" s="50"/>
    </row>
    <row r="60" spans="1:11" x14ac:dyDescent="0.25">
      <c r="B60" s="17"/>
      <c r="C60" s="19"/>
      <c r="D60" s="19"/>
      <c r="E60" s="19"/>
      <c r="F60" s="19"/>
      <c r="G60" s="19"/>
      <c r="H60" s="50"/>
      <c r="I60" s="50"/>
      <c r="J60" s="50"/>
      <c r="K60" s="50"/>
    </row>
    <row r="61" spans="1:11" ht="15.75" thickBot="1" x14ac:dyDescent="0.3">
      <c r="A61" s="86" t="s">
        <v>42</v>
      </c>
      <c r="H61" s="4"/>
      <c r="I61" s="4"/>
    </row>
    <row r="62" spans="1:11" x14ac:dyDescent="0.25">
      <c r="A62" s="7" t="s">
        <v>134</v>
      </c>
      <c r="B62" s="52"/>
      <c r="C62" s="87">
        <f>C57-C28</f>
        <v>-27352.74751839845</v>
      </c>
      <c r="D62" s="88">
        <f t="shared" ref="D62:G62" si="17">D57-D28</f>
        <v>-3531.98644720023</v>
      </c>
      <c r="E62" s="89">
        <f t="shared" si="17"/>
        <v>-586017.15414526593</v>
      </c>
      <c r="F62" s="89">
        <f t="shared" si="17"/>
        <v>14641.257325737097</v>
      </c>
      <c r="G62" s="88">
        <f t="shared" si="17"/>
        <v>209451.13549232576</v>
      </c>
      <c r="H62" s="98">
        <f t="shared" ref="H62:H64" si="18">SUM(C62:G62)</f>
        <v>-392809.49529280164</v>
      </c>
      <c r="I62" s="48"/>
    </row>
    <row r="63" spans="1:11" x14ac:dyDescent="0.25">
      <c r="A63" s="76" t="s">
        <v>135</v>
      </c>
      <c r="B63" s="77" t="s">
        <v>72</v>
      </c>
      <c r="C63" s="78">
        <f>IF(C62&gt;0,C62,0)</f>
        <v>0</v>
      </c>
      <c r="D63" s="79">
        <f t="shared" ref="D63:G63" si="19">IF(D62&gt;0,D62,0)</f>
        <v>0</v>
      </c>
      <c r="E63" s="80">
        <f t="shared" si="19"/>
        <v>0</v>
      </c>
      <c r="F63" s="80">
        <f t="shared" si="19"/>
        <v>14641.257325737097</v>
      </c>
      <c r="G63" s="79">
        <f t="shared" si="19"/>
        <v>209451.13549232576</v>
      </c>
      <c r="H63" s="96">
        <f t="shared" si="18"/>
        <v>224092.39281806286</v>
      </c>
      <c r="I63" s="49"/>
      <c r="J63" s="50"/>
      <c r="K63" s="50"/>
    </row>
    <row r="64" spans="1:11" ht="15.75" thickBot="1" x14ac:dyDescent="0.3">
      <c r="A64" s="81" t="s">
        <v>136</v>
      </c>
      <c r="B64" s="82" t="s">
        <v>73</v>
      </c>
      <c r="C64" s="83">
        <f>IF(C62&lt;0,C62*-1,0)</f>
        <v>27352.74751839845</v>
      </c>
      <c r="D64" s="84">
        <f t="shared" ref="D64:G64" si="20">IF(D62&lt;0,D62*-1,0)</f>
        <v>3531.98644720023</v>
      </c>
      <c r="E64" s="85">
        <f t="shared" si="20"/>
        <v>586017.15414526593</v>
      </c>
      <c r="F64" s="85">
        <f t="shared" si="20"/>
        <v>0</v>
      </c>
      <c r="G64" s="84">
        <f t="shared" si="20"/>
        <v>0</v>
      </c>
      <c r="H64" s="97">
        <f t="shared" si="18"/>
        <v>616901.88811086456</v>
      </c>
      <c r="I64" s="49"/>
      <c r="J64" s="50"/>
      <c r="K64" s="50"/>
    </row>
    <row r="65" spans="1:1" x14ac:dyDescent="0.25">
      <c r="A65" s="7"/>
    </row>
  </sheetData>
  <sheetProtection password="CC7B" sheet="1" objects="1" scenarios="1"/>
  <pageMargins left="0.11811023622047245" right="0.11811023622047245" top="0.35433070866141736" bottom="0.35433070866141736" header="0.11811023622047245" footer="0.11811023622047245"/>
  <pageSetup scale="71" orientation="portrait" r:id="rId1"/>
  <headerFooter>
    <oddFooter>&amp;L&amp;9&amp;Z&amp;F  &amp;A  &amp;D  &amp;T&amp;R&amp;P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3:L64"/>
  <sheetViews>
    <sheetView zoomScale="80" zoomScaleNormal="80" workbookViewId="0">
      <selection activeCell="N40" sqref="N40"/>
    </sheetView>
  </sheetViews>
  <sheetFormatPr defaultRowHeight="15" x14ac:dyDescent="0.25"/>
  <cols>
    <col min="1" max="1" width="36" customWidth="1"/>
    <col min="2" max="2" width="11.140625" bestFit="1" customWidth="1"/>
    <col min="3" max="3" width="15.28515625" bestFit="1" customWidth="1"/>
    <col min="4" max="4" width="12.5703125" bestFit="1" customWidth="1"/>
    <col min="5" max="5" width="12.85546875" bestFit="1" customWidth="1"/>
    <col min="6" max="7" width="12.140625" bestFit="1" customWidth="1"/>
    <col min="8" max="8" width="13.28515625" bestFit="1" customWidth="1"/>
    <col min="9" max="9" width="5.28515625" customWidth="1"/>
    <col min="10" max="10" width="10.140625" style="4" bestFit="1" customWidth="1"/>
    <col min="11" max="16384" width="9.140625" style="4"/>
  </cols>
  <sheetData>
    <row r="3" spans="1:9" ht="5.25" customHeight="1" x14ac:dyDescent="0.25">
      <c r="A3" s="2"/>
      <c r="B3" s="2"/>
      <c r="E3" s="4"/>
    </row>
    <row r="4" spans="1:9" x14ac:dyDescent="0.25">
      <c r="A4" s="2"/>
      <c r="B4" s="2"/>
      <c r="E4" s="4"/>
    </row>
    <row r="5" spans="1:9" x14ac:dyDescent="0.25">
      <c r="A5" s="61" t="s">
        <v>40</v>
      </c>
      <c r="B5" s="61"/>
      <c r="C5" s="62"/>
      <c r="D5" s="62"/>
      <c r="E5" s="62"/>
      <c r="F5" s="62"/>
      <c r="G5" s="62"/>
      <c r="H5" s="62"/>
      <c r="I5" s="62"/>
    </row>
    <row r="6" spans="1:9" x14ac:dyDescent="0.25">
      <c r="A6" s="2" t="s">
        <v>10</v>
      </c>
      <c r="B6" s="2"/>
      <c r="E6" s="99" t="s">
        <v>75</v>
      </c>
      <c r="F6" s="99">
        <v>2016</v>
      </c>
    </row>
    <row r="7" spans="1:9" ht="15.75" thickBot="1" x14ac:dyDescent="0.3">
      <c r="A7" s="2"/>
      <c r="B7" s="2"/>
      <c r="E7" s="4"/>
    </row>
    <row r="8" spans="1:9" ht="15.75" thickBot="1" x14ac:dyDescent="0.3">
      <c r="A8" s="13"/>
      <c r="B8" s="13"/>
      <c r="C8" s="15" t="s">
        <v>17</v>
      </c>
      <c r="D8" s="16" t="s">
        <v>18</v>
      </c>
      <c r="E8" s="4"/>
    </row>
    <row r="9" spans="1:9" x14ac:dyDescent="0.25">
      <c r="A9" s="7" t="s">
        <v>14</v>
      </c>
      <c r="B9" s="52" t="s">
        <v>52</v>
      </c>
      <c r="C9" s="188"/>
      <c r="D9" s="189"/>
    </row>
    <row r="10" spans="1:9" ht="17.25" x14ac:dyDescent="0.25">
      <c r="A10" s="8" t="s">
        <v>12</v>
      </c>
      <c r="B10" s="53" t="s">
        <v>53</v>
      </c>
      <c r="C10" s="55">
        <v>1263584</v>
      </c>
      <c r="D10" s="190"/>
      <c r="E10" s="101"/>
      <c r="G10" s="101"/>
    </row>
    <row r="11" spans="1:9" ht="17.25" x14ac:dyDescent="0.25">
      <c r="A11" s="8" t="s">
        <v>13</v>
      </c>
      <c r="B11" s="53" t="s">
        <v>54</v>
      </c>
      <c r="C11" s="55">
        <v>396846</v>
      </c>
      <c r="D11" s="190"/>
      <c r="E11" s="101"/>
      <c r="F11" s="104"/>
      <c r="G11" s="101"/>
    </row>
    <row r="12" spans="1:9" ht="17.25" x14ac:dyDescent="0.25">
      <c r="A12" s="8" t="s">
        <v>11</v>
      </c>
      <c r="B12" s="53" t="s">
        <v>55</v>
      </c>
      <c r="C12" s="55">
        <v>16241733</v>
      </c>
      <c r="D12" s="190"/>
      <c r="G12" s="101"/>
    </row>
    <row r="13" spans="1:9" ht="17.25" x14ac:dyDescent="0.25">
      <c r="A13" s="8" t="s">
        <v>15</v>
      </c>
      <c r="B13" s="53" t="s">
        <v>56</v>
      </c>
      <c r="C13" s="55">
        <v>3893464</v>
      </c>
      <c r="D13" s="190"/>
      <c r="G13" s="101"/>
    </row>
    <row r="14" spans="1:9" ht="17.25" x14ac:dyDescent="0.25">
      <c r="A14" s="8" t="s">
        <v>16</v>
      </c>
      <c r="B14" s="53" t="s">
        <v>57</v>
      </c>
      <c r="C14" s="56">
        <v>4387572</v>
      </c>
      <c r="D14" s="191"/>
      <c r="F14" s="104"/>
      <c r="G14" s="101"/>
    </row>
    <row r="15" spans="1:9" x14ac:dyDescent="0.25">
      <c r="A15" s="18" t="s">
        <v>116</v>
      </c>
      <c r="B15" s="31" t="s">
        <v>58</v>
      </c>
      <c r="C15" s="57">
        <f>SUM(C10:C14)</f>
        <v>26183199</v>
      </c>
      <c r="D15" s="191"/>
    </row>
    <row r="16" spans="1:9" x14ac:dyDescent="0.25">
      <c r="A16" s="9" t="s">
        <v>101</v>
      </c>
      <c r="B16" s="30" t="s">
        <v>59</v>
      </c>
      <c r="C16" s="201">
        <v>1.2231300000000001E-2</v>
      </c>
      <c r="D16" s="5"/>
    </row>
    <row r="17" spans="1:11" ht="17.25" x14ac:dyDescent="0.25">
      <c r="A17" s="9" t="s">
        <v>99</v>
      </c>
      <c r="B17" s="30" t="s">
        <v>60</v>
      </c>
      <c r="C17" s="186"/>
      <c r="D17" s="5"/>
      <c r="I17" s="4"/>
      <c r="J17" s="42"/>
    </row>
    <row r="18" spans="1:11" ht="15.75" thickBot="1" x14ac:dyDescent="0.3">
      <c r="A18" s="10" t="s">
        <v>100</v>
      </c>
      <c r="B18" s="32" t="s">
        <v>61</v>
      </c>
      <c r="C18" s="202">
        <v>9.7570000000000004E-2</v>
      </c>
      <c r="D18" s="6"/>
      <c r="I18" s="4"/>
    </row>
    <row r="19" spans="1:11" ht="8.25" customHeight="1" thickBot="1" x14ac:dyDescent="0.3">
      <c r="B19" s="17"/>
      <c r="I19" s="4"/>
    </row>
    <row r="20" spans="1:11" ht="15.75" thickBot="1" x14ac:dyDescent="0.3">
      <c r="A20" s="23" t="s">
        <v>3</v>
      </c>
      <c r="B20" s="15"/>
      <c r="C20" s="24" t="s">
        <v>19</v>
      </c>
      <c r="D20" s="16" t="s">
        <v>20</v>
      </c>
      <c r="E20" s="25" t="s">
        <v>4</v>
      </c>
      <c r="F20" s="25" t="s">
        <v>5</v>
      </c>
      <c r="G20" s="16" t="s">
        <v>6</v>
      </c>
      <c r="H20" s="90" t="s">
        <v>71</v>
      </c>
      <c r="I20" s="43"/>
    </row>
    <row r="21" spans="1:11" x14ac:dyDescent="0.25">
      <c r="A21" s="9" t="s">
        <v>21</v>
      </c>
      <c r="B21" s="30" t="s">
        <v>62</v>
      </c>
      <c r="C21" s="33">
        <v>9.9000000000000005E-2</v>
      </c>
      <c r="D21" s="20">
        <v>0.11600000000000001</v>
      </c>
      <c r="E21" s="26">
        <v>8.3000000000000004E-2</v>
      </c>
      <c r="F21" s="26">
        <v>0.128</v>
      </c>
      <c r="G21" s="20">
        <v>0.17499999999999999</v>
      </c>
      <c r="H21" s="91"/>
      <c r="I21" s="44"/>
    </row>
    <row r="22" spans="1:11" x14ac:dyDescent="0.25">
      <c r="A22" s="8" t="s">
        <v>22</v>
      </c>
      <c r="B22" s="53" t="s">
        <v>63</v>
      </c>
      <c r="C22" s="193"/>
      <c r="D22" s="192"/>
      <c r="E22" s="194"/>
      <c r="F22" s="194"/>
      <c r="G22" s="190"/>
      <c r="H22" s="92"/>
      <c r="I22" s="45"/>
    </row>
    <row r="23" spans="1:11" x14ac:dyDescent="0.25">
      <c r="A23" s="9" t="s">
        <v>117</v>
      </c>
      <c r="B23" s="30" t="s">
        <v>64</v>
      </c>
      <c r="C23" s="34">
        <f>C10</f>
        <v>1263584</v>
      </c>
      <c r="D23" s="21">
        <f>C11</f>
        <v>396846</v>
      </c>
      <c r="E23" s="27">
        <f>C12</f>
        <v>16241733</v>
      </c>
      <c r="F23" s="27">
        <f>C13</f>
        <v>3893464</v>
      </c>
      <c r="G23" s="21">
        <f>C14</f>
        <v>4387572</v>
      </c>
      <c r="H23" s="93">
        <f>SUM(C23:G23)</f>
        <v>26183199</v>
      </c>
      <c r="I23" s="46"/>
    </row>
    <row r="24" spans="1:11" ht="9.75" customHeight="1" x14ac:dyDescent="0.25">
      <c r="A24" s="9"/>
      <c r="B24" s="30"/>
      <c r="C24" s="11"/>
      <c r="D24" s="5"/>
      <c r="E24" s="28"/>
      <c r="F24" s="28"/>
      <c r="G24" s="5"/>
      <c r="H24" s="8"/>
      <c r="I24" s="3"/>
    </row>
    <row r="25" spans="1:11" x14ac:dyDescent="0.25">
      <c r="A25" s="9" t="s">
        <v>118</v>
      </c>
      <c r="B25" s="30" t="s">
        <v>65</v>
      </c>
      <c r="C25" s="195">
        <f t="shared" ref="C25:D25" si="0">C23*C21</f>
        <v>125094.81600000001</v>
      </c>
      <c r="D25" s="196">
        <f t="shared" si="0"/>
        <v>46034.136000000006</v>
      </c>
      <c r="E25" s="197">
        <f>E23*E21</f>
        <v>1348063.8390000002</v>
      </c>
      <c r="F25" s="197">
        <f t="shared" ref="F25:G25" si="1">F23*F21</f>
        <v>498363.39199999999</v>
      </c>
      <c r="G25" s="196">
        <f t="shared" si="1"/>
        <v>767825.1</v>
      </c>
      <c r="H25" s="94">
        <f t="shared" ref="H25:H30" si="2">SUM(C25:G25)</f>
        <v>2785381.2830000003</v>
      </c>
      <c r="I25" s="47"/>
    </row>
    <row r="26" spans="1:11" x14ac:dyDescent="0.25">
      <c r="A26" s="9" t="s">
        <v>119</v>
      </c>
      <c r="B26" s="30" t="s">
        <v>66</v>
      </c>
      <c r="C26" s="195">
        <f t="shared" ref="C26:D26" si="3">C23*$C$16</f>
        <v>15455.274979200001</v>
      </c>
      <c r="D26" s="196">
        <f t="shared" si="3"/>
        <v>4853.9424798</v>
      </c>
      <c r="E26" s="197">
        <f>E23*$C$16</f>
        <v>198657.50884290002</v>
      </c>
      <c r="F26" s="197">
        <f t="shared" ref="F26:G26" si="4">F23*$C$16</f>
        <v>47622.126223200001</v>
      </c>
      <c r="G26" s="196">
        <f t="shared" si="4"/>
        <v>53665.709403600005</v>
      </c>
      <c r="H26" s="94">
        <f t="shared" si="2"/>
        <v>320254.56192870002</v>
      </c>
      <c r="I26" s="47"/>
    </row>
    <row r="27" spans="1:11" ht="15.75" thickBot="1" x14ac:dyDescent="0.3">
      <c r="A27" s="10" t="s">
        <v>120</v>
      </c>
      <c r="B27" s="32" t="s">
        <v>67</v>
      </c>
      <c r="C27" s="198">
        <f>C23*$C$18</f>
        <v>123287.89088000001</v>
      </c>
      <c r="D27" s="199">
        <f t="shared" ref="D27:G27" si="5">D23*$C$18</f>
        <v>38720.264220000005</v>
      </c>
      <c r="E27" s="200">
        <f t="shared" si="5"/>
        <v>1584705.8888100001</v>
      </c>
      <c r="F27" s="200">
        <f t="shared" si="5"/>
        <v>379885.28247999999</v>
      </c>
      <c r="G27" s="199">
        <f t="shared" si="5"/>
        <v>428095.40004000004</v>
      </c>
      <c r="H27" s="95">
        <f t="shared" si="2"/>
        <v>2554694.7264300003</v>
      </c>
      <c r="I27" s="47"/>
      <c r="J27" s="152"/>
    </row>
    <row r="28" spans="1:11" x14ac:dyDescent="0.25">
      <c r="A28" s="18" t="s">
        <v>121</v>
      </c>
      <c r="B28" s="31" t="s">
        <v>68</v>
      </c>
      <c r="C28" s="129">
        <f>118970-123292</f>
        <v>-4322</v>
      </c>
      <c r="D28" s="130">
        <f>37364-38722</f>
        <v>-1358</v>
      </c>
      <c r="E28" s="131">
        <f>1529204-1584764</f>
        <v>-55560</v>
      </c>
      <c r="F28" s="131">
        <f>366580-379899</f>
        <v>-13319</v>
      </c>
      <c r="G28" s="130">
        <f>413102-428111</f>
        <v>-15009</v>
      </c>
      <c r="H28" s="98">
        <f t="shared" si="2"/>
        <v>-89568</v>
      </c>
      <c r="I28" s="48"/>
      <c r="J28" s="50"/>
    </row>
    <row r="29" spans="1:11" x14ac:dyDescent="0.25">
      <c r="A29" s="66" t="s">
        <v>122</v>
      </c>
      <c r="B29" s="67" t="s">
        <v>69</v>
      </c>
      <c r="C29" s="68">
        <f>IF(C28&gt;0,C28,0)</f>
        <v>0</v>
      </c>
      <c r="D29" s="69">
        <f t="shared" ref="D29:G29" si="6">IF(D28&gt;0,D28,0)</f>
        <v>0</v>
      </c>
      <c r="E29" s="70">
        <f t="shared" si="6"/>
        <v>0</v>
      </c>
      <c r="F29" s="70">
        <f t="shared" si="6"/>
        <v>0</v>
      </c>
      <c r="G29" s="69">
        <f t="shared" si="6"/>
        <v>0</v>
      </c>
      <c r="H29" s="96">
        <f t="shared" si="2"/>
        <v>0</v>
      </c>
      <c r="I29" s="49"/>
      <c r="J29" s="50"/>
      <c r="K29" s="50"/>
    </row>
    <row r="30" spans="1:11" ht="15.75" thickBot="1" x14ac:dyDescent="0.3">
      <c r="A30" s="71" t="s">
        <v>123</v>
      </c>
      <c r="B30" s="72" t="s">
        <v>70</v>
      </c>
      <c r="C30" s="73">
        <f>IF(C28&lt;0,C28*-1,0)</f>
        <v>4322</v>
      </c>
      <c r="D30" s="74">
        <f t="shared" ref="D30:G30" si="7">IF(D28&lt;0,D28*-1,0)</f>
        <v>1358</v>
      </c>
      <c r="E30" s="75">
        <f t="shared" si="7"/>
        <v>55560</v>
      </c>
      <c r="F30" s="75">
        <f t="shared" si="7"/>
        <v>13319</v>
      </c>
      <c r="G30" s="74">
        <f t="shared" si="7"/>
        <v>15009</v>
      </c>
      <c r="H30" s="97">
        <f t="shared" si="2"/>
        <v>89568</v>
      </c>
      <c r="I30" s="49"/>
      <c r="J30" s="50"/>
      <c r="K30" s="50"/>
    </row>
    <row r="31" spans="1:11" x14ac:dyDescent="0.25">
      <c r="B31" s="17"/>
      <c r="C31" s="19"/>
      <c r="D31" s="19"/>
      <c r="E31" s="19"/>
      <c r="F31" s="19"/>
      <c r="G31" s="19"/>
      <c r="I31" s="50"/>
      <c r="J31" s="50"/>
      <c r="K31" s="50"/>
    </row>
    <row r="32" spans="1:11" x14ac:dyDescent="0.25">
      <c r="B32" s="17"/>
      <c r="C32" s="19"/>
      <c r="D32" s="19"/>
      <c r="E32" s="19"/>
      <c r="F32" s="19"/>
      <c r="G32" s="19"/>
      <c r="H32" s="19"/>
      <c r="I32" s="50"/>
      <c r="J32" s="50"/>
      <c r="K32" s="50"/>
    </row>
    <row r="33" spans="1:12" x14ac:dyDescent="0.25">
      <c r="A33" s="65" t="s">
        <v>41</v>
      </c>
      <c r="B33" s="63"/>
      <c r="C33" s="64"/>
      <c r="D33" s="64"/>
      <c r="E33" s="64"/>
      <c r="F33" s="64"/>
      <c r="G33" s="64"/>
      <c r="H33" s="64"/>
      <c r="I33" s="64"/>
      <c r="J33" s="50"/>
      <c r="K33" s="50"/>
    </row>
    <row r="34" spans="1:12" x14ac:dyDescent="0.25">
      <c r="A34" s="2" t="s">
        <v>10</v>
      </c>
      <c r="B34" s="2"/>
      <c r="E34" s="122"/>
      <c r="F34" s="122"/>
    </row>
    <row r="35" spans="1:12" ht="15.75" thickBot="1" x14ac:dyDescent="0.3">
      <c r="B35" s="17"/>
      <c r="C35" s="19"/>
      <c r="D35" s="19"/>
      <c r="E35" s="19"/>
      <c r="F35" s="19"/>
      <c r="G35" s="19"/>
      <c r="H35" s="19"/>
      <c r="I35" s="50"/>
      <c r="J35" s="50"/>
      <c r="K35" s="50"/>
    </row>
    <row r="36" spans="1:12" ht="30.75" thickBot="1" x14ac:dyDescent="0.3">
      <c r="A36" s="13"/>
      <c r="B36" s="13"/>
      <c r="C36" s="15" t="s">
        <v>17</v>
      </c>
      <c r="D36" s="16" t="s">
        <v>18</v>
      </c>
      <c r="E36" s="4"/>
      <c r="G36" s="224" t="s">
        <v>138</v>
      </c>
      <c r="J36" s="42"/>
    </row>
    <row r="37" spans="1:12" x14ac:dyDescent="0.25">
      <c r="A37" s="7" t="s">
        <v>14</v>
      </c>
      <c r="B37" s="52" t="s">
        <v>27</v>
      </c>
      <c r="C37" s="54">
        <v>42024072</v>
      </c>
      <c r="D37" s="14">
        <f>C37/C37</f>
        <v>1</v>
      </c>
    </row>
    <row r="38" spans="1:12" ht="17.25" x14ac:dyDescent="0.25">
      <c r="A38" s="8" t="s">
        <v>124</v>
      </c>
      <c r="B38" s="53" t="s">
        <v>28</v>
      </c>
      <c r="C38" s="55">
        <f>G38*D38</f>
        <v>1043920.414</v>
      </c>
      <c r="D38" s="169">
        <v>0.71899999999999997</v>
      </c>
      <c r="F38" s="101">
        <f>G38/G43</f>
        <v>6.5065293574610342E-2</v>
      </c>
      <c r="G38" s="103">
        <v>1451906</v>
      </c>
    </row>
    <row r="39" spans="1:12" ht="17.25" x14ac:dyDescent="0.25">
      <c r="A39" s="8" t="s">
        <v>125</v>
      </c>
      <c r="B39" s="53" t="s">
        <v>29</v>
      </c>
      <c r="C39" s="55">
        <f>G38*D39</f>
        <v>407985.58600000007</v>
      </c>
      <c r="D39" s="169">
        <v>0.28100000000000003</v>
      </c>
      <c r="F39" s="101"/>
    </row>
    <row r="40" spans="1:12" ht="17.25" x14ac:dyDescent="0.25">
      <c r="A40" s="8" t="s">
        <v>126</v>
      </c>
      <c r="B40" s="53" t="s">
        <v>30</v>
      </c>
      <c r="C40" s="55">
        <f>G40*D40</f>
        <v>13435574.936000001</v>
      </c>
      <c r="D40" s="169">
        <v>0.64400000000000002</v>
      </c>
      <c r="F40" s="101">
        <f>G40/G43</f>
        <v>0.93493470642538967</v>
      </c>
      <c r="G40" s="103">
        <v>20862694</v>
      </c>
    </row>
    <row r="41" spans="1:12" ht="17.25" x14ac:dyDescent="0.25">
      <c r="A41" s="8" t="s">
        <v>127</v>
      </c>
      <c r="B41" s="53" t="s">
        <v>31</v>
      </c>
      <c r="C41" s="55">
        <f>G40*D41</f>
        <v>3555003.0575999999</v>
      </c>
      <c r="D41" s="169">
        <v>0.1704</v>
      </c>
      <c r="F41" s="101"/>
    </row>
    <row r="42" spans="1:12" ht="17.25" x14ac:dyDescent="0.25">
      <c r="A42" s="8" t="s">
        <v>128</v>
      </c>
      <c r="B42" s="53" t="s">
        <v>32</v>
      </c>
      <c r="C42" s="56">
        <f>G40*D42</f>
        <v>3872116.0063999998</v>
      </c>
      <c r="D42" s="170">
        <v>0.18559999999999999</v>
      </c>
      <c r="F42" s="101"/>
    </row>
    <row r="43" spans="1:12" x14ac:dyDescent="0.25">
      <c r="A43" s="18" t="s">
        <v>129</v>
      </c>
      <c r="B43" s="31" t="s">
        <v>33</v>
      </c>
      <c r="C43" s="57">
        <f>SUM(C38:C42)</f>
        <v>22314600</v>
      </c>
      <c r="D43" s="12">
        <f>C43/C37</f>
        <v>0.53099566362821771</v>
      </c>
      <c r="F43" s="101">
        <f>C43/G43</f>
        <v>1</v>
      </c>
      <c r="G43" s="103">
        <v>22314600</v>
      </c>
      <c r="H43" s="104">
        <f>F38+F40-F43</f>
        <v>0</v>
      </c>
    </row>
    <row r="44" spans="1:12" x14ac:dyDescent="0.25">
      <c r="A44" s="9" t="s">
        <v>2</v>
      </c>
      <c r="B44" s="30" t="s">
        <v>34</v>
      </c>
      <c r="C44" s="58">
        <f>D45/C45</f>
        <v>1.8171132910150101E-2</v>
      </c>
      <c r="D44" s="5"/>
    </row>
    <row r="45" spans="1:12" ht="17.25" x14ac:dyDescent="0.25">
      <c r="A45" s="9" t="s">
        <v>87</v>
      </c>
      <c r="B45" s="30" t="s">
        <v>35</v>
      </c>
      <c r="C45" s="55">
        <v>41541076.923076928</v>
      </c>
      <c r="D45" s="51">
        <v>754848.43</v>
      </c>
      <c r="L45" s="42"/>
    </row>
    <row r="46" spans="1:12" ht="17.25" x14ac:dyDescent="0.25">
      <c r="A46" s="9" t="s">
        <v>38</v>
      </c>
      <c r="B46" s="30" t="s">
        <v>36</v>
      </c>
      <c r="C46" s="59">
        <v>98.51</v>
      </c>
      <c r="D46" s="5"/>
      <c r="I46" s="4"/>
      <c r="J46" s="42"/>
    </row>
    <row r="47" spans="1:12" ht="15.75" thickBot="1" x14ac:dyDescent="0.3">
      <c r="A47" s="10" t="s">
        <v>39</v>
      </c>
      <c r="B47" s="32" t="s">
        <v>37</v>
      </c>
      <c r="C47" s="121">
        <f>C46/1000</f>
        <v>9.851E-2</v>
      </c>
      <c r="D47" s="6"/>
      <c r="H47" s="4"/>
      <c r="I47" s="4"/>
    </row>
    <row r="48" spans="1:12" ht="15.75" thickBot="1" x14ac:dyDescent="0.3">
      <c r="B48" s="17"/>
      <c r="H48" s="4"/>
      <c r="I48" s="4"/>
    </row>
    <row r="49" spans="1:11" ht="15.75" thickBot="1" x14ac:dyDescent="0.3">
      <c r="A49" s="23" t="s">
        <v>137</v>
      </c>
      <c r="B49" s="15"/>
      <c r="C49" s="24" t="s">
        <v>19</v>
      </c>
      <c r="D49" s="16" t="s">
        <v>20</v>
      </c>
      <c r="E49" s="25" t="s">
        <v>4</v>
      </c>
      <c r="F49" s="25" t="s">
        <v>5</v>
      </c>
      <c r="G49" s="16" t="s">
        <v>6</v>
      </c>
      <c r="H49" s="90" t="s">
        <v>71</v>
      </c>
      <c r="I49" s="43"/>
    </row>
    <row r="50" spans="1:11" x14ac:dyDescent="0.25">
      <c r="A50" s="9" t="s">
        <v>21</v>
      </c>
      <c r="B50" s="30" t="s">
        <v>43</v>
      </c>
      <c r="C50" s="118">
        <f>C21</f>
        <v>9.9000000000000005E-2</v>
      </c>
      <c r="D50" s="119">
        <f t="shared" ref="D50:G50" si="8">D21</f>
        <v>0.11600000000000001</v>
      </c>
      <c r="E50" s="120">
        <f t="shared" si="8"/>
        <v>8.3000000000000004E-2</v>
      </c>
      <c r="F50" s="120">
        <f t="shared" si="8"/>
        <v>0.128</v>
      </c>
      <c r="G50" s="119">
        <f t="shared" si="8"/>
        <v>0.17499999999999999</v>
      </c>
      <c r="H50" s="91"/>
      <c r="I50" s="44"/>
    </row>
    <row r="51" spans="1:11" x14ac:dyDescent="0.25">
      <c r="A51" s="8" t="s">
        <v>22</v>
      </c>
      <c r="B51" s="53" t="s">
        <v>44</v>
      </c>
      <c r="C51" s="193"/>
      <c r="D51" s="192"/>
      <c r="E51" s="194"/>
      <c r="F51" s="194"/>
      <c r="G51" s="190"/>
      <c r="H51" s="92"/>
      <c r="I51" s="45"/>
    </row>
    <row r="52" spans="1:11" x14ac:dyDescent="0.25">
      <c r="A52" s="9" t="s">
        <v>130</v>
      </c>
      <c r="B52" s="30" t="s">
        <v>45</v>
      </c>
      <c r="C52" s="34">
        <f>C38</f>
        <v>1043920.414</v>
      </c>
      <c r="D52" s="21">
        <f>C39</f>
        <v>407985.58600000007</v>
      </c>
      <c r="E52" s="27">
        <f>C40</f>
        <v>13435574.936000001</v>
      </c>
      <c r="F52" s="27">
        <f>C41</f>
        <v>3555003.0575999999</v>
      </c>
      <c r="G52" s="21">
        <f>C42</f>
        <v>3872116.0063999998</v>
      </c>
      <c r="H52" s="93">
        <f>SUM(C52:G52)</f>
        <v>22314600</v>
      </c>
      <c r="I52" s="46"/>
    </row>
    <row r="53" spans="1:11" x14ac:dyDescent="0.25">
      <c r="A53" s="9"/>
      <c r="B53" s="30"/>
      <c r="C53" s="11"/>
      <c r="D53" s="5"/>
      <c r="E53" s="28"/>
      <c r="F53" s="28"/>
      <c r="G53" s="5"/>
      <c r="H53" s="8"/>
      <c r="I53" s="3"/>
    </row>
    <row r="54" spans="1:11" x14ac:dyDescent="0.25">
      <c r="A54" s="9" t="s">
        <v>131</v>
      </c>
      <c r="B54" s="30" t="s">
        <v>46</v>
      </c>
      <c r="C54" s="35">
        <f>C52*C50</f>
        <v>103348.12098600001</v>
      </c>
      <c r="D54" s="22">
        <f t="shared" ref="D54" si="9">D52*D50</f>
        <v>47326.327976000008</v>
      </c>
      <c r="E54" s="29">
        <f>E52*E50</f>
        <v>1115152.7196880002</v>
      </c>
      <c r="F54" s="29">
        <f t="shared" ref="F54:G54" si="10">F52*F50</f>
        <v>455040.39137279999</v>
      </c>
      <c r="G54" s="22">
        <f t="shared" si="10"/>
        <v>677620.30111999996</v>
      </c>
      <c r="H54" s="94">
        <f t="shared" ref="H54:H59" si="11">SUM(C54:G54)</f>
        <v>2398487.8611428002</v>
      </c>
      <c r="I54" s="47"/>
    </row>
    <row r="55" spans="1:11" x14ac:dyDescent="0.25">
      <c r="A55" s="9" t="s">
        <v>132</v>
      </c>
      <c r="B55" s="30" t="s">
        <v>47</v>
      </c>
      <c r="C55" s="35">
        <f>C52*$C$44</f>
        <v>18969.216590412918</v>
      </c>
      <c r="D55" s="22">
        <f t="shared" ref="D55:G55" si="12">D52*$C$44</f>
        <v>7413.560308631475</v>
      </c>
      <c r="E55" s="29">
        <f t="shared" si="12"/>
        <v>244139.61788633745</v>
      </c>
      <c r="F55" s="29">
        <f t="shared" si="12"/>
        <v>64598.433055639594</v>
      </c>
      <c r="G55" s="22">
        <f t="shared" si="12"/>
        <v>70360.734595814021</v>
      </c>
      <c r="H55" s="94">
        <f t="shared" si="11"/>
        <v>405481.56243683549</v>
      </c>
      <c r="I55" s="47"/>
    </row>
    <row r="56" spans="1:11" ht="15.75" thickBot="1" x14ac:dyDescent="0.3">
      <c r="A56" s="10" t="s">
        <v>133</v>
      </c>
      <c r="B56" s="32" t="s">
        <v>48</v>
      </c>
      <c r="C56" s="39">
        <f>C52*$C$47</f>
        <v>102836.59998314</v>
      </c>
      <c r="D56" s="40">
        <f t="shared" ref="D56:G56" si="13">D52*$C$47</f>
        <v>40190.660076860004</v>
      </c>
      <c r="E56" s="41">
        <f t="shared" si="13"/>
        <v>1323538.48694536</v>
      </c>
      <c r="F56" s="41">
        <f t="shared" si="13"/>
        <v>350203.35120417597</v>
      </c>
      <c r="G56" s="40">
        <f t="shared" si="13"/>
        <v>381442.14779046399</v>
      </c>
      <c r="H56" s="95">
        <f t="shared" si="11"/>
        <v>2198211.2459999998</v>
      </c>
      <c r="I56" s="47"/>
    </row>
    <row r="57" spans="1:11" x14ac:dyDescent="0.25">
      <c r="A57" s="18" t="s">
        <v>25</v>
      </c>
      <c r="B57" s="31" t="s">
        <v>49</v>
      </c>
      <c r="C57" s="36">
        <f>C54-C55-C56</f>
        <v>-18457.695587552909</v>
      </c>
      <c r="D57" s="37">
        <f t="shared" ref="D57:G57" si="14">D54-D55-D56</f>
        <v>-277.89240949146915</v>
      </c>
      <c r="E57" s="38">
        <f t="shared" si="14"/>
        <v>-452525.38514369726</v>
      </c>
      <c r="F57" s="38">
        <f t="shared" si="14"/>
        <v>40238.607112984406</v>
      </c>
      <c r="G57" s="37">
        <f t="shared" si="14"/>
        <v>225817.41873372195</v>
      </c>
      <c r="H57" s="98">
        <f t="shared" si="11"/>
        <v>-205204.94729403529</v>
      </c>
      <c r="I57" s="48"/>
    </row>
    <row r="58" spans="1:11" x14ac:dyDescent="0.25">
      <c r="A58" s="76" t="s">
        <v>23</v>
      </c>
      <c r="B58" s="77" t="s">
        <v>50</v>
      </c>
      <c r="C58" s="78">
        <f>IF(C57&gt;0,C57,0)</f>
        <v>0</v>
      </c>
      <c r="D58" s="79">
        <f t="shared" ref="D58:G58" si="15">IF(D57&gt;0,D57,0)</f>
        <v>0</v>
      </c>
      <c r="E58" s="80">
        <f t="shared" si="15"/>
        <v>0</v>
      </c>
      <c r="F58" s="80">
        <f t="shared" si="15"/>
        <v>40238.607112984406</v>
      </c>
      <c r="G58" s="79">
        <f t="shared" si="15"/>
        <v>225817.41873372195</v>
      </c>
      <c r="H58" s="96">
        <f t="shared" si="11"/>
        <v>266056.02584670635</v>
      </c>
      <c r="I58" s="49"/>
      <c r="J58" s="50"/>
      <c r="K58" s="50"/>
    </row>
    <row r="59" spans="1:11" ht="15.75" thickBot="1" x14ac:dyDescent="0.3">
      <c r="A59" s="81" t="s">
        <v>24</v>
      </c>
      <c r="B59" s="82" t="s">
        <v>51</v>
      </c>
      <c r="C59" s="83">
        <f>IF(C57&lt;0,C57*-1,0)</f>
        <v>18457.695587552909</v>
      </c>
      <c r="D59" s="84">
        <f t="shared" ref="D59:G59" si="16">IF(D57&lt;0,D57*-1,0)</f>
        <v>277.89240949146915</v>
      </c>
      <c r="E59" s="85">
        <f t="shared" si="16"/>
        <v>452525.38514369726</v>
      </c>
      <c r="F59" s="85">
        <f t="shared" si="16"/>
        <v>0</v>
      </c>
      <c r="G59" s="84">
        <f t="shared" si="16"/>
        <v>0</v>
      </c>
      <c r="H59" s="97">
        <f t="shared" si="11"/>
        <v>471260.97314074164</v>
      </c>
      <c r="I59" s="49"/>
      <c r="J59" s="50"/>
      <c r="K59" s="50"/>
    </row>
    <row r="60" spans="1:11" x14ac:dyDescent="0.25">
      <c r="B60" s="17"/>
      <c r="C60" s="19"/>
      <c r="D60" s="19"/>
      <c r="E60" s="19"/>
      <c r="F60" s="19"/>
      <c r="G60" s="19"/>
      <c r="H60" s="50"/>
      <c r="I60" s="50"/>
      <c r="J60" s="50"/>
      <c r="K60" s="50"/>
    </row>
    <row r="61" spans="1:11" ht="15.75" thickBot="1" x14ac:dyDescent="0.3">
      <c r="A61" s="86" t="s">
        <v>42</v>
      </c>
      <c r="H61" s="4"/>
      <c r="I61" s="4"/>
    </row>
    <row r="62" spans="1:11" x14ac:dyDescent="0.25">
      <c r="A62" s="7" t="s">
        <v>134</v>
      </c>
      <c r="B62" s="52"/>
      <c r="C62" s="87">
        <f>C57-C28</f>
        <v>-14135.695587552909</v>
      </c>
      <c r="D62" s="88">
        <f t="shared" ref="D62:G62" si="17">D57-D28</f>
        <v>1080.1075905085308</v>
      </c>
      <c r="E62" s="89">
        <f t="shared" si="17"/>
        <v>-396965.38514369726</v>
      </c>
      <c r="F62" s="89">
        <f t="shared" si="17"/>
        <v>53557.607112984406</v>
      </c>
      <c r="G62" s="88">
        <f t="shared" si="17"/>
        <v>240826.41873372195</v>
      </c>
      <c r="H62" s="98">
        <f t="shared" ref="H62:H64" si="18">SUM(C62:G62)</f>
        <v>-115636.94729403529</v>
      </c>
      <c r="I62" s="48"/>
    </row>
    <row r="63" spans="1:11" x14ac:dyDescent="0.25">
      <c r="A63" s="76" t="s">
        <v>135</v>
      </c>
      <c r="B63" s="77" t="s">
        <v>72</v>
      </c>
      <c r="C63" s="78">
        <f>IF(C62&gt;0,C62,0)</f>
        <v>0</v>
      </c>
      <c r="D63" s="79">
        <f t="shared" ref="D63:G63" si="19">IF(D62&gt;0,D62,0)</f>
        <v>1080.1075905085308</v>
      </c>
      <c r="E63" s="80">
        <f t="shared" si="19"/>
        <v>0</v>
      </c>
      <c r="F63" s="80">
        <f t="shared" si="19"/>
        <v>53557.607112984406</v>
      </c>
      <c r="G63" s="79">
        <f t="shared" si="19"/>
        <v>240826.41873372195</v>
      </c>
      <c r="H63" s="96">
        <f t="shared" si="18"/>
        <v>295464.13343721488</v>
      </c>
      <c r="I63" s="49"/>
      <c r="J63" s="50"/>
      <c r="K63" s="50"/>
    </row>
    <row r="64" spans="1:11" ht="15.75" thickBot="1" x14ac:dyDescent="0.3">
      <c r="A64" s="81" t="s">
        <v>136</v>
      </c>
      <c r="B64" s="82" t="s">
        <v>73</v>
      </c>
      <c r="C64" s="83">
        <f>IF(C62&lt;0,C62*-1,0)</f>
        <v>14135.695587552909</v>
      </c>
      <c r="D64" s="84">
        <f t="shared" ref="D64:G64" si="20">IF(D62&lt;0,D62*-1,0)</f>
        <v>0</v>
      </c>
      <c r="E64" s="85">
        <f t="shared" si="20"/>
        <v>396965.38514369726</v>
      </c>
      <c r="F64" s="85">
        <f t="shared" si="20"/>
        <v>0</v>
      </c>
      <c r="G64" s="84">
        <f t="shared" si="20"/>
        <v>0</v>
      </c>
      <c r="H64" s="97">
        <f t="shared" si="18"/>
        <v>411101.08073125017</v>
      </c>
      <c r="I64" s="49"/>
      <c r="J64" s="50"/>
      <c r="K64" s="50"/>
    </row>
  </sheetData>
  <sheetProtection password="CC7B" sheet="1" objects="1" scenarios="1"/>
  <pageMargins left="0.11811023622047245" right="0.11811023622047245" top="0.35433070866141736" bottom="0.35433070866141736" header="0.11811023622047245" footer="0.11811023622047245"/>
  <pageSetup scale="75" orientation="portrait" verticalDpi="0" r:id="rId1"/>
  <headerFooter>
    <oddFooter>&amp;L&amp;9&amp;Z&amp;F  &amp;A  &amp;D  &amp;T&amp;R&amp;P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3:L64"/>
  <sheetViews>
    <sheetView zoomScale="80" zoomScaleNormal="80" workbookViewId="0">
      <selection activeCell="F39" sqref="F39"/>
    </sheetView>
  </sheetViews>
  <sheetFormatPr defaultRowHeight="15" x14ac:dyDescent="0.25"/>
  <cols>
    <col min="1" max="1" width="36" customWidth="1"/>
    <col min="2" max="2" width="11.140625" bestFit="1" customWidth="1"/>
    <col min="3" max="3" width="15.28515625" bestFit="1" customWidth="1"/>
    <col min="4" max="4" width="12.5703125" bestFit="1" customWidth="1"/>
    <col min="5" max="5" width="12.85546875" bestFit="1" customWidth="1"/>
    <col min="6" max="7" width="12.140625" bestFit="1" customWidth="1"/>
    <col min="8" max="8" width="13.28515625" bestFit="1" customWidth="1"/>
    <col min="9" max="9" width="5.28515625" customWidth="1"/>
    <col min="10" max="10" width="11.28515625" style="4" bestFit="1" customWidth="1"/>
    <col min="11" max="16384" width="9.140625" style="4"/>
  </cols>
  <sheetData>
    <row r="3" spans="1:9" ht="5.25" customHeight="1" x14ac:dyDescent="0.25">
      <c r="A3" s="2"/>
      <c r="B3" s="2"/>
      <c r="E3" s="4"/>
    </row>
    <row r="4" spans="1:9" x14ac:dyDescent="0.25">
      <c r="A4" s="2"/>
      <c r="B4" s="2"/>
      <c r="E4" s="4"/>
    </row>
    <row r="5" spans="1:9" x14ac:dyDescent="0.25">
      <c r="A5" s="61" t="s">
        <v>40</v>
      </c>
      <c r="B5" s="61"/>
      <c r="C5" s="62"/>
      <c r="D5" s="62"/>
      <c r="E5" s="62"/>
      <c r="F5" s="62"/>
      <c r="G5" s="62"/>
      <c r="H5" s="62"/>
      <c r="I5" s="62"/>
    </row>
    <row r="6" spans="1:9" x14ac:dyDescent="0.25">
      <c r="A6" s="2" t="s">
        <v>10</v>
      </c>
      <c r="B6" s="2"/>
      <c r="E6" s="99" t="s">
        <v>76</v>
      </c>
      <c r="F6" s="99">
        <v>2016</v>
      </c>
    </row>
    <row r="7" spans="1:9" ht="15.75" thickBot="1" x14ac:dyDescent="0.3">
      <c r="A7" s="2"/>
      <c r="B7" s="2"/>
      <c r="E7" s="4"/>
    </row>
    <row r="8" spans="1:9" ht="15.75" thickBot="1" x14ac:dyDescent="0.3">
      <c r="A8" s="13"/>
      <c r="B8" s="13"/>
      <c r="C8" s="15" t="s">
        <v>17</v>
      </c>
      <c r="D8" s="16" t="s">
        <v>18</v>
      </c>
      <c r="E8" s="4"/>
    </row>
    <row r="9" spans="1:9" x14ac:dyDescent="0.25">
      <c r="A9" s="7" t="s">
        <v>14</v>
      </c>
      <c r="B9" s="52" t="s">
        <v>52</v>
      </c>
      <c r="C9" s="188"/>
      <c r="D9" s="189"/>
    </row>
    <row r="10" spans="1:9" ht="17.25" x14ac:dyDescent="0.25">
      <c r="A10" s="8" t="s">
        <v>12</v>
      </c>
      <c r="B10" s="53" t="s">
        <v>53</v>
      </c>
      <c r="C10" s="55">
        <v>1065465</v>
      </c>
      <c r="D10" s="190"/>
      <c r="E10" s="101"/>
      <c r="G10" s="101"/>
    </row>
    <row r="11" spans="1:9" ht="17.25" x14ac:dyDescent="0.25">
      <c r="A11" s="8" t="s">
        <v>13</v>
      </c>
      <c r="B11" s="53" t="s">
        <v>54</v>
      </c>
      <c r="C11" s="55">
        <v>404848</v>
      </c>
      <c r="D11" s="190"/>
      <c r="E11" s="101"/>
      <c r="F11" s="104"/>
      <c r="G11" s="101"/>
    </row>
    <row r="12" spans="1:9" ht="17.25" x14ac:dyDescent="0.25">
      <c r="A12" s="8" t="s">
        <v>11</v>
      </c>
      <c r="B12" s="53" t="s">
        <v>55</v>
      </c>
      <c r="C12" s="55">
        <v>19052262</v>
      </c>
      <c r="D12" s="190"/>
      <c r="G12" s="101"/>
    </row>
    <row r="13" spans="1:9" ht="17.25" x14ac:dyDescent="0.25">
      <c r="A13" s="8" t="s">
        <v>15</v>
      </c>
      <c r="B13" s="53" t="s">
        <v>56</v>
      </c>
      <c r="C13" s="55">
        <v>4650811</v>
      </c>
      <c r="D13" s="190"/>
      <c r="G13" s="101"/>
    </row>
    <row r="14" spans="1:9" ht="17.25" x14ac:dyDescent="0.25">
      <c r="A14" s="8" t="s">
        <v>16</v>
      </c>
      <c r="B14" s="53" t="s">
        <v>57</v>
      </c>
      <c r="C14" s="56">
        <v>5272515</v>
      </c>
      <c r="D14" s="191"/>
      <c r="F14" s="104"/>
      <c r="G14" s="101"/>
    </row>
    <row r="15" spans="1:9" x14ac:dyDescent="0.25">
      <c r="A15" s="18" t="s">
        <v>116</v>
      </c>
      <c r="B15" s="31" t="s">
        <v>58</v>
      </c>
      <c r="C15" s="57">
        <f>SUM(C10:C14)</f>
        <v>30445901</v>
      </c>
      <c r="D15" s="191"/>
    </row>
    <row r="16" spans="1:9" x14ac:dyDescent="0.25">
      <c r="A16" s="9" t="s">
        <v>101</v>
      </c>
      <c r="B16" s="30" t="s">
        <v>59</v>
      </c>
      <c r="C16" s="201">
        <v>1.3410699999999999E-2</v>
      </c>
      <c r="D16" s="5"/>
    </row>
    <row r="17" spans="1:11" ht="17.25" x14ac:dyDescent="0.25">
      <c r="A17" s="9" t="s">
        <v>99</v>
      </c>
      <c r="B17" s="30" t="s">
        <v>60</v>
      </c>
      <c r="C17" s="186"/>
      <c r="D17" s="5"/>
      <c r="I17" s="4"/>
      <c r="J17" s="42"/>
    </row>
    <row r="18" spans="1:11" ht="15.75" thickBot="1" x14ac:dyDescent="0.3">
      <c r="A18" s="10" t="s">
        <v>100</v>
      </c>
      <c r="B18" s="32" t="s">
        <v>61</v>
      </c>
      <c r="C18" s="202">
        <v>9.6960000000000005E-2</v>
      </c>
      <c r="D18" s="6"/>
      <c r="I18" s="4"/>
    </row>
    <row r="19" spans="1:11" ht="8.25" customHeight="1" thickBot="1" x14ac:dyDescent="0.3">
      <c r="B19" s="17"/>
      <c r="I19" s="4"/>
    </row>
    <row r="20" spans="1:11" ht="15.75" thickBot="1" x14ac:dyDescent="0.3">
      <c r="A20" s="23" t="s">
        <v>3</v>
      </c>
      <c r="B20" s="15"/>
      <c r="C20" s="24" t="s">
        <v>19</v>
      </c>
      <c r="D20" s="16" t="s">
        <v>20</v>
      </c>
      <c r="E20" s="25" t="s">
        <v>4</v>
      </c>
      <c r="F20" s="25" t="s">
        <v>5</v>
      </c>
      <c r="G20" s="16" t="s">
        <v>6</v>
      </c>
      <c r="H20" s="90" t="s">
        <v>71</v>
      </c>
      <c r="I20" s="43"/>
    </row>
    <row r="21" spans="1:11" x14ac:dyDescent="0.25">
      <c r="A21" s="9" t="s">
        <v>21</v>
      </c>
      <c r="B21" s="30" t="s">
        <v>62</v>
      </c>
      <c r="C21" s="33">
        <v>9.9000000000000005E-2</v>
      </c>
      <c r="D21" s="20">
        <v>0.11600000000000001</v>
      </c>
      <c r="E21" s="26">
        <v>8.3000000000000004E-2</v>
      </c>
      <c r="F21" s="26">
        <v>0.128</v>
      </c>
      <c r="G21" s="20">
        <v>0.17499999999999999</v>
      </c>
      <c r="H21" s="91"/>
      <c r="I21" s="44"/>
    </row>
    <row r="22" spans="1:11" x14ac:dyDescent="0.25">
      <c r="A22" s="8" t="s">
        <v>22</v>
      </c>
      <c r="B22" s="53" t="s">
        <v>63</v>
      </c>
      <c r="C22" s="193"/>
      <c r="D22" s="192"/>
      <c r="E22" s="194"/>
      <c r="F22" s="194"/>
      <c r="G22" s="190"/>
      <c r="H22" s="92"/>
      <c r="I22" s="45"/>
    </row>
    <row r="23" spans="1:11" x14ac:dyDescent="0.25">
      <c r="A23" s="9" t="s">
        <v>117</v>
      </c>
      <c r="B23" s="30" t="s">
        <v>64</v>
      </c>
      <c r="C23" s="34">
        <f>C10</f>
        <v>1065465</v>
      </c>
      <c r="D23" s="21">
        <f>C11</f>
        <v>404848</v>
      </c>
      <c r="E23" s="27">
        <f>C12</f>
        <v>19052262</v>
      </c>
      <c r="F23" s="27">
        <f>C13</f>
        <v>4650811</v>
      </c>
      <c r="G23" s="21">
        <f>C14</f>
        <v>5272515</v>
      </c>
      <c r="H23" s="93">
        <f>SUM(C23:G23)</f>
        <v>30445901</v>
      </c>
      <c r="I23" s="46"/>
    </row>
    <row r="24" spans="1:11" ht="9.75" customHeight="1" x14ac:dyDescent="0.25">
      <c r="A24" s="9"/>
      <c r="B24" s="30"/>
      <c r="C24" s="11"/>
      <c r="D24" s="5"/>
      <c r="E24" s="28"/>
      <c r="F24" s="28"/>
      <c r="G24" s="5"/>
      <c r="H24" s="8"/>
      <c r="I24" s="3"/>
    </row>
    <row r="25" spans="1:11" x14ac:dyDescent="0.25">
      <c r="A25" s="9" t="s">
        <v>118</v>
      </c>
      <c r="B25" s="30" t="s">
        <v>65</v>
      </c>
      <c r="C25" s="195">
        <f t="shared" ref="C25:D25" si="0">C23*C21</f>
        <v>105481.035</v>
      </c>
      <c r="D25" s="196">
        <f t="shared" si="0"/>
        <v>46962.368000000002</v>
      </c>
      <c r="E25" s="197">
        <f>E23*E21</f>
        <v>1581337.746</v>
      </c>
      <c r="F25" s="197">
        <f t="shared" ref="F25:G25" si="1">F23*F21</f>
        <v>595303.80799999996</v>
      </c>
      <c r="G25" s="196">
        <f t="shared" si="1"/>
        <v>922690.12499999988</v>
      </c>
      <c r="H25" s="94">
        <f t="shared" ref="H25:H30" si="2">SUM(C25:G25)</f>
        <v>3251775.0819999999</v>
      </c>
      <c r="I25" s="47"/>
    </row>
    <row r="26" spans="1:11" x14ac:dyDescent="0.25">
      <c r="A26" s="9" t="s">
        <v>119</v>
      </c>
      <c r="B26" s="30" t="s">
        <v>66</v>
      </c>
      <c r="C26" s="195">
        <f t="shared" ref="C26:D26" si="3">C23*$C$16</f>
        <v>14288.631475499998</v>
      </c>
      <c r="D26" s="196">
        <f t="shared" si="3"/>
        <v>5429.2950735999993</v>
      </c>
      <c r="E26" s="197">
        <f>E23*$C$16</f>
        <v>255504.17000339998</v>
      </c>
      <c r="F26" s="197">
        <f t="shared" ref="F26:G26" si="4">F23*$C$16</f>
        <v>62370.631077699996</v>
      </c>
      <c r="G26" s="196">
        <f t="shared" si="4"/>
        <v>70708.116910500001</v>
      </c>
      <c r="H26" s="94">
        <f t="shared" si="2"/>
        <v>408300.84454069997</v>
      </c>
      <c r="I26" s="47"/>
    </row>
    <row r="27" spans="1:11" ht="15.75" thickBot="1" x14ac:dyDescent="0.3">
      <c r="A27" s="10" t="s">
        <v>120</v>
      </c>
      <c r="B27" s="32" t="s">
        <v>67</v>
      </c>
      <c r="C27" s="198">
        <f>C23*$C$18</f>
        <v>103307.48640000001</v>
      </c>
      <c r="D27" s="199">
        <f t="shared" ref="D27:G27" si="5">D23*$C$18</f>
        <v>39254.062080000003</v>
      </c>
      <c r="E27" s="200">
        <f t="shared" si="5"/>
        <v>1847307.3235200001</v>
      </c>
      <c r="F27" s="200">
        <f t="shared" si="5"/>
        <v>450942.63456000003</v>
      </c>
      <c r="G27" s="199">
        <f t="shared" si="5"/>
        <v>511223.05440000002</v>
      </c>
      <c r="H27" s="95">
        <f t="shared" si="2"/>
        <v>2952034.5609600004</v>
      </c>
      <c r="I27" s="47"/>
      <c r="J27" s="152"/>
    </row>
    <row r="28" spans="1:11" x14ac:dyDescent="0.25">
      <c r="A28" s="18" t="s">
        <v>121</v>
      </c>
      <c r="B28" s="31" t="s">
        <v>68</v>
      </c>
      <c r="C28" s="129">
        <f>99511-103310</f>
        <v>-3799</v>
      </c>
      <c r="D28" s="130">
        <f>37811-39255</f>
        <v>-1444</v>
      </c>
      <c r="E28" s="131">
        <f>1779414-1847347</f>
        <v>-67933</v>
      </c>
      <c r="F28" s="131">
        <f>434369-450952</f>
        <v>-16583</v>
      </c>
      <c r="G28" s="130">
        <f>492434-511234</f>
        <v>-18800</v>
      </c>
      <c r="H28" s="98">
        <f t="shared" si="2"/>
        <v>-108559</v>
      </c>
      <c r="I28" s="48"/>
      <c r="J28" s="50"/>
    </row>
    <row r="29" spans="1:11" x14ac:dyDescent="0.25">
      <c r="A29" s="66" t="s">
        <v>122</v>
      </c>
      <c r="B29" s="67" t="s">
        <v>69</v>
      </c>
      <c r="C29" s="68">
        <f>IF(C28&gt;0,C28,0)</f>
        <v>0</v>
      </c>
      <c r="D29" s="69">
        <f t="shared" ref="D29:G29" si="6">IF(D28&gt;0,D28,0)</f>
        <v>0</v>
      </c>
      <c r="E29" s="70">
        <f t="shared" si="6"/>
        <v>0</v>
      </c>
      <c r="F29" s="70">
        <f t="shared" si="6"/>
        <v>0</v>
      </c>
      <c r="G29" s="69">
        <f t="shared" si="6"/>
        <v>0</v>
      </c>
      <c r="H29" s="96">
        <f t="shared" si="2"/>
        <v>0</v>
      </c>
      <c r="I29" s="49"/>
      <c r="J29" s="50"/>
      <c r="K29" s="50"/>
    </row>
    <row r="30" spans="1:11" ht="15.75" thickBot="1" x14ac:dyDescent="0.3">
      <c r="A30" s="71" t="s">
        <v>123</v>
      </c>
      <c r="B30" s="72" t="s">
        <v>70</v>
      </c>
      <c r="C30" s="73">
        <f>IF(C28&lt;0,C28*-1,0)</f>
        <v>3799</v>
      </c>
      <c r="D30" s="74">
        <f t="shared" ref="D30:G30" si="7">IF(D28&lt;0,D28*-1,0)</f>
        <v>1444</v>
      </c>
      <c r="E30" s="75">
        <f t="shared" si="7"/>
        <v>67933</v>
      </c>
      <c r="F30" s="75">
        <f t="shared" si="7"/>
        <v>16583</v>
      </c>
      <c r="G30" s="74">
        <f t="shared" si="7"/>
        <v>18800</v>
      </c>
      <c r="H30" s="97">
        <f t="shared" si="2"/>
        <v>108559</v>
      </c>
      <c r="I30" s="49"/>
      <c r="J30" s="50"/>
      <c r="K30" s="50"/>
    </row>
    <row r="31" spans="1:11" x14ac:dyDescent="0.25">
      <c r="B31" s="17"/>
      <c r="C31" s="19"/>
      <c r="D31" s="19"/>
      <c r="E31" s="19"/>
      <c r="F31" s="19"/>
      <c r="G31" s="19"/>
      <c r="I31" s="50"/>
      <c r="J31" s="50"/>
      <c r="K31" s="50"/>
    </row>
    <row r="32" spans="1:11" x14ac:dyDescent="0.25">
      <c r="B32" s="17"/>
      <c r="C32" s="19"/>
      <c r="D32" s="19"/>
      <c r="E32" s="19"/>
      <c r="F32" s="19"/>
      <c r="G32" s="19"/>
      <c r="H32" s="19"/>
      <c r="I32" s="50"/>
      <c r="J32" s="50"/>
      <c r="K32" s="50"/>
    </row>
    <row r="33" spans="1:12" x14ac:dyDescent="0.25">
      <c r="A33" s="65" t="s">
        <v>41</v>
      </c>
      <c r="B33" s="63"/>
      <c r="C33" s="64"/>
      <c r="D33" s="64"/>
      <c r="E33" s="64"/>
      <c r="F33" s="64"/>
      <c r="G33" s="64"/>
      <c r="H33" s="64"/>
      <c r="I33" s="64"/>
      <c r="J33" s="50"/>
      <c r="K33" s="50"/>
    </row>
    <row r="34" spans="1:12" x14ac:dyDescent="0.25">
      <c r="A34" s="2" t="s">
        <v>10</v>
      </c>
      <c r="B34" s="2"/>
      <c r="E34" s="4"/>
      <c r="F34" s="122"/>
    </row>
    <row r="35" spans="1:12" ht="15.75" thickBot="1" x14ac:dyDescent="0.3">
      <c r="B35" s="17"/>
      <c r="C35" s="19"/>
      <c r="D35" s="19"/>
      <c r="E35" s="19"/>
      <c r="F35" s="19"/>
      <c r="G35" s="19"/>
      <c r="H35" s="19"/>
      <c r="I35" s="50"/>
      <c r="J35" s="50"/>
      <c r="K35" s="50"/>
    </row>
    <row r="36" spans="1:12" ht="30.75" thickBot="1" x14ac:dyDescent="0.3">
      <c r="A36" s="13"/>
      <c r="B36" s="13"/>
      <c r="C36" s="15" t="s">
        <v>17</v>
      </c>
      <c r="D36" s="16" t="s">
        <v>18</v>
      </c>
      <c r="E36" s="4"/>
      <c r="G36" s="223" t="s">
        <v>138</v>
      </c>
      <c r="J36" s="42"/>
    </row>
    <row r="37" spans="1:12" x14ac:dyDescent="0.25">
      <c r="A37" s="7" t="s">
        <v>14</v>
      </c>
      <c r="B37" s="52" t="s">
        <v>27</v>
      </c>
      <c r="C37" s="54">
        <v>42506591</v>
      </c>
      <c r="D37" s="14">
        <f>C37/C37</f>
        <v>1</v>
      </c>
    </row>
    <row r="38" spans="1:12" ht="17.25" x14ac:dyDescent="0.25">
      <c r="A38" s="8" t="s">
        <v>124</v>
      </c>
      <c r="B38" s="53" t="s">
        <v>28</v>
      </c>
      <c r="C38" s="55">
        <f>G38*D38</f>
        <v>1003332.8639999999</v>
      </c>
      <c r="D38" s="169">
        <v>0.71899999999999997</v>
      </c>
      <c r="F38" s="101">
        <f>G38/G43</f>
        <v>6.4609373900379061E-2</v>
      </c>
      <c r="G38" s="103">
        <v>1395456</v>
      </c>
    </row>
    <row r="39" spans="1:12" ht="17.25" x14ac:dyDescent="0.25">
      <c r="A39" s="8" t="s">
        <v>125</v>
      </c>
      <c r="B39" s="53" t="s">
        <v>29</v>
      </c>
      <c r="C39" s="55">
        <f>G38*D39</f>
        <v>392123.13600000006</v>
      </c>
      <c r="D39" s="169">
        <v>0.28100000000000003</v>
      </c>
      <c r="F39" s="101"/>
    </row>
    <row r="40" spans="1:12" ht="17.25" x14ac:dyDescent="0.25">
      <c r="A40" s="8" t="s">
        <v>126</v>
      </c>
      <c r="B40" s="53" t="s">
        <v>30</v>
      </c>
      <c r="C40" s="55">
        <f>G40*D40</f>
        <v>13010665.024</v>
      </c>
      <c r="D40" s="169">
        <v>0.64400000000000002</v>
      </c>
      <c r="F40" s="101">
        <f>G40/G43</f>
        <v>0.93539062609962098</v>
      </c>
      <c r="G40" s="103">
        <v>20202896</v>
      </c>
    </row>
    <row r="41" spans="1:12" ht="17.25" x14ac:dyDescent="0.25">
      <c r="A41" s="8" t="s">
        <v>127</v>
      </c>
      <c r="B41" s="53" t="s">
        <v>31</v>
      </c>
      <c r="C41" s="55">
        <f>G40*D41</f>
        <v>3442573.4783999999</v>
      </c>
      <c r="D41" s="169">
        <v>0.1704</v>
      </c>
      <c r="F41" s="101"/>
    </row>
    <row r="42" spans="1:12" ht="17.25" x14ac:dyDescent="0.25">
      <c r="A42" s="8" t="s">
        <v>128</v>
      </c>
      <c r="B42" s="53" t="s">
        <v>32</v>
      </c>
      <c r="C42" s="56">
        <f>G40*D42</f>
        <v>3749657.4975999999</v>
      </c>
      <c r="D42" s="170">
        <v>0.18559999999999999</v>
      </c>
      <c r="F42" s="101"/>
    </row>
    <row r="43" spans="1:12" x14ac:dyDescent="0.25">
      <c r="A43" s="18" t="s">
        <v>129</v>
      </c>
      <c r="B43" s="31" t="s">
        <v>33</v>
      </c>
      <c r="C43" s="57">
        <f>SUM(C38:C42)</f>
        <v>21598352</v>
      </c>
      <c r="D43" s="12">
        <f>C43/C37</f>
        <v>0.50811771755584911</v>
      </c>
      <c r="F43" s="101">
        <f>C43/G43</f>
        <v>1</v>
      </c>
      <c r="G43" s="103">
        <v>21598352</v>
      </c>
      <c r="H43" s="104">
        <f>F38+F40-F43</f>
        <v>0</v>
      </c>
    </row>
    <row r="44" spans="1:12" x14ac:dyDescent="0.25">
      <c r="A44" s="9" t="s">
        <v>2</v>
      </c>
      <c r="B44" s="30" t="s">
        <v>34</v>
      </c>
      <c r="C44" s="58">
        <f>D45/C45</f>
        <v>1.7414805626742465E-2</v>
      </c>
      <c r="D44" s="5"/>
    </row>
    <row r="45" spans="1:12" ht="17.25" x14ac:dyDescent="0.25">
      <c r="A45" s="9" t="s">
        <v>87</v>
      </c>
      <c r="B45" s="30" t="s">
        <v>35</v>
      </c>
      <c r="C45" s="55">
        <v>41395176.923076928</v>
      </c>
      <c r="D45" s="51">
        <v>720888.96</v>
      </c>
      <c r="L45" s="42"/>
    </row>
    <row r="46" spans="1:12" ht="17.25" x14ac:dyDescent="0.25">
      <c r="A46" s="9" t="s">
        <v>38</v>
      </c>
      <c r="B46" s="30" t="s">
        <v>36</v>
      </c>
      <c r="C46" s="59">
        <v>106.1</v>
      </c>
      <c r="D46" s="5"/>
      <c r="I46" s="4"/>
      <c r="J46" s="42"/>
    </row>
    <row r="47" spans="1:12" ht="15.75" thickBot="1" x14ac:dyDescent="0.3">
      <c r="A47" s="10" t="s">
        <v>39</v>
      </c>
      <c r="B47" s="32" t="s">
        <v>37</v>
      </c>
      <c r="C47" s="60">
        <f>C46/1000</f>
        <v>0.1061</v>
      </c>
      <c r="D47" s="6"/>
      <c r="H47" s="4"/>
      <c r="I47" s="4"/>
    </row>
    <row r="48" spans="1:12" ht="15.75" thickBot="1" x14ac:dyDescent="0.3">
      <c r="B48" s="17"/>
      <c r="H48" s="4"/>
      <c r="I48" s="4"/>
    </row>
    <row r="49" spans="1:11" ht="15.75" thickBot="1" x14ac:dyDescent="0.3">
      <c r="A49" s="23" t="s">
        <v>137</v>
      </c>
      <c r="B49" s="15"/>
      <c r="C49" s="24" t="s">
        <v>19</v>
      </c>
      <c r="D49" s="16" t="s">
        <v>20</v>
      </c>
      <c r="E49" s="25" t="s">
        <v>4</v>
      </c>
      <c r="F49" s="25" t="s">
        <v>5</v>
      </c>
      <c r="G49" s="16" t="s">
        <v>6</v>
      </c>
      <c r="H49" s="90" t="s">
        <v>71</v>
      </c>
      <c r="I49" s="43"/>
    </row>
    <row r="50" spans="1:11" x14ac:dyDescent="0.25">
      <c r="A50" s="9" t="s">
        <v>21</v>
      </c>
      <c r="B50" s="30" t="s">
        <v>43</v>
      </c>
      <c r="C50" s="118">
        <f>C21</f>
        <v>9.9000000000000005E-2</v>
      </c>
      <c r="D50" s="119">
        <f t="shared" ref="D50:G50" si="8">D21</f>
        <v>0.11600000000000001</v>
      </c>
      <c r="E50" s="120">
        <f t="shared" si="8"/>
        <v>8.3000000000000004E-2</v>
      </c>
      <c r="F50" s="120">
        <f t="shared" si="8"/>
        <v>0.128</v>
      </c>
      <c r="G50" s="119">
        <f t="shared" si="8"/>
        <v>0.17499999999999999</v>
      </c>
      <c r="H50" s="91"/>
      <c r="I50" s="44"/>
    </row>
    <row r="51" spans="1:11" x14ac:dyDescent="0.25">
      <c r="A51" s="8" t="s">
        <v>22</v>
      </c>
      <c r="B51" s="53" t="s">
        <v>44</v>
      </c>
      <c r="C51" s="193"/>
      <c r="D51" s="192"/>
      <c r="E51" s="194"/>
      <c r="F51" s="194"/>
      <c r="G51" s="190"/>
      <c r="H51" s="92"/>
      <c r="I51" s="45"/>
    </row>
    <row r="52" spans="1:11" x14ac:dyDescent="0.25">
      <c r="A52" s="9" t="s">
        <v>130</v>
      </c>
      <c r="B52" s="30" t="s">
        <v>45</v>
      </c>
      <c r="C52" s="34">
        <f>C38</f>
        <v>1003332.8639999999</v>
      </c>
      <c r="D52" s="21">
        <f>C39</f>
        <v>392123.13600000006</v>
      </c>
      <c r="E52" s="27">
        <f>C40</f>
        <v>13010665.024</v>
      </c>
      <c r="F52" s="27">
        <f>C41</f>
        <v>3442573.4783999999</v>
      </c>
      <c r="G52" s="21">
        <f>C42</f>
        <v>3749657.4975999999</v>
      </c>
      <c r="H52" s="93">
        <f>SUM(C52:G52)</f>
        <v>21598352</v>
      </c>
      <c r="I52" s="46"/>
    </row>
    <row r="53" spans="1:11" x14ac:dyDescent="0.25">
      <c r="A53" s="9"/>
      <c r="B53" s="30"/>
      <c r="C53" s="11"/>
      <c r="D53" s="5"/>
      <c r="E53" s="28"/>
      <c r="F53" s="28"/>
      <c r="G53" s="5"/>
      <c r="H53" s="8"/>
      <c r="I53" s="3"/>
    </row>
    <row r="54" spans="1:11" x14ac:dyDescent="0.25">
      <c r="A54" s="9" t="s">
        <v>131</v>
      </c>
      <c r="B54" s="30" t="s">
        <v>46</v>
      </c>
      <c r="C54" s="35">
        <f>C52*C50</f>
        <v>99329.953536000001</v>
      </c>
      <c r="D54" s="22">
        <f t="shared" ref="D54" si="9">D52*D50</f>
        <v>45486.283776000011</v>
      </c>
      <c r="E54" s="29">
        <f>E52*E50</f>
        <v>1079885.1969920001</v>
      </c>
      <c r="F54" s="29">
        <f t="shared" ref="F54:G54" si="10">F52*F50</f>
        <v>440649.40523520001</v>
      </c>
      <c r="G54" s="22">
        <f t="shared" si="10"/>
        <v>656190.06207999995</v>
      </c>
      <c r="H54" s="94">
        <f t="shared" ref="H54:H59" si="11">SUM(C54:G54)</f>
        <v>2321540.9016192001</v>
      </c>
      <c r="I54" s="47"/>
    </row>
    <row r="55" spans="1:11" x14ac:dyDescent="0.25">
      <c r="A55" s="9" t="s">
        <v>132</v>
      </c>
      <c r="B55" s="30" t="s">
        <v>47</v>
      </c>
      <c r="C55" s="35">
        <f>C52*$C$44</f>
        <v>17472.846805482834</v>
      </c>
      <c r="D55" s="22">
        <f t="shared" ref="D55:G55" si="12">D52*$C$44</f>
        <v>6828.7481951887021</v>
      </c>
      <c r="E55" s="29">
        <f t="shared" si="12"/>
        <v>226578.20246761659</v>
      </c>
      <c r="F55" s="29">
        <f t="shared" si="12"/>
        <v>59951.747982114699</v>
      </c>
      <c r="G55" s="22">
        <f t="shared" si="12"/>
        <v>65299.556487561553</v>
      </c>
      <c r="H55" s="94">
        <f t="shared" si="11"/>
        <v>376131.10193796438</v>
      </c>
      <c r="I55" s="47"/>
    </row>
    <row r="56" spans="1:11" ht="15.75" thickBot="1" x14ac:dyDescent="0.3">
      <c r="A56" s="10" t="s">
        <v>133</v>
      </c>
      <c r="B56" s="32" t="s">
        <v>48</v>
      </c>
      <c r="C56" s="39">
        <f>C52*$C$47</f>
        <v>106453.6168704</v>
      </c>
      <c r="D56" s="40">
        <f t="shared" ref="D56:G56" si="13">D52*$C$47</f>
        <v>41604.264729600007</v>
      </c>
      <c r="E56" s="41">
        <f t="shared" si="13"/>
        <v>1380431.5590464</v>
      </c>
      <c r="F56" s="41">
        <f t="shared" si="13"/>
        <v>365257.04605824</v>
      </c>
      <c r="G56" s="40">
        <f t="shared" si="13"/>
        <v>397838.66049535997</v>
      </c>
      <c r="H56" s="95">
        <f t="shared" si="11"/>
        <v>2291585.1472</v>
      </c>
      <c r="I56" s="47"/>
    </row>
    <row r="57" spans="1:11" x14ac:dyDescent="0.25">
      <c r="A57" s="18" t="s">
        <v>25</v>
      </c>
      <c r="B57" s="31" t="s">
        <v>49</v>
      </c>
      <c r="C57" s="36">
        <f>C54-C55-C56</f>
        <v>-24596.510139882826</v>
      </c>
      <c r="D57" s="37">
        <f t="shared" ref="D57:G57" si="14">D54-D55-D56</f>
        <v>-2946.7291487886978</v>
      </c>
      <c r="E57" s="38">
        <f t="shared" si="14"/>
        <v>-527124.56452201656</v>
      </c>
      <c r="F57" s="38">
        <f t="shared" si="14"/>
        <v>15440.611194845289</v>
      </c>
      <c r="G57" s="37">
        <f t="shared" si="14"/>
        <v>193051.84509707842</v>
      </c>
      <c r="H57" s="98">
        <f t="shared" si="11"/>
        <v>-346175.34751876438</v>
      </c>
      <c r="I57" s="48"/>
    </row>
    <row r="58" spans="1:11" x14ac:dyDescent="0.25">
      <c r="A58" s="76" t="s">
        <v>23</v>
      </c>
      <c r="B58" s="77" t="s">
        <v>50</v>
      </c>
      <c r="C58" s="78">
        <f>IF(C57&gt;0,C57,0)</f>
        <v>0</v>
      </c>
      <c r="D58" s="79">
        <f t="shared" ref="D58:G58" si="15">IF(D57&gt;0,D57,0)</f>
        <v>0</v>
      </c>
      <c r="E58" s="80">
        <f t="shared" si="15"/>
        <v>0</v>
      </c>
      <c r="F58" s="80">
        <f t="shared" si="15"/>
        <v>15440.611194845289</v>
      </c>
      <c r="G58" s="79">
        <f t="shared" si="15"/>
        <v>193051.84509707842</v>
      </c>
      <c r="H58" s="96">
        <f t="shared" si="11"/>
        <v>208492.45629192371</v>
      </c>
      <c r="I58" s="49"/>
      <c r="J58" s="50"/>
      <c r="K58" s="50"/>
    </row>
    <row r="59" spans="1:11" ht="15.75" thickBot="1" x14ac:dyDescent="0.3">
      <c r="A59" s="81" t="s">
        <v>24</v>
      </c>
      <c r="B59" s="82" t="s">
        <v>51</v>
      </c>
      <c r="C59" s="83">
        <f>IF(C57&lt;0,C57*-1,0)</f>
        <v>24596.510139882826</v>
      </c>
      <c r="D59" s="84">
        <f t="shared" ref="D59:G59" si="16">IF(D57&lt;0,D57*-1,0)</f>
        <v>2946.7291487886978</v>
      </c>
      <c r="E59" s="85">
        <f t="shared" si="16"/>
        <v>527124.56452201656</v>
      </c>
      <c r="F59" s="85">
        <f t="shared" si="16"/>
        <v>0</v>
      </c>
      <c r="G59" s="84">
        <f t="shared" si="16"/>
        <v>0</v>
      </c>
      <c r="H59" s="97">
        <f t="shared" si="11"/>
        <v>554667.80381068808</v>
      </c>
      <c r="I59" s="49"/>
      <c r="J59" s="50"/>
      <c r="K59" s="50"/>
    </row>
    <row r="60" spans="1:11" x14ac:dyDescent="0.25">
      <c r="B60" s="17"/>
      <c r="C60" s="19"/>
      <c r="D60" s="19"/>
      <c r="E60" s="19"/>
      <c r="F60" s="19"/>
      <c r="G60" s="19"/>
      <c r="H60" s="50"/>
      <c r="I60" s="50"/>
      <c r="J60" s="50"/>
      <c r="K60" s="50"/>
    </row>
    <row r="61" spans="1:11" ht="15.75" thickBot="1" x14ac:dyDescent="0.3">
      <c r="A61" s="86" t="s">
        <v>42</v>
      </c>
      <c r="H61" s="4"/>
      <c r="I61" s="4"/>
    </row>
    <row r="62" spans="1:11" x14ac:dyDescent="0.25">
      <c r="A62" s="7" t="s">
        <v>134</v>
      </c>
      <c r="B62" s="52"/>
      <c r="C62" s="87">
        <f>C57-C28</f>
        <v>-20797.510139882826</v>
      </c>
      <c r="D62" s="88">
        <f t="shared" ref="D62:G62" si="17">D57-D28</f>
        <v>-1502.7291487886978</v>
      </c>
      <c r="E62" s="89">
        <f t="shared" si="17"/>
        <v>-459191.56452201656</v>
      </c>
      <c r="F62" s="89">
        <f t="shared" si="17"/>
        <v>32023.611194845289</v>
      </c>
      <c r="G62" s="88">
        <f t="shared" si="17"/>
        <v>211851.84509707842</v>
      </c>
      <c r="H62" s="98">
        <f t="shared" ref="H62:H64" si="18">SUM(C62:G62)</f>
        <v>-237616.34751876438</v>
      </c>
      <c r="I62" s="48"/>
    </row>
    <row r="63" spans="1:11" x14ac:dyDescent="0.25">
      <c r="A63" s="76" t="s">
        <v>135</v>
      </c>
      <c r="B63" s="77" t="s">
        <v>72</v>
      </c>
      <c r="C63" s="78">
        <f>IF(C62&gt;0,C62,0)</f>
        <v>0</v>
      </c>
      <c r="D63" s="79">
        <f t="shared" ref="D63:G63" si="19">IF(D62&gt;0,D62,0)</f>
        <v>0</v>
      </c>
      <c r="E63" s="80">
        <f t="shared" si="19"/>
        <v>0</v>
      </c>
      <c r="F63" s="80">
        <f t="shared" si="19"/>
        <v>32023.611194845289</v>
      </c>
      <c r="G63" s="79">
        <f t="shared" si="19"/>
        <v>211851.84509707842</v>
      </c>
      <c r="H63" s="96">
        <f t="shared" si="18"/>
        <v>243875.45629192371</v>
      </c>
      <c r="I63" s="49"/>
      <c r="J63" s="50"/>
      <c r="K63" s="50"/>
    </row>
    <row r="64" spans="1:11" ht="15.75" thickBot="1" x14ac:dyDescent="0.3">
      <c r="A64" s="81" t="s">
        <v>136</v>
      </c>
      <c r="B64" s="82" t="s">
        <v>73</v>
      </c>
      <c r="C64" s="83">
        <f>IF(C62&lt;0,C62*-1,0)</f>
        <v>20797.510139882826</v>
      </c>
      <c r="D64" s="84">
        <f t="shared" ref="D64:G64" si="20">IF(D62&lt;0,D62*-1,0)</f>
        <v>1502.7291487886978</v>
      </c>
      <c r="E64" s="85">
        <f t="shared" si="20"/>
        <v>459191.56452201656</v>
      </c>
      <c r="F64" s="85">
        <f t="shared" si="20"/>
        <v>0</v>
      </c>
      <c r="G64" s="84">
        <f t="shared" si="20"/>
        <v>0</v>
      </c>
      <c r="H64" s="97">
        <f t="shared" si="18"/>
        <v>481491.80381068808</v>
      </c>
      <c r="I64" s="49"/>
      <c r="J64" s="50"/>
      <c r="K64" s="50"/>
    </row>
  </sheetData>
  <sheetProtection password="CC7B" sheet="1" objects="1" scenarios="1"/>
  <pageMargins left="0.11811023622047245" right="0.11811023622047245" top="0.35433070866141736" bottom="0.35433070866141736" header="0.11811023622047245" footer="0.11811023622047245"/>
  <pageSetup scale="75" orientation="portrait" verticalDpi="0" r:id="rId1"/>
  <headerFooter>
    <oddFooter>&amp;L&amp;9&amp;Z&amp;F  &amp;A  &amp;D  &amp;T&amp;R&amp;P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3:L64"/>
  <sheetViews>
    <sheetView zoomScale="80" zoomScaleNormal="80" workbookViewId="0">
      <selection activeCell="K41" sqref="K41"/>
    </sheetView>
  </sheetViews>
  <sheetFormatPr defaultRowHeight="15" x14ac:dyDescent="0.25"/>
  <cols>
    <col min="1" max="1" width="36" customWidth="1"/>
    <col min="2" max="2" width="11.140625" bestFit="1" customWidth="1"/>
    <col min="3" max="3" width="15.28515625" bestFit="1" customWidth="1"/>
    <col min="4" max="4" width="12.5703125" bestFit="1" customWidth="1"/>
    <col min="5" max="5" width="12.85546875" bestFit="1" customWidth="1"/>
    <col min="6" max="7" width="12.140625" bestFit="1" customWidth="1"/>
    <col min="8" max="8" width="13.28515625" bestFit="1" customWidth="1"/>
    <col min="9" max="9" width="5.28515625" customWidth="1"/>
    <col min="10" max="16384" width="9.140625" style="4"/>
  </cols>
  <sheetData>
    <row r="3" spans="1:9" ht="5.25" customHeight="1" x14ac:dyDescent="0.25">
      <c r="A3" s="2"/>
      <c r="B3" s="2"/>
      <c r="E3" s="4"/>
    </row>
    <row r="4" spans="1:9" x14ac:dyDescent="0.25">
      <c r="A4" s="2"/>
      <c r="B4" s="2"/>
      <c r="E4" s="4"/>
    </row>
    <row r="5" spans="1:9" x14ac:dyDescent="0.25">
      <c r="A5" s="61" t="s">
        <v>40</v>
      </c>
      <c r="B5" s="61"/>
      <c r="C5" s="62"/>
      <c r="D5" s="62"/>
      <c r="E5" s="62"/>
      <c r="F5" s="62"/>
      <c r="G5" s="62"/>
      <c r="H5" s="62"/>
      <c r="I5" s="62"/>
    </row>
    <row r="6" spans="1:9" x14ac:dyDescent="0.25">
      <c r="A6" s="2" t="s">
        <v>10</v>
      </c>
      <c r="B6" s="2"/>
      <c r="E6" s="99" t="s">
        <v>77</v>
      </c>
      <c r="F6" s="99">
        <v>2016</v>
      </c>
    </row>
    <row r="7" spans="1:9" ht="15.75" thickBot="1" x14ac:dyDescent="0.3">
      <c r="A7" s="2"/>
      <c r="B7" s="2"/>
      <c r="E7" s="4"/>
    </row>
    <row r="8" spans="1:9" ht="15.75" thickBot="1" x14ac:dyDescent="0.3">
      <c r="A8" s="13"/>
      <c r="B8" s="13"/>
      <c r="C8" s="15" t="s">
        <v>17</v>
      </c>
      <c r="D8" s="16" t="s">
        <v>18</v>
      </c>
      <c r="E8" s="4"/>
    </row>
    <row r="9" spans="1:9" x14ac:dyDescent="0.25">
      <c r="A9" s="7" t="s">
        <v>14</v>
      </c>
      <c r="B9" s="52" t="s">
        <v>52</v>
      </c>
      <c r="C9" s="188"/>
      <c r="D9" s="189"/>
    </row>
    <row r="10" spans="1:9" ht="17.25" x14ac:dyDescent="0.25">
      <c r="A10" s="8" t="s">
        <v>12</v>
      </c>
      <c r="B10" s="53" t="s">
        <v>53</v>
      </c>
      <c r="C10" s="55">
        <v>1041701</v>
      </c>
      <c r="D10" s="190"/>
      <c r="E10" s="101"/>
      <c r="G10" s="101"/>
    </row>
    <row r="11" spans="1:9" ht="17.25" x14ac:dyDescent="0.25">
      <c r="A11" s="8" t="s">
        <v>13</v>
      </c>
      <c r="B11" s="53" t="s">
        <v>54</v>
      </c>
      <c r="C11" s="55">
        <v>297783</v>
      </c>
      <c r="D11" s="190"/>
      <c r="E11" s="101"/>
      <c r="F11" s="104"/>
      <c r="G11" s="101"/>
    </row>
    <row r="12" spans="1:9" ht="17.25" x14ac:dyDescent="0.25">
      <c r="A12" s="8" t="s">
        <v>11</v>
      </c>
      <c r="B12" s="53" t="s">
        <v>55</v>
      </c>
      <c r="C12" s="55">
        <v>14401325</v>
      </c>
      <c r="D12" s="190"/>
      <c r="G12" s="101"/>
    </row>
    <row r="13" spans="1:9" ht="17.25" x14ac:dyDescent="0.25">
      <c r="A13" s="8" t="s">
        <v>15</v>
      </c>
      <c r="B13" s="53" t="s">
        <v>56</v>
      </c>
      <c r="C13" s="55">
        <v>3542191</v>
      </c>
      <c r="D13" s="190"/>
      <c r="G13" s="101"/>
    </row>
    <row r="14" spans="1:9" ht="17.25" x14ac:dyDescent="0.25">
      <c r="A14" s="8" t="s">
        <v>16</v>
      </c>
      <c r="B14" s="53" t="s">
        <v>57</v>
      </c>
      <c r="C14" s="56">
        <v>3880158</v>
      </c>
      <c r="D14" s="191"/>
      <c r="F14" s="104"/>
      <c r="G14" s="101"/>
    </row>
    <row r="15" spans="1:9" x14ac:dyDescent="0.25">
      <c r="A15" s="18" t="s">
        <v>116</v>
      </c>
      <c r="B15" s="31" t="s">
        <v>58</v>
      </c>
      <c r="C15" s="57">
        <f>SUM(C10:C14)</f>
        <v>23163158</v>
      </c>
      <c r="D15" s="191"/>
    </row>
    <row r="16" spans="1:9" x14ac:dyDescent="0.25">
      <c r="A16" s="9" t="s">
        <v>101</v>
      </c>
      <c r="B16" s="30" t="s">
        <v>59</v>
      </c>
      <c r="C16" s="201">
        <v>6.1320000000000003E-3</v>
      </c>
      <c r="D16" s="5"/>
    </row>
    <row r="17" spans="1:11" ht="17.25" x14ac:dyDescent="0.25">
      <c r="A17" s="9" t="s">
        <v>99</v>
      </c>
      <c r="B17" s="30" t="s">
        <v>60</v>
      </c>
      <c r="C17" s="186"/>
      <c r="D17" s="5"/>
      <c r="I17" s="4"/>
      <c r="J17" s="42"/>
    </row>
    <row r="18" spans="1:11" ht="15.75" thickBot="1" x14ac:dyDescent="0.3">
      <c r="A18" s="10" t="s">
        <v>100</v>
      </c>
      <c r="B18" s="32" t="s">
        <v>61</v>
      </c>
      <c r="C18" s="202">
        <v>9.6250000000000002E-2</v>
      </c>
      <c r="D18" s="6"/>
      <c r="I18" s="4"/>
    </row>
    <row r="19" spans="1:11" ht="8.25" customHeight="1" thickBot="1" x14ac:dyDescent="0.3">
      <c r="B19" s="17"/>
      <c r="I19" s="4"/>
    </row>
    <row r="20" spans="1:11" ht="15.75" thickBot="1" x14ac:dyDescent="0.3">
      <c r="A20" s="23" t="s">
        <v>3</v>
      </c>
      <c r="B20" s="15"/>
      <c r="C20" s="24" t="s">
        <v>19</v>
      </c>
      <c r="D20" s="16" t="s">
        <v>20</v>
      </c>
      <c r="E20" s="25" t="s">
        <v>4</v>
      </c>
      <c r="F20" s="25" t="s">
        <v>5</v>
      </c>
      <c r="G20" s="16" t="s">
        <v>6</v>
      </c>
      <c r="H20" s="90" t="s">
        <v>71</v>
      </c>
      <c r="I20" s="43"/>
    </row>
    <row r="21" spans="1:11" x14ac:dyDescent="0.25">
      <c r="A21" s="9" t="s">
        <v>21</v>
      </c>
      <c r="B21" s="30" t="s">
        <v>62</v>
      </c>
      <c r="C21" s="33">
        <v>9.9000000000000005E-2</v>
      </c>
      <c r="D21" s="20">
        <v>0.11600000000000001</v>
      </c>
      <c r="E21" s="26">
        <v>8.3000000000000004E-2</v>
      </c>
      <c r="F21" s="26">
        <v>0.128</v>
      </c>
      <c r="G21" s="20">
        <v>0.17499999999999999</v>
      </c>
      <c r="H21" s="91"/>
      <c r="I21" s="44"/>
    </row>
    <row r="22" spans="1:11" x14ac:dyDescent="0.25">
      <c r="A22" s="8" t="s">
        <v>22</v>
      </c>
      <c r="B22" s="53" t="s">
        <v>63</v>
      </c>
      <c r="C22" s="193"/>
      <c r="D22" s="192"/>
      <c r="E22" s="194"/>
      <c r="F22" s="194"/>
      <c r="G22" s="190"/>
      <c r="H22" s="92"/>
      <c r="I22" s="45"/>
    </row>
    <row r="23" spans="1:11" x14ac:dyDescent="0.25">
      <c r="A23" s="9" t="s">
        <v>117</v>
      </c>
      <c r="B23" s="30" t="s">
        <v>64</v>
      </c>
      <c r="C23" s="34">
        <f>C10</f>
        <v>1041701</v>
      </c>
      <c r="D23" s="21">
        <f>C11</f>
        <v>297783</v>
      </c>
      <c r="E23" s="27">
        <f>C12</f>
        <v>14401325</v>
      </c>
      <c r="F23" s="27">
        <f>C13</f>
        <v>3542191</v>
      </c>
      <c r="G23" s="21">
        <f>C14</f>
        <v>3880158</v>
      </c>
      <c r="H23" s="93">
        <f>SUM(C23:G23)</f>
        <v>23163158</v>
      </c>
      <c r="I23" s="46"/>
    </row>
    <row r="24" spans="1:11" ht="9.75" customHeight="1" x14ac:dyDescent="0.25">
      <c r="A24" s="9"/>
      <c r="B24" s="30"/>
      <c r="C24" s="11"/>
      <c r="D24" s="5"/>
      <c r="E24" s="28"/>
      <c r="F24" s="28"/>
      <c r="G24" s="5"/>
      <c r="H24" s="8"/>
      <c r="I24" s="3"/>
    </row>
    <row r="25" spans="1:11" x14ac:dyDescent="0.25">
      <c r="A25" s="9" t="s">
        <v>118</v>
      </c>
      <c r="B25" s="30" t="s">
        <v>65</v>
      </c>
      <c r="C25" s="195">
        <f t="shared" ref="C25:D25" si="0">C23*C21</f>
        <v>103128.399</v>
      </c>
      <c r="D25" s="196">
        <f t="shared" si="0"/>
        <v>34542.828000000001</v>
      </c>
      <c r="E25" s="197">
        <f>E23*E21</f>
        <v>1195309.9750000001</v>
      </c>
      <c r="F25" s="197">
        <f t="shared" ref="F25:G25" si="1">F23*F21</f>
        <v>453400.44800000003</v>
      </c>
      <c r="G25" s="196">
        <f t="shared" si="1"/>
        <v>679027.64999999991</v>
      </c>
      <c r="H25" s="94">
        <f t="shared" ref="H25:H30" si="2">SUM(C25:G25)</f>
        <v>2465409.2999999998</v>
      </c>
      <c r="I25" s="47"/>
    </row>
    <row r="26" spans="1:11" x14ac:dyDescent="0.25">
      <c r="A26" s="9" t="s">
        <v>119</v>
      </c>
      <c r="B26" s="30" t="s">
        <v>66</v>
      </c>
      <c r="C26" s="195">
        <f t="shared" ref="C26:D26" si="3">C23*$C$16</f>
        <v>6387.7105320000001</v>
      </c>
      <c r="D26" s="196">
        <f t="shared" si="3"/>
        <v>1826.0053560000001</v>
      </c>
      <c r="E26" s="197">
        <f>E23*$C$16</f>
        <v>88308.924899999998</v>
      </c>
      <c r="F26" s="197">
        <f t="shared" ref="F26:G26" si="4">F23*$C$16</f>
        <v>21720.715212000003</v>
      </c>
      <c r="G26" s="196">
        <f t="shared" si="4"/>
        <v>23793.128855999999</v>
      </c>
      <c r="H26" s="94">
        <f t="shared" si="2"/>
        <v>142036.484856</v>
      </c>
      <c r="I26" s="47"/>
    </row>
    <row r="27" spans="1:11" ht="15.75" thickBot="1" x14ac:dyDescent="0.3">
      <c r="A27" s="10" t="s">
        <v>120</v>
      </c>
      <c r="B27" s="32" t="s">
        <v>67</v>
      </c>
      <c r="C27" s="198">
        <f>C23*$C$18</f>
        <v>100263.72125</v>
      </c>
      <c r="D27" s="199">
        <f t="shared" ref="D27:G27" si="5">D23*$C$18</f>
        <v>28661.61375</v>
      </c>
      <c r="E27" s="200">
        <f t="shared" si="5"/>
        <v>1386127.53125</v>
      </c>
      <c r="F27" s="200">
        <f t="shared" si="5"/>
        <v>340935.88374999998</v>
      </c>
      <c r="G27" s="199">
        <f t="shared" si="5"/>
        <v>373465.20750000002</v>
      </c>
      <c r="H27" s="95">
        <f t="shared" si="2"/>
        <v>2229453.9575</v>
      </c>
      <c r="I27" s="47"/>
      <c r="J27" s="152"/>
    </row>
    <row r="28" spans="1:11" x14ac:dyDescent="0.25">
      <c r="A28" s="18" t="s">
        <v>121</v>
      </c>
      <c r="B28" s="31" t="s">
        <v>68</v>
      </c>
      <c r="C28" s="129">
        <f>104485-100262+1</f>
        <v>4224</v>
      </c>
      <c r="D28" s="130">
        <f>29868-28661</f>
        <v>1207</v>
      </c>
      <c r="E28" s="131">
        <f>1444492-1386099</f>
        <v>58393</v>
      </c>
      <c r="F28" s="131">
        <f>355291-340929</f>
        <v>14362</v>
      </c>
      <c r="G28" s="130">
        <f>389191-373458</f>
        <v>15733</v>
      </c>
      <c r="H28" s="98">
        <f t="shared" si="2"/>
        <v>93919</v>
      </c>
      <c r="I28" s="48"/>
      <c r="J28" s="50"/>
    </row>
    <row r="29" spans="1:11" x14ac:dyDescent="0.25">
      <c r="A29" s="66" t="s">
        <v>122</v>
      </c>
      <c r="B29" s="67" t="s">
        <v>69</v>
      </c>
      <c r="C29" s="68">
        <f>IF(C28&gt;0,C28,0)</f>
        <v>4224</v>
      </c>
      <c r="D29" s="69">
        <f t="shared" ref="D29:G29" si="6">IF(D28&gt;0,D28,0)</f>
        <v>1207</v>
      </c>
      <c r="E29" s="70">
        <f t="shared" si="6"/>
        <v>58393</v>
      </c>
      <c r="F29" s="70">
        <f t="shared" si="6"/>
        <v>14362</v>
      </c>
      <c r="G29" s="69">
        <f t="shared" si="6"/>
        <v>15733</v>
      </c>
      <c r="H29" s="96">
        <f t="shared" si="2"/>
        <v>93919</v>
      </c>
      <c r="I29" s="49"/>
      <c r="J29" s="50"/>
      <c r="K29" s="50"/>
    </row>
    <row r="30" spans="1:11" ht="15.75" thickBot="1" x14ac:dyDescent="0.3">
      <c r="A30" s="71" t="s">
        <v>123</v>
      </c>
      <c r="B30" s="72" t="s">
        <v>70</v>
      </c>
      <c r="C30" s="73">
        <f>IF(C28&lt;0,C28*-1,0)</f>
        <v>0</v>
      </c>
      <c r="D30" s="74">
        <f t="shared" ref="D30:G30" si="7">IF(D28&lt;0,D28*-1,0)</f>
        <v>0</v>
      </c>
      <c r="E30" s="75">
        <f t="shared" si="7"/>
        <v>0</v>
      </c>
      <c r="F30" s="75">
        <f t="shared" si="7"/>
        <v>0</v>
      </c>
      <c r="G30" s="74">
        <f t="shared" si="7"/>
        <v>0</v>
      </c>
      <c r="H30" s="97">
        <f t="shared" si="2"/>
        <v>0</v>
      </c>
      <c r="I30" s="49"/>
      <c r="J30" s="50"/>
      <c r="K30" s="50"/>
    </row>
    <row r="31" spans="1:11" x14ac:dyDescent="0.25">
      <c r="B31" s="17"/>
      <c r="C31" s="19"/>
      <c r="D31" s="19"/>
      <c r="E31" s="19"/>
      <c r="F31" s="19"/>
      <c r="G31" s="19"/>
      <c r="I31" s="50"/>
      <c r="J31" s="50"/>
      <c r="K31" s="50"/>
    </row>
    <row r="32" spans="1:11" x14ac:dyDescent="0.25">
      <c r="B32" s="17"/>
      <c r="C32" s="19"/>
      <c r="D32" s="19"/>
      <c r="E32" s="19"/>
      <c r="F32" s="19"/>
      <c r="G32" s="19"/>
      <c r="H32" s="19"/>
      <c r="I32" s="50"/>
      <c r="J32" s="50"/>
      <c r="K32" s="50"/>
    </row>
    <row r="33" spans="1:12" x14ac:dyDescent="0.25">
      <c r="A33" s="65" t="s">
        <v>41</v>
      </c>
      <c r="B33" s="63"/>
      <c r="C33" s="64"/>
      <c r="D33" s="64"/>
      <c r="E33" s="64"/>
      <c r="F33" s="64"/>
      <c r="G33" s="64"/>
      <c r="H33" s="64"/>
      <c r="I33" s="64"/>
      <c r="J33" s="50"/>
      <c r="K33" s="50"/>
    </row>
    <row r="34" spans="1:12" x14ac:dyDescent="0.25">
      <c r="A34" s="2" t="s">
        <v>10</v>
      </c>
      <c r="B34" s="2"/>
      <c r="E34" s="4"/>
      <c r="F34" s="122"/>
    </row>
    <row r="35" spans="1:12" ht="15.75" thickBot="1" x14ac:dyDescent="0.3">
      <c r="B35" s="17"/>
      <c r="C35" s="19"/>
      <c r="D35" s="19"/>
      <c r="E35" s="19"/>
      <c r="F35" s="19"/>
      <c r="G35" s="19"/>
      <c r="H35" s="19"/>
      <c r="I35" s="50"/>
      <c r="J35" s="50"/>
      <c r="K35" s="50"/>
    </row>
    <row r="36" spans="1:12" ht="30.75" thickBot="1" x14ac:dyDescent="0.3">
      <c r="A36" s="13"/>
      <c r="B36" s="13"/>
      <c r="C36" s="15" t="s">
        <v>17</v>
      </c>
      <c r="D36" s="16" t="s">
        <v>18</v>
      </c>
      <c r="E36" s="4"/>
      <c r="G36" s="222" t="s">
        <v>138</v>
      </c>
      <c r="J36" s="42"/>
    </row>
    <row r="37" spans="1:12" x14ac:dyDescent="0.25">
      <c r="A37" s="7" t="s">
        <v>14</v>
      </c>
      <c r="B37" s="52" t="s">
        <v>27</v>
      </c>
      <c r="C37" s="54">
        <v>39991900</v>
      </c>
      <c r="D37" s="14">
        <f>C37/C37</f>
        <v>1</v>
      </c>
    </row>
    <row r="38" spans="1:12" ht="17.25" x14ac:dyDescent="0.25">
      <c r="A38" s="8" t="s">
        <v>124</v>
      </c>
      <c r="B38" s="53" t="s">
        <v>28</v>
      </c>
      <c r="C38" s="55">
        <f>G38*D38</f>
        <v>887260.38</v>
      </c>
      <c r="D38" s="169">
        <v>0.71899999999999997</v>
      </c>
      <c r="F38" s="101">
        <f>G38/G43</f>
        <v>6.4671748504974827E-2</v>
      </c>
      <c r="G38" s="103">
        <v>1234020</v>
      </c>
    </row>
    <row r="39" spans="1:12" ht="17.25" x14ac:dyDescent="0.25">
      <c r="A39" s="8" t="s">
        <v>125</v>
      </c>
      <c r="B39" s="53" t="s">
        <v>29</v>
      </c>
      <c r="C39" s="55">
        <f>G38*D39</f>
        <v>346759.62000000005</v>
      </c>
      <c r="D39" s="169">
        <v>0.28100000000000003</v>
      </c>
      <c r="F39" s="101"/>
    </row>
    <row r="40" spans="1:12" ht="17.25" x14ac:dyDescent="0.25">
      <c r="A40" s="8" t="s">
        <v>126</v>
      </c>
      <c r="B40" s="53" t="s">
        <v>30</v>
      </c>
      <c r="C40" s="55">
        <f>G40*D40</f>
        <v>11493638.016000001</v>
      </c>
      <c r="D40" s="169">
        <v>0.64400000000000002</v>
      </c>
      <c r="F40" s="101">
        <f>G40/G43</f>
        <v>0.93532825149502519</v>
      </c>
      <c r="G40" s="103">
        <v>17847264</v>
      </c>
    </row>
    <row r="41" spans="1:12" ht="17.25" x14ac:dyDescent="0.25">
      <c r="A41" s="8" t="s">
        <v>127</v>
      </c>
      <c r="B41" s="53" t="s">
        <v>31</v>
      </c>
      <c r="C41" s="55">
        <f>G40*D41</f>
        <v>3041173.7856000001</v>
      </c>
      <c r="D41" s="169">
        <v>0.1704</v>
      </c>
      <c r="F41" s="101"/>
    </row>
    <row r="42" spans="1:12" ht="17.25" x14ac:dyDescent="0.25">
      <c r="A42" s="8" t="s">
        <v>128</v>
      </c>
      <c r="B42" s="53" t="s">
        <v>32</v>
      </c>
      <c r="C42" s="56">
        <f>G40*D42</f>
        <v>3312452.1983999996</v>
      </c>
      <c r="D42" s="170">
        <v>0.18559999999999999</v>
      </c>
      <c r="F42" s="101"/>
    </row>
    <row r="43" spans="1:12" x14ac:dyDescent="0.25">
      <c r="A43" s="18" t="s">
        <v>129</v>
      </c>
      <c r="B43" s="31" t="s">
        <v>33</v>
      </c>
      <c r="C43" s="57">
        <f>SUM(C38:C42)</f>
        <v>19081284</v>
      </c>
      <c r="D43" s="12">
        <f>C43/C37</f>
        <v>0.47712871856550954</v>
      </c>
      <c r="F43" s="101">
        <f>C43/G43</f>
        <v>1</v>
      </c>
      <c r="G43" s="103">
        <v>19081284</v>
      </c>
      <c r="H43" s="104">
        <f>F38+F40-F43</f>
        <v>0</v>
      </c>
    </row>
    <row r="44" spans="1:12" x14ac:dyDescent="0.25">
      <c r="A44" s="9" t="s">
        <v>2</v>
      </c>
      <c r="B44" s="30" t="s">
        <v>34</v>
      </c>
      <c r="C44" s="58">
        <f>D45/C45</f>
        <v>2.9843729214005695E-2</v>
      </c>
      <c r="D44" s="5"/>
    </row>
    <row r="45" spans="1:12" ht="17.25" x14ac:dyDescent="0.25">
      <c r="A45" s="9" t="s">
        <v>87</v>
      </c>
      <c r="B45" s="30" t="s">
        <v>35</v>
      </c>
      <c r="C45" s="55">
        <v>39414946.15384616</v>
      </c>
      <c r="D45" s="51">
        <v>1176288.98</v>
      </c>
      <c r="L45" s="42"/>
    </row>
    <row r="46" spans="1:12" ht="17.25" x14ac:dyDescent="0.25">
      <c r="A46" s="9" t="s">
        <v>38</v>
      </c>
      <c r="B46" s="30" t="s">
        <v>36</v>
      </c>
      <c r="C46" s="59">
        <v>111.32</v>
      </c>
      <c r="D46" s="5"/>
      <c r="I46" s="4"/>
      <c r="J46" s="42"/>
    </row>
    <row r="47" spans="1:12" ht="15.75" thickBot="1" x14ac:dyDescent="0.3">
      <c r="A47" s="10" t="s">
        <v>39</v>
      </c>
      <c r="B47" s="32" t="s">
        <v>37</v>
      </c>
      <c r="C47" s="60">
        <f>C46/1000</f>
        <v>0.11131999999999999</v>
      </c>
      <c r="D47" s="6"/>
      <c r="H47" s="4"/>
      <c r="I47" s="4"/>
    </row>
    <row r="48" spans="1:12" ht="15.75" thickBot="1" x14ac:dyDescent="0.3">
      <c r="B48" s="17"/>
      <c r="H48" s="4"/>
      <c r="I48" s="4"/>
    </row>
    <row r="49" spans="1:11" ht="15.75" thickBot="1" x14ac:dyDescent="0.3">
      <c r="A49" s="23" t="s">
        <v>137</v>
      </c>
      <c r="B49" s="15"/>
      <c r="C49" s="24" t="s">
        <v>19</v>
      </c>
      <c r="D49" s="16" t="s">
        <v>20</v>
      </c>
      <c r="E49" s="25" t="s">
        <v>4</v>
      </c>
      <c r="F49" s="25" t="s">
        <v>5</v>
      </c>
      <c r="G49" s="16" t="s">
        <v>6</v>
      </c>
      <c r="H49" s="90" t="s">
        <v>71</v>
      </c>
      <c r="I49" s="43"/>
    </row>
    <row r="50" spans="1:11" x14ac:dyDescent="0.25">
      <c r="A50" s="9" t="s">
        <v>21</v>
      </c>
      <c r="B50" s="30" t="s">
        <v>43</v>
      </c>
      <c r="C50" s="118">
        <f>C21</f>
        <v>9.9000000000000005E-2</v>
      </c>
      <c r="D50" s="119">
        <f t="shared" ref="D50:G50" si="8">D21</f>
        <v>0.11600000000000001</v>
      </c>
      <c r="E50" s="120">
        <f t="shared" si="8"/>
        <v>8.3000000000000004E-2</v>
      </c>
      <c r="F50" s="120">
        <f t="shared" si="8"/>
        <v>0.128</v>
      </c>
      <c r="G50" s="119">
        <f t="shared" si="8"/>
        <v>0.17499999999999999</v>
      </c>
      <c r="H50" s="91"/>
      <c r="I50" s="44"/>
    </row>
    <row r="51" spans="1:11" x14ac:dyDescent="0.25">
      <c r="A51" s="8" t="s">
        <v>22</v>
      </c>
      <c r="B51" s="53" t="s">
        <v>44</v>
      </c>
      <c r="C51" s="193"/>
      <c r="D51" s="192"/>
      <c r="E51" s="194"/>
      <c r="F51" s="194"/>
      <c r="G51" s="190"/>
      <c r="H51" s="92"/>
      <c r="I51" s="45"/>
    </row>
    <row r="52" spans="1:11" x14ac:dyDescent="0.25">
      <c r="A52" s="9" t="s">
        <v>130</v>
      </c>
      <c r="B52" s="30" t="s">
        <v>45</v>
      </c>
      <c r="C52" s="34">
        <f>C38</f>
        <v>887260.38</v>
      </c>
      <c r="D52" s="21">
        <f>C39</f>
        <v>346759.62000000005</v>
      </c>
      <c r="E52" s="27">
        <f>C40</f>
        <v>11493638.016000001</v>
      </c>
      <c r="F52" s="27">
        <f>C41</f>
        <v>3041173.7856000001</v>
      </c>
      <c r="G52" s="21">
        <f>C42</f>
        <v>3312452.1983999996</v>
      </c>
      <c r="H52" s="93">
        <f>SUM(C52:G52)</f>
        <v>19081284</v>
      </c>
      <c r="I52" s="46"/>
    </row>
    <row r="53" spans="1:11" x14ac:dyDescent="0.25">
      <c r="A53" s="9"/>
      <c r="B53" s="30"/>
      <c r="C53" s="11"/>
      <c r="D53" s="5"/>
      <c r="E53" s="28"/>
      <c r="F53" s="28"/>
      <c r="G53" s="5"/>
      <c r="H53" s="8"/>
      <c r="I53" s="3"/>
    </row>
    <row r="54" spans="1:11" x14ac:dyDescent="0.25">
      <c r="A54" s="9" t="s">
        <v>131</v>
      </c>
      <c r="B54" s="30" t="s">
        <v>46</v>
      </c>
      <c r="C54" s="35">
        <f>C52*C50</f>
        <v>87838.777620000008</v>
      </c>
      <c r="D54" s="22">
        <f t="shared" ref="D54" si="9">D52*D50</f>
        <v>40224.115920000011</v>
      </c>
      <c r="E54" s="29">
        <f>E52*E50</f>
        <v>953971.95532800013</v>
      </c>
      <c r="F54" s="29">
        <f t="shared" ref="F54:G54" si="10">F52*F50</f>
        <v>389270.2445568</v>
      </c>
      <c r="G54" s="22">
        <f t="shared" si="10"/>
        <v>579679.13471999986</v>
      </c>
      <c r="H54" s="94">
        <f t="shared" ref="H54:H59" si="11">SUM(C54:G54)</f>
        <v>2050984.2281447998</v>
      </c>
      <c r="I54" s="47"/>
    </row>
    <row r="55" spans="1:11" x14ac:dyDescent="0.25">
      <c r="A55" s="9" t="s">
        <v>132</v>
      </c>
      <c r="B55" s="30" t="s">
        <v>47</v>
      </c>
      <c r="C55" s="35">
        <f>C52*$C$44</f>
        <v>26479.158523035792</v>
      </c>
      <c r="D55" s="22">
        <f t="shared" ref="D55:G55" si="12">D52*$C$44</f>
        <v>10348.600201631514</v>
      </c>
      <c r="E55" s="29">
        <f t="shared" si="12"/>
        <v>343013.02063330566</v>
      </c>
      <c r="F55" s="29">
        <f t="shared" si="12"/>
        <v>90759.966950179019</v>
      </c>
      <c r="G55" s="22">
        <f t="shared" si="12"/>
        <v>98855.926443387463</v>
      </c>
      <c r="H55" s="94">
        <f t="shared" si="11"/>
        <v>569456.67275153939</v>
      </c>
      <c r="I55" s="47"/>
    </row>
    <row r="56" spans="1:11" ht="15.75" thickBot="1" x14ac:dyDescent="0.3">
      <c r="A56" s="10" t="s">
        <v>133</v>
      </c>
      <c r="B56" s="32" t="s">
        <v>48</v>
      </c>
      <c r="C56" s="39">
        <f>C52*$C$47</f>
        <v>98769.825501599989</v>
      </c>
      <c r="D56" s="40">
        <f t="shared" ref="D56:G56" si="13">D52*$C$47</f>
        <v>38601.2808984</v>
      </c>
      <c r="E56" s="41">
        <f t="shared" si="13"/>
        <v>1279471.7839411199</v>
      </c>
      <c r="F56" s="41">
        <f t="shared" si="13"/>
        <v>338543.46581299196</v>
      </c>
      <c r="G56" s="40">
        <f t="shared" si="13"/>
        <v>368742.1787258879</v>
      </c>
      <c r="H56" s="95">
        <f t="shared" si="11"/>
        <v>2124128.5348799997</v>
      </c>
      <c r="I56" s="47"/>
    </row>
    <row r="57" spans="1:11" x14ac:dyDescent="0.25">
      <c r="A57" s="18" t="s">
        <v>25</v>
      </c>
      <c r="B57" s="31" t="s">
        <v>49</v>
      </c>
      <c r="C57" s="36">
        <f>C54-C55-C56</f>
        <v>-37410.20640463577</v>
      </c>
      <c r="D57" s="37">
        <f t="shared" ref="D57:G57" si="14">D54-D55-D56</f>
        <v>-8725.7651800315034</v>
      </c>
      <c r="E57" s="38">
        <f t="shared" si="14"/>
        <v>-668512.84924642544</v>
      </c>
      <c r="F57" s="38">
        <f t="shared" si="14"/>
        <v>-40033.188206370978</v>
      </c>
      <c r="G57" s="37">
        <f t="shared" si="14"/>
        <v>112081.02955072449</v>
      </c>
      <c r="H57" s="98">
        <f t="shared" si="11"/>
        <v>-642600.97948673926</v>
      </c>
      <c r="I57" s="48"/>
    </row>
    <row r="58" spans="1:11" x14ac:dyDescent="0.25">
      <c r="A58" s="76" t="s">
        <v>23</v>
      </c>
      <c r="B58" s="77" t="s">
        <v>50</v>
      </c>
      <c r="C58" s="78">
        <f>IF(C57&gt;0,C57,0)</f>
        <v>0</v>
      </c>
      <c r="D58" s="79">
        <f t="shared" ref="D58:G58" si="15">IF(D57&gt;0,D57,0)</f>
        <v>0</v>
      </c>
      <c r="E58" s="80">
        <f t="shared" si="15"/>
        <v>0</v>
      </c>
      <c r="F58" s="80">
        <f t="shared" si="15"/>
        <v>0</v>
      </c>
      <c r="G58" s="79">
        <f t="shared" si="15"/>
        <v>112081.02955072449</v>
      </c>
      <c r="H58" s="96">
        <f t="shared" si="11"/>
        <v>112081.02955072449</v>
      </c>
      <c r="I58" s="49"/>
      <c r="J58" s="50"/>
      <c r="K58" s="50"/>
    </row>
    <row r="59" spans="1:11" ht="15.75" thickBot="1" x14ac:dyDescent="0.3">
      <c r="A59" s="81" t="s">
        <v>24</v>
      </c>
      <c r="B59" s="82" t="s">
        <v>51</v>
      </c>
      <c r="C59" s="83">
        <f>IF(C57&lt;0,C57*-1,0)</f>
        <v>37410.20640463577</v>
      </c>
      <c r="D59" s="84">
        <f t="shared" ref="D59:G59" si="16">IF(D57&lt;0,D57*-1,0)</f>
        <v>8725.7651800315034</v>
      </c>
      <c r="E59" s="85">
        <f t="shared" si="16"/>
        <v>668512.84924642544</v>
      </c>
      <c r="F59" s="85">
        <f t="shared" si="16"/>
        <v>40033.188206370978</v>
      </c>
      <c r="G59" s="84">
        <f t="shared" si="16"/>
        <v>0</v>
      </c>
      <c r="H59" s="97">
        <f t="shared" si="11"/>
        <v>754682.00903746369</v>
      </c>
      <c r="I59" s="49"/>
      <c r="J59" s="50"/>
      <c r="K59" s="50"/>
    </row>
    <row r="60" spans="1:11" x14ac:dyDescent="0.25">
      <c r="B60" s="17"/>
      <c r="C60" s="19"/>
      <c r="D60" s="19"/>
      <c r="E60" s="19"/>
      <c r="F60" s="19"/>
      <c r="G60" s="19"/>
      <c r="H60" s="50"/>
      <c r="I60" s="50"/>
      <c r="J60" s="50"/>
      <c r="K60" s="50"/>
    </row>
    <row r="61" spans="1:11" ht="15.75" thickBot="1" x14ac:dyDescent="0.3">
      <c r="A61" s="86" t="s">
        <v>42</v>
      </c>
      <c r="H61" s="4"/>
      <c r="I61" s="4"/>
    </row>
    <row r="62" spans="1:11" x14ac:dyDescent="0.25">
      <c r="A62" s="7" t="s">
        <v>134</v>
      </c>
      <c r="B62" s="52"/>
      <c r="C62" s="87">
        <f>C57-C28</f>
        <v>-41634.20640463577</v>
      </c>
      <c r="D62" s="88">
        <f t="shared" ref="D62:G62" si="17">D57-D28</f>
        <v>-9932.7651800315034</v>
      </c>
      <c r="E62" s="89">
        <f t="shared" si="17"/>
        <v>-726905.84924642544</v>
      </c>
      <c r="F62" s="89">
        <f t="shared" si="17"/>
        <v>-54395.188206370978</v>
      </c>
      <c r="G62" s="88">
        <f t="shared" si="17"/>
        <v>96348.029550724488</v>
      </c>
      <c r="H62" s="98">
        <f t="shared" ref="H62:H64" si="18">SUM(C62:G62)</f>
        <v>-736519.97948673926</v>
      </c>
      <c r="I62" s="48"/>
    </row>
    <row r="63" spans="1:11" x14ac:dyDescent="0.25">
      <c r="A63" s="76" t="s">
        <v>135</v>
      </c>
      <c r="B63" s="77" t="s">
        <v>72</v>
      </c>
      <c r="C63" s="78">
        <f>IF(C62&gt;0,C62,0)</f>
        <v>0</v>
      </c>
      <c r="D63" s="79">
        <f t="shared" ref="D63:G63" si="19">IF(D62&gt;0,D62,0)</f>
        <v>0</v>
      </c>
      <c r="E63" s="80">
        <f t="shared" si="19"/>
        <v>0</v>
      </c>
      <c r="F63" s="80">
        <f t="shared" si="19"/>
        <v>0</v>
      </c>
      <c r="G63" s="79">
        <f t="shared" si="19"/>
        <v>96348.029550724488</v>
      </c>
      <c r="H63" s="96">
        <f t="shared" si="18"/>
        <v>96348.029550724488</v>
      </c>
      <c r="I63" s="49"/>
      <c r="J63" s="50"/>
      <c r="K63" s="50"/>
    </row>
    <row r="64" spans="1:11" ht="15.75" thickBot="1" x14ac:dyDescent="0.3">
      <c r="A64" s="81" t="s">
        <v>136</v>
      </c>
      <c r="B64" s="82" t="s">
        <v>73</v>
      </c>
      <c r="C64" s="83">
        <f>IF(C62&lt;0,C62*-1,0)</f>
        <v>41634.20640463577</v>
      </c>
      <c r="D64" s="84">
        <f t="shared" ref="D64:G64" si="20">IF(D62&lt;0,D62*-1,0)</f>
        <v>9932.7651800315034</v>
      </c>
      <c r="E64" s="85">
        <f t="shared" si="20"/>
        <v>726905.84924642544</v>
      </c>
      <c r="F64" s="85">
        <f t="shared" si="20"/>
        <v>54395.188206370978</v>
      </c>
      <c r="G64" s="84">
        <f t="shared" si="20"/>
        <v>0</v>
      </c>
      <c r="H64" s="97">
        <f t="shared" si="18"/>
        <v>832868.00903746369</v>
      </c>
      <c r="I64" s="49"/>
      <c r="J64" s="50"/>
      <c r="K64" s="50"/>
    </row>
  </sheetData>
  <sheetProtection password="CC7B" sheet="1" objects="1" scenarios="1"/>
  <pageMargins left="0.11811023622047245" right="0.11811023622047245" top="0.35433070866141736" bottom="0.35433070866141736" header="0.11811023622047245" footer="0.11811023622047245"/>
  <pageSetup scale="75" orientation="portrait" verticalDpi="0" r:id="rId1"/>
  <headerFooter>
    <oddFooter>&amp;L&amp;9&amp;Z&amp;F  &amp;A  &amp;D  &amp;T&amp;R&amp;P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3:L64"/>
  <sheetViews>
    <sheetView topLeftCell="A4" zoomScale="90" zoomScaleNormal="90" workbookViewId="0">
      <selection activeCell="F39" sqref="F39"/>
    </sheetView>
  </sheetViews>
  <sheetFormatPr defaultRowHeight="15" x14ac:dyDescent="0.25"/>
  <cols>
    <col min="1" max="1" width="36" customWidth="1"/>
    <col min="2" max="2" width="11.140625" bestFit="1" customWidth="1"/>
    <col min="3" max="3" width="15.28515625" bestFit="1" customWidth="1"/>
    <col min="4" max="4" width="12.5703125" bestFit="1" customWidth="1"/>
    <col min="5" max="5" width="12.85546875" bestFit="1" customWidth="1"/>
    <col min="6" max="7" width="12.140625" bestFit="1" customWidth="1"/>
    <col min="8" max="8" width="13.28515625" bestFit="1" customWidth="1"/>
    <col min="9" max="9" width="5.28515625" customWidth="1"/>
    <col min="10" max="10" width="10" style="4" customWidth="1"/>
    <col min="11" max="11" width="11.28515625" style="4" bestFit="1" customWidth="1"/>
    <col min="12" max="16384" width="9.140625" style="4"/>
  </cols>
  <sheetData>
    <row r="3" spans="1:9" ht="5.25" customHeight="1" x14ac:dyDescent="0.25">
      <c r="A3" s="2"/>
      <c r="B3" s="2"/>
      <c r="E3" s="4"/>
    </row>
    <row r="4" spans="1:9" x14ac:dyDescent="0.25">
      <c r="A4" s="2"/>
      <c r="B4" s="2"/>
      <c r="E4" s="4"/>
    </row>
    <row r="5" spans="1:9" x14ac:dyDescent="0.25">
      <c r="A5" s="61" t="s">
        <v>40</v>
      </c>
      <c r="B5" s="61"/>
      <c r="C5" s="62"/>
      <c r="D5" s="62"/>
      <c r="E5" s="62"/>
      <c r="F5" s="62"/>
      <c r="G5" s="62"/>
      <c r="H5" s="62"/>
      <c r="I5" s="62"/>
    </row>
    <row r="6" spans="1:9" x14ac:dyDescent="0.25">
      <c r="A6" s="2" t="s">
        <v>10</v>
      </c>
      <c r="B6" s="2"/>
      <c r="E6" s="99" t="s">
        <v>78</v>
      </c>
      <c r="F6" s="99">
        <v>2016</v>
      </c>
    </row>
    <row r="7" spans="1:9" ht="15.75" thickBot="1" x14ac:dyDescent="0.3">
      <c r="A7" s="2"/>
      <c r="B7" s="2"/>
      <c r="E7" s="4"/>
    </row>
    <row r="8" spans="1:9" ht="15.75" thickBot="1" x14ac:dyDescent="0.3">
      <c r="A8" s="13"/>
      <c r="B8" s="13"/>
      <c r="C8" s="15" t="s">
        <v>17</v>
      </c>
      <c r="D8" s="16" t="s">
        <v>18</v>
      </c>
      <c r="E8" s="4"/>
    </row>
    <row r="9" spans="1:9" x14ac:dyDescent="0.25">
      <c r="A9" s="7" t="s">
        <v>14</v>
      </c>
      <c r="B9" s="52" t="s">
        <v>52</v>
      </c>
      <c r="C9" s="188"/>
      <c r="D9" s="189"/>
    </row>
    <row r="10" spans="1:9" ht="17.25" x14ac:dyDescent="0.25">
      <c r="A10" s="8" t="s">
        <v>12</v>
      </c>
      <c r="B10" s="53" t="s">
        <v>53</v>
      </c>
      <c r="C10" s="55">
        <v>1075585</v>
      </c>
      <c r="D10" s="190"/>
      <c r="E10" s="101"/>
      <c r="G10" s="101"/>
    </row>
    <row r="11" spans="1:9" ht="17.25" x14ac:dyDescent="0.25">
      <c r="A11" s="8" t="s">
        <v>13</v>
      </c>
      <c r="B11" s="53" t="s">
        <v>54</v>
      </c>
      <c r="C11" s="55">
        <v>272453</v>
      </c>
      <c r="D11" s="190"/>
      <c r="E11" s="101"/>
      <c r="F11" s="104"/>
      <c r="G11" s="101"/>
    </row>
    <row r="12" spans="1:9" ht="17.25" x14ac:dyDescent="0.25">
      <c r="A12" s="8" t="s">
        <v>11</v>
      </c>
      <c r="B12" s="53" t="s">
        <v>55</v>
      </c>
      <c r="C12" s="55">
        <v>11990586</v>
      </c>
      <c r="D12" s="190"/>
      <c r="G12" s="101"/>
    </row>
    <row r="13" spans="1:9" ht="17.25" x14ac:dyDescent="0.25">
      <c r="A13" s="8" t="s">
        <v>15</v>
      </c>
      <c r="B13" s="53" t="s">
        <v>56</v>
      </c>
      <c r="C13" s="55">
        <v>3214239</v>
      </c>
      <c r="D13" s="190"/>
      <c r="G13" s="101"/>
    </row>
    <row r="14" spans="1:9" ht="17.25" x14ac:dyDescent="0.25">
      <c r="A14" s="8" t="s">
        <v>16</v>
      </c>
      <c r="B14" s="53" t="s">
        <v>57</v>
      </c>
      <c r="C14" s="56">
        <v>3363358</v>
      </c>
      <c r="D14" s="191"/>
      <c r="F14" s="104"/>
      <c r="G14" s="101"/>
    </row>
    <row r="15" spans="1:9" x14ac:dyDescent="0.25">
      <c r="A15" s="18" t="s">
        <v>116</v>
      </c>
      <c r="B15" s="31" t="s">
        <v>58</v>
      </c>
      <c r="C15" s="57">
        <f>SUM(C10:C14)</f>
        <v>19916221</v>
      </c>
      <c r="D15" s="191"/>
    </row>
    <row r="16" spans="1:9" x14ac:dyDescent="0.25">
      <c r="A16" s="9" t="s">
        <v>101</v>
      </c>
      <c r="B16" s="30" t="s">
        <v>59</v>
      </c>
      <c r="C16" s="201">
        <v>9.7076999999999997E-3</v>
      </c>
      <c r="D16" s="5"/>
    </row>
    <row r="17" spans="1:11" ht="17.25" x14ac:dyDescent="0.25">
      <c r="A17" s="9" t="s">
        <v>99</v>
      </c>
      <c r="B17" s="30" t="s">
        <v>60</v>
      </c>
      <c r="C17" s="186"/>
      <c r="D17" s="5"/>
      <c r="I17" s="4"/>
      <c r="J17" s="42"/>
    </row>
    <row r="18" spans="1:11" ht="15.75" thickBot="1" x14ac:dyDescent="0.3">
      <c r="A18" s="10" t="s">
        <v>100</v>
      </c>
      <c r="B18" s="32" t="s">
        <v>61</v>
      </c>
      <c r="C18" s="202">
        <v>0.11549</v>
      </c>
      <c r="D18" s="6"/>
      <c r="I18" s="4"/>
    </row>
    <row r="19" spans="1:11" ht="8.25" customHeight="1" thickBot="1" x14ac:dyDescent="0.3">
      <c r="B19" s="17"/>
      <c r="I19" s="4"/>
    </row>
    <row r="20" spans="1:11" ht="15.75" thickBot="1" x14ac:dyDescent="0.3">
      <c r="A20" s="23" t="s">
        <v>3</v>
      </c>
      <c r="B20" s="15"/>
      <c r="C20" s="24" t="s">
        <v>19</v>
      </c>
      <c r="D20" s="16" t="s">
        <v>20</v>
      </c>
      <c r="E20" s="25" t="s">
        <v>4</v>
      </c>
      <c r="F20" s="25" t="s">
        <v>5</v>
      </c>
      <c r="G20" s="16" t="s">
        <v>6</v>
      </c>
      <c r="H20" s="90" t="s">
        <v>71</v>
      </c>
      <c r="I20" s="43"/>
    </row>
    <row r="21" spans="1:11" x14ac:dyDescent="0.25">
      <c r="A21" s="9" t="s">
        <v>21</v>
      </c>
      <c r="B21" s="30" t="s">
        <v>62</v>
      </c>
      <c r="C21" s="33">
        <v>0.10299999999999999</v>
      </c>
      <c r="D21" s="20">
        <v>0.121</v>
      </c>
      <c r="E21" s="26">
        <v>8.6999999999999994E-2</v>
      </c>
      <c r="F21" s="26">
        <v>0.13200000000000001</v>
      </c>
      <c r="G21" s="20">
        <v>0.18</v>
      </c>
      <c r="H21" s="91"/>
      <c r="I21" s="44"/>
    </row>
    <row r="22" spans="1:11" x14ac:dyDescent="0.25">
      <c r="A22" s="8" t="s">
        <v>22</v>
      </c>
      <c r="B22" s="53" t="s">
        <v>63</v>
      </c>
      <c r="C22" s="193"/>
      <c r="D22" s="192"/>
      <c r="E22" s="194"/>
      <c r="F22" s="194"/>
      <c r="G22" s="190"/>
      <c r="H22" s="92"/>
      <c r="I22" s="45"/>
    </row>
    <row r="23" spans="1:11" x14ac:dyDescent="0.25">
      <c r="A23" s="9" t="s">
        <v>117</v>
      </c>
      <c r="B23" s="30" t="s">
        <v>64</v>
      </c>
      <c r="C23" s="34">
        <f>C10</f>
        <v>1075585</v>
      </c>
      <c r="D23" s="21">
        <f>C11</f>
        <v>272453</v>
      </c>
      <c r="E23" s="27">
        <f>C12</f>
        <v>11990586</v>
      </c>
      <c r="F23" s="27">
        <f>C13</f>
        <v>3214239</v>
      </c>
      <c r="G23" s="21">
        <f>C14</f>
        <v>3363358</v>
      </c>
      <c r="H23" s="93">
        <f>SUM(C23:G23)</f>
        <v>19916221</v>
      </c>
      <c r="I23" s="46"/>
    </row>
    <row r="24" spans="1:11" ht="9.75" customHeight="1" x14ac:dyDescent="0.25">
      <c r="A24" s="9"/>
      <c r="B24" s="30"/>
      <c r="C24" s="11"/>
      <c r="D24" s="5"/>
      <c r="E24" s="28"/>
      <c r="F24" s="28"/>
      <c r="G24" s="5"/>
      <c r="H24" s="8"/>
      <c r="I24" s="3"/>
    </row>
    <row r="25" spans="1:11" x14ac:dyDescent="0.25">
      <c r="A25" s="9" t="s">
        <v>118</v>
      </c>
      <c r="B25" s="30" t="s">
        <v>65</v>
      </c>
      <c r="C25" s="195">
        <f t="shared" ref="C25:D25" si="0">C23*C21</f>
        <v>110785.25499999999</v>
      </c>
      <c r="D25" s="196">
        <f t="shared" si="0"/>
        <v>32966.813000000002</v>
      </c>
      <c r="E25" s="197">
        <f>E23*E21</f>
        <v>1043180.982</v>
      </c>
      <c r="F25" s="197">
        <f t="shared" ref="F25:G25" si="1">F23*F21</f>
        <v>424279.54800000001</v>
      </c>
      <c r="G25" s="196">
        <f t="shared" si="1"/>
        <v>605404.43999999994</v>
      </c>
      <c r="H25" s="94">
        <f t="shared" ref="H25:H30" si="2">SUM(C25:G25)</f>
        <v>2216617.0379999997</v>
      </c>
      <c r="I25" s="47"/>
    </row>
    <row r="26" spans="1:11" x14ac:dyDescent="0.25">
      <c r="A26" s="9" t="s">
        <v>119</v>
      </c>
      <c r="B26" s="30" t="s">
        <v>66</v>
      </c>
      <c r="C26" s="195">
        <f t="shared" ref="C26:D26" si="3">C23*$C$16</f>
        <v>10441.4565045</v>
      </c>
      <c r="D26" s="196">
        <f t="shared" si="3"/>
        <v>2644.8919880999997</v>
      </c>
      <c r="E26" s="197">
        <f>E23*$C$16</f>
        <v>116401.01171219999</v>
      </c>
      <c r="F26" s="197">
        <f t="shared" ref="F26:G26" si="4">F23*$C$16</f>
        <v>31202.867940299999</v>
      </c>
      <c r="G26" s="196">
        <f t="shared" si="4"/>
        <v>32650.4704566</v>
      </c>
      <c r="H26" s="94">
        <f t="shared" si="2"/>
        <v>193340.69860170002</v>
      </c>
      <c r="I26" s="47"/>
    </row>
    <row r="27" spans="1:11" ht="15.75" thickBot="1" x14ac:dyDescent="0.3">
      <c r="A27" s="10" t="s">
        <v>120</v>
      </c>
      <c r="B27" s="32" t="s">
        <v>67</v>
      </c>
      <c r="C27" s="198">
        <f>C23*$C$18</f>
        <v>124219.31164999999</v>
      </c>
      <c r="D27" s="199">
        <f t="shared" ref="D27:G27" si="5">D23*$C$18</f>
        <v>31465.596969999999</v>
      </c>
      <c r="E27" s="200">
        <f t="shared" si="5"/>
        <v>1384792.7771399999</v>
      </c>
      <c r="F27" s="200">
        <f t="shared" si="5"/>
        <v>371212.46210999996</v>
      </c>
      <c r="G27" s="199">
        <f t="shared" si="5"/>
        <v>388434.21541999996</v>
      </c>
      <c r="H27" s="95">
        <f t="shared" si="2"/>
        <v>2300124.3632899998</v>
      </c>
      <c r="I27" s="47"/>
      <c r="J27" s="152"/>
    </row>
    <row r="28" spans="1:11" x14ac:dyDescent="0.25">
      <c r="A28" s="18" t="s">
        <v>121</v>
      </c>
      <c r="B28" s="31" t="s">
        <v>68</v>
      </c>
      <c r="C28" s="129">
        <f>109269-124220</f>
        <v>-14951</v>
      </c>
      <c r="D28" s="130">
        <f>27679-31466</f>
        <v>-3787</v>
      </c>
      <c r="E28" s="131">
        <f>1218126-1384803</f>
        <v>-166677</v>
      </c>
      <c r="F28" s="131">
        <f>326535-371215</f>
        <v>-44680</v>
      </c>
      <c r="G28" s="130">
        <f>341684-388437</f>
        <v>-46753</v>
      </c>
      <c r="H28" s="98">
        <f t="shared" si="2"/>
        <v>-276848</v>
      </c>
      <c r="I28" s="48"/>
      <c r="J28" s="50"/>
      <c r="K28" s="50"/>
    </row>
    <row r="29" spans="1:11" x14ac:dyDescent="0.25">
      <c r="A29" s="66" t="s">
        <v>122</v>
      </c>
      <c r="B29" s="67" t="s">
        <v>69</v>
      </c>
      <c r="C29" s="68">
        <f>IF(C28&gt;0,C28,0)</f>
        <v>0</v>
      </c>
      <c r="D29" s="69">
        <f t="shared" ref="D29:G29" si="6">IF(D28&gt;0,D28,0)</f>
        <v>0</v>
      </c>
      <c r="E29" s="70">
        <f t="shared" si="6"/>
        <v>0</v>
      </c>
      <c r="F29" s="70">
        <f t="shared" si="6"/>
        <v>0</v>
      </c>
      <c r="G29" s="69">
        <f t="shared" si="6"/>
        <v>0</v>
      </c>
      <c r="H29" s="96">
        <f t="shared" si="2"/>
        <v>0</v>
      </c>
      <c r="I29" s="49"/>
      <c r="J29" s="50"/>
      <c r="K29" s="50"/>
    </row>
    <row r="30" spans="1:11" ht="15.75" thickBot="1" x14ac:dyDescent="0.3">
      <c r="A30" s="71" t="s">
        <v>123</v>
      </c>
      <c r="B30" s="72" t="s">
        <v>70</v>
      </c>
      <c r="C30" s="73">
        <f>IF(C28&lt;0,C28*-1,0)</f>
        <v>14951</v>
      </c>
      <c r="D30" s="74">
        <f t="shared" ref="D30:G30" si="7">IF(D28&lt;0,D28*-1,0)</f>
        <v>3787</v>
      </c>
      <c r="E30" s="75">
        <f t="shared" si="7"/>
        <v>166677</v>
      </c>
      <c r="F30" s="75">
        <f t="shared" si="7"/>
        <v>44680</v>
      </c>
      <c r="G30" s="74">
        <f t="shared" si="7"/>
        <v>46753</v>
      </c>
      <c r="H30" s="97">
        <f t="shared" si="2"/>
        <v>276848</v>
      </c>
      <c r="I30" s="49"/>
      <c r="J30" s="50"/>
      <c r="K30" s="50"/>
    </row>
    <row r="31" spans="1:11" x14ac:dyDescent="0.25">
      <c r="B31" s="17"/>
      <c r="C31" s="19"/>
      <c r="D31" s="19"/>
      <c r="E31" s="19"/>
      <c r="F31" s="19"/>
      <c r="G31" s="19"/>
      <c r="I31" s="50"/>
      <c r="J31" s="50"/>
      <c r="K31" s="50"/>
    </row>
    <row r="32" spans="1:11" x14ac:dyDescent="0.25">
      <c r="B32" s="17"/>
      <c r="C32" s="19"/>
      <c r="D32" s="19"/>
      <c r="E32" s="19"/>
      <c r="F32" s="19"/>
      <c r="G32" s="19"/>
      <c r="H32" s="19"/>
      <c r="I32" s="50"/>
      <c r="J32" s="50"/>
      <c r="K32" s="50"/>
    </row>
    <row r="33" spans="1:12" x14ac:dyDescent="0.25">
      <c r="A33" s="65" t="s">
        <v>41</v>
      </c>
      <c r="B33" s="63"/>
      <c r="C33" s="64"/>
      <c r="D33" s="64"/>
      <c r="E33" s="64"/>
      <c r="F33" s="64"/>
      <c r="G33" s="64"/>
      <c r="H33" s="64"/>
      <c r="I33" s="64"/>
      <c r="J33" s="50"/>
      <c r="K33" s="50"/>
    </row>
    <row r="34" spans="1:12" x14ac:dyDescent="0.25">
      <c r="A34" s="2" t="s">
        <v>10</v>
      </c>
      <c r="B34" s="2"/>
      <c r="E34" s="4"/>
      <c r="F34" s="122"/>
      <c r="G34" s="4"/>
    </row>
    <row r="35" spans="1:12" ht="15.75" thickBot="1" x14ac:dyDescent="0.3">
      <c r="B35" s="17"/>
      <c r="C35" s="19"/>
      <c r="D35" s="19"/>
      <c r="E35" s="19"/>
      <c r="F35" s="19"/>
      <c r="G35" s="19"/>
      <c r="H35" s="19"/>
      <c r="I35" s="50"/>
      <c r="J35" s="50"/>
      <c r="K35" s="50"/>
    </row>
    <row r="36" spans="1:12" ht="30.75" thickBot="1" x14ac:dyDescent="0.3">
      <c r="A36" s="13"/>
      <c r="B36" s="13"/>
      <c r="C36" s="15" t="s">
        <v>17</v>
      </c>
      <c r="D36" s="16" t="s">
        <v>18</v>
      </c>
      <c r="E36" s="4"/>
      <c r="G36" s="221" t="s">
        <v>138</v>
      </c>
      <c r="J36" s="42"/>
    </row>
    <row r="37" spans="1:12" x14ac:dyDescent="0.25">
      <c r="A37" s="7" t="s">
        <v>14</v>
      </c>
      <c r="B37" s="52" t="s">
        <v>27</v>
      </c>
      <c r="C37" s="54">
        <v>41303308</v>
      </c>
      <c r="D37" s="14">
        <f>C37/C37</f>
        <v>1</v>
      </c>
    </row>
    <row r="38" spans="1:12" ht="17.25" x14ac:dyDescent="0.25">
      <c r="A38" s="8" t="s">
        <v>124</v>
      </c>
      <c r="B38" s="53" t="s">
        <v>28</v>
      </c>
      <c r="C38" s="55">
        <f>G38*D38</f>
        <v>835490.94199999992</v>
      </c>
      <c r="D38" s="169">
        <v>0.71899999999999997</v>
      </c>
      <c r="F38" s="101">
        <f>G38/G43</f>
        <v>5.8977979222410229E-2</v>
      </c>
      <c r="G38" s="103">
        <v>1162018</v>
      </c>
    </row>
    <row r="39" spans="1:12" ht="17.25" x14ac:dyDescent="0.25">
      <c r="A39" s="8" t="s">
        <v>125</v>
      </c>
      <c r="B39" s="53" t="s">
        <v>29</v>
      </c>
      <c r="C39" s="55">
        <f>G38*D39</f>
        <v>326527.05800000002</v>
      </c>
      <c r="D39" s="169">
        <v>0.28100000000000003</v>
      </c>
      <c r="F39" s="101"/>
    </row>
    <row r="40" spans="1:12" ht="17.25" x14ac:dyDescent="0.25">
      <c r="A40" s="8" t="s">
        <v>126</v>
      </c>
      <c r="B40" s="53" t="s">
        <v>30</v>
      </c>
      <c r="C40" s="55">
        <f>G40*D40</f>
        <v>11940118.064000001</v>
      </c>
      <c r="D40" s="169">
        <v>0.64400000000000002</v>
      </c>
      <c r="F40" s="101">
        <f>G40/G43</f>
        <v>0.94102202077758978</v>
      </c>
      <c r="G40" s="103">
        <v>18540556</v>
      </c>
    </row>
    <row r="41" spans="1:12" ht="17.25" x14ac:dyDescent="0.25">
      <c r="A41" s="8" t="s">
        <v>127</v>
      </c>
      <c r="B41" s="53" t="s">
        <v>31</v>
      </c>
      <c r="C41" s="55">
        <f>G40*D41</f>
        <v>3159310.7423999999</v>
      </c>
      <c r="D41" s="169">
        <v>0.1704</v>
      </c>
      <c r="F41" s="101"/>
    </row>
    <row r="42" spans="1:12" ht="17.25" x14ac:dyDescent="0.25">
      <c r="A42" s="8" t="s">
        <v>128</v>
      </c>
      <c r="B42" s="53" t="s">
        <v>32</v>
      </c>
      <c r="C42" s="56">
        <f>G40*D42</f>
        <v>3441127.1935999999</v>
      </c>
      <c r="D42" s="170">
        <v>0.18559999999999999</v>
      </c>
      <c r="F42" s="101"/>
    </row>
    <row r="43" spans="1:12" x14ac:dyDescent="0.25">
      <c r="A43" s="18" t="s">
        <v>129</v>
      </c>
      <c r="B43" s="31" t="s">
        <v>33</v>
      </c>
      <c r="C43" s="57">
        <f>SUM(C38:C42)</f>
        <v>19702574</v>
      </c>
      <c r="D43" s="12">
        <f>C43/C37</f>
        <v>0.47702169521143439</v>
      </c>
      <c r="E43" s="137"/>
      <c r="F43" s="101">
        <f>C43/G43</f>
        <v>1</v>
      </c>
      <c r="G43" s="103">
        <v>19702574</v>
      </c>
      <c r="H43" s="104">
        <f>F38+F40-F43</f>
        <v>0</v>
      </c>
    </row>
    <row r="44" spans="1:12" x14ac:dyDescent="0.25">
      <c r="A44" s="9" t="s">
        <v>2</v>
      </c>
      <c r="B44" s="30" t="s">
        <v>34</v>
      </c>
      <c r="C44" s="58">
        <f>D45/C45</f>
        <v>1.3689006521769536E-2</v>
      </c>
      <c r="D44" s="5"/>
      <c r="E44" s="138"/>
    </row>
    <row r="45" spans="1:12" ht="17.25" x14ac:dyDescent="0.25">
      <c r="A45" s="9" t="s">
        <v>87</v>
      </c>
      <c r="B45" s="30" t="s">
        <v>35</v>
      </c>
      <c r="C45" s="55">
        <v>40694476.923076928</v>
      </c>
      <c r="D45" s="51">
        <v>557066.96</v>
      </c>
      <c r="L45" s="42"/>
    </row>
    <row r="46" spans="1:12" ht="17.25" x14ac:dyDescent="0.25">
      <c r="A46" s="9" t="s">
        <v>38</v>
      </c>
      <c r="B46" s="30" t="s">
        <v>36</v>
      </c>
      <c r="C46" s="59">
        <v>107.49</v>
      </c>
      <c r="D46" s="5"/>
      <c r="E46" s="137"/>
      <c r="I46" s="4"/>
      <c r="J46" s="42"/>
    </row>
    <row r="47" spans="1:12" ht="15.75" thickBot="1" x14ac:dyDescent="0.3">
      <c r="A47" s="10" t="s">
        <v>39</v>
      </c>
      <c r="B47" s="32" t="s">
        <v>37</v>
      </c>
      <c r="C47" s="60">
        <f>C46/1000</f>
        <v>0.10748999999999999</v>
      </c>
      <c r="D47" s="6"/>
      <c r="E47" s="138"/>
      <c r="H47" s="4"/>
      <c r="I47" s="4"/>
    </row>
    <row r="48" spans="1:12" ht="15.75" thickBot="1" x14ac:dyDescent="0.3">
      <c r="B48" s="17"/>
      <c r="H48" s="4"/>
      <c r="I48" s="4"/>
    </row>
    <row r="49" spans="1:11" ht="15.75" thickBot="1" x14ac:dyDescent="0.3">
      <c r="A49" s="23" t="s">
        <v>137</v>
      </c>
      <c r="B49" s="15"/>
      <c r="C49" s="24" t="s">
        <v>19</v>
      </c>
      <c r="D49" s="16" t="s">
        <v>20</v>
      </c>
      <c r="E49" s="25" t="s">
        <v>4</v>
      </c>
      <c r="F49" s="25" t="s">
        <v>5</v>
      </c>
      <c r="G49" s="16" t="s">
        <v>6</v>
      </c>
      <c r="H49" s="90" t="s">
        <v>71</v>
      </c>
      <c r="I49" s="43"/>
    </row>
    <row r="50" spans="1:11" x14ac:dyDescent="0.25">
      <c r="A50" s="9" t="s">
        <v>21</v>
      </c>
      <c r="B50" s="30" t="s">
        <v>43</v>
      </c>
      <c r="C50" s="118">
        <f>C21</f>
        <v>0.10299999999999999</v>
      </c>
      <c r="D50" s="119">
        <f t="shared" ref="D50:G50" si="8">D21</f>
        <v>0.121</v>
      </c>
      <c r="E50" s="120">
        <f t="shared" si="8"/>
        <v>8.6999999999999994E-2</v>
      </c>
      <c r="F50" s="120">
        <f t="shared" si="8"/>
        <v>0.13200000000000001</v>
      </c>
      <c r="G50" s="119">
        <f t="shared" si="8"/>
        <v>0.18</v>
      </c>
      <c r="H50" s="91"/>
      <c r="I50" s="44"/>
    </row>
    <row r="51" spans="1:11" x14ac:dyDescent="0.25">
      <c r="A51" s="8" t="s">
        <v>22</v>
      </c>
      <c r="B51" s="53" t="s">
        <v>44</v>
      </c>
      <c r="C51" s="193"/>
      <c r="D51" s="192"/>
      <c r="E51" s="194"/>
      <c r="F51" s="194"/>
      <c r="G51" s="190"/>
      <c r="H51" s="92"/>
      <c r="I51" s="45"/>
    </row>
    <row r="52" spans="1:11" x14ac:dyDescent="0.25">
      <c r="A52" s="9" t="s">
        <v>130</v>
      </c>
      <c r="B52" s="30" t="s">
        <v>45</v>
      </c>
      <c r="C52" s="34">
        <f>C38</f>
        <v>835490.94199999992</v>
      </c>
      <c r="D52" s="21">
        <f>C39</f>
        <v>326527.05800000002</v>
      </c>
      <c r="E52" s="27">
        <f>C40</f>
        <v>11940118.064000001</v>
      </c>
      <c r="F52" s="27">
        <f>C41</f>
        <v>3159310.7423999999</v>
      </c>
      <c r="G52" s="21">
        <f>C42</f>
        <v>3441127.1935999999</v>
      </c>
      <c r="H52" s="93">
        <f>SUM(C52:G52)</f>
        <v>19702574</v>
      </c>
      <c r="I52" s="46"/>
    </row>
    <row r="53" spans="1:11" x14ac:dyDescent="0.25">
      <c r="A53" s="9"/>
      <c r="B53" s="30"/>
      <c r="C53" s="11"/>
      <c r="D53" s="5"/>
      <c r="E53" s="28"/>
      <c r="F53" s="28"/>
      <c r="G53" s="5"/>
      <c r="H53" s="8"/>
      <c r="I53" s="3"/>
    </row>
    <row r="54" spans="1:11" x14ac:dyDescent="0.25">
      <c r="A54" s="9" t="s">
        <v>131</v>
      </c>
      <c r="B54" s="30" t="s">
        <v>46</v>
      </c>
      <c r="C54" s="35">
        <f>C52*C50</f>
        <v>86055.56702599999</v>
      </c>
      <c r="D54" s="22">
        <f t="shared" ref="D54" si="9">D52*D50</f>
        <v>39509.774018000004</v>
      </c>
      <c r="E54" s="29">
        <f>E52*E50</f>
        <v>1038790.2715680001</v>
      </c>
      <c r="F54" s="29">
        <f t="shared" ref="F54:G54" si="10">F52*F50</f>
        <v>417029.01799680002</v>
      </c>
      <c r="G54" s="22">
        <f t="shared" si="10"/>
        <v>619402.89484799991</v>
      </c>
      <c r="H54" s="94">
        <f t="shared" ref="H54:H59" si="11">SUM(C54:G54)</f>
        <v>2200787.5254568001</v>
      </c>
      <c r="I54" s="47"/>
    </row>
    <row r="55" spans="1:11" x14ac:dyDescent="0.25">
      <c r="A55" s="9" t="s">
        <v>132</v>
      </c>
      <c r="B55" s="30" t="s">
        <v>47</v>
      </c>
      <c r="C55" s="35">
        <f>C52*$C$44</f>
        <v>11437.040953917372</v>
      </c>
      <c r="D55" s="22">
        <f t="shared" ref="D55:G55" si="12">D52*$C$44</f>
        <v>4469.8310264962201</v>
      </c>
      <c r="E55" s="29">
        <f t="shared" si="12"/>
        <v>163448.35404879425</v>
      </c>
      <c r="F55" s="29">
        <f t="shared" si="12"/>
        <v>43247.825357010151</v>
      </c>
      <c r="G55" s="22">
        <f t="shared" si="12"/>
        <v>47105.612595428895</v>
      </c>
      <c r="H55" s="94">
        <f t="shared" si="11"/>
        <v>269708.66398164688</v>
      </c>
      <c r="I55" s="47"/>
    </row>
    <row r="56" spans="1:11" ht="15.75" thickBot="1" x14ac:dyDescent="0.3">
      <c r="A56" s="10" t="s">
        <v>133</v>
      </c>
      <c r="B56" s="32" t="s">
        <v>48</v>
      </c>
      <c r="C56" s="39">
        <f>C52*$C$47</f>
        <v>89806.92135557998</v>
      </c>
      <c r="D56" s="40">
        <f t="shared" ref="D56:G56" si="13">D52*$C$47</f>
        <v>35098.393464419998</v>
      </c>
      <c r="E56" s="41">
        <f t="shared" si="13"/>
        <v>1283443.29069936</v>
      </c>
      <c r="F56" s="41">
        <f t="shared" si="13"/>
        <v>339594.31170057593</v>
      </c>
      <c r="G56" s="40">
        <f t="shared" si="13"/>
        <v>369886.76204006397</v>
      </c>
      <c r="H56" s="95">
        <f t="shared" si="11"/>
        <v>2117829.6792599997</v>
      </c>
      <c r="I56" s="47"/>
    </row>
    <row r="57" spans="1:11" x14ac:dyDescent="0.25">
      <c r="A57" s="18" t="s">
        <v>25</v>
      </c>
      <c r="B57" s="31" t="s">
        <v>49</v>
      </c>
      <c r="C57" s="36">
        <f>C54-C55-C56</f>
        <v>-15188.395283497361</v>
      </c>
      <c r="D57" s="37">
        <f t="shared" ref="D57:G57" si="14">D54-D55-D56</f>
        <v>-58.450472916214494</v>
      </c>
      <c r="E57" s="38">
        <f t="shared" si="14"/>
        <v>-408101.37318015413</v>
      </c>
      <c r="F57" s="38">
        <f t="shared" si="14"/>
        <v>34186.880939213966</v>
      </c>
      <c r="G57" s="37">
        <f t="shared" si="14"/>
        <v>202410.52021250699</v>
      </c>
      <c r="H57" s="98">
        <f t="shared" si="11"/>
        <v>-186750.81778484676</v>
      </c>
      <c r="I57" s="48"/>
    </row>
    <row r="58" spans="1:11" x14ac:dyDescent="0.25">
      <c r="A58" s="76" t="s">
        <v>23</v>
      </c>
      <c r="B58" s="77" t="s">
        <v>50</v>
      </c>
      <c r="C58" s="78">
        <f>IF(C57&gt;0,C57,0)</f>
        <v>0</v>
      </c>
      <c r="D58" s="79">
        <f t="shared" ref="D58:G58" si="15">IF(D57&gt;0,D57,0)</f>
        <v>0</v>
      </c>
      <c r="E58" s="80">
        <f t="shared" si="15"/>
        <v>0</v>
      </c>
      <c r="F58" s="80">
        <f t="shared" si="15"/>
        <v>34186.880939213966</v>
      </c>
      <c r="G58" s="79">
        <f t="shared" si="15"/>
        <v>202410.52021250699</v>
      </c>
      <c r="H58" s="96">
        <f t="shared" si="11"/>
        <v>236597.40115172096</v>
      </c>
      <c r="I58" s="49"/>
      <c r="J58" s="50"/>
      <c r="K58" s="50"/>
    </row>
    <row r="59" spans="1:11" ht="15.75" thickBot="1" x14ac:dyDescent="0.3">
      <c r="A59" s="81" t="s">
        <v>24</v>
      </c>
      <c r="B59" s="82" t="s">
        <v>51</v>
      </c>
      <c r="C59" s="83">
        <f>IF(C57&lt;0,C57*-1,0)</f>
        <v>15188.395283497361</v>
      </c>
      <c r="D59" s="84">
        <f t="shared" ref="D59:G59" si="16">IF(D57&lt;0,D57*-1,0)</f>
        <v>58.450472916214494</v>
      </c>
      <c r="E59" s="85">
        <f t="shared" si="16"/>
        <v>408101.37318015413</v>
      </c>
      <c r="F59" s="85">
        <f t="shared" si="16"/>
        <v>0</v>
      </c>
      <c r="G59" s="84">
        <f t="shared" si="16"/>
        <v>0</v>
      </c>
      <c r="H59" s="97">
        <f t="shared" si="11"/>
        <v>423348.21893656772</v>
      </c>
      <c r="I59" s="49"/>
      <c r="J59" s="50"/>
      <c r="K59" s="50"/>
    </row>
    <row r="60" spans="1:11" x14ac:dyDescent="0.25">
      <c r="B60" s="17"/>
      <c r="C60" s="19"/>
      <c r="D60" s="19"/>
      <c r="E60" s="19"/>
      <c r="F60" s="19"/>
      <c r="G60" s="19"/>
      <c r="H60" s="50"/>
      <c r="I60" s="50"/>
      <c r="J60" s="50"/>
      <c r="K60" s="50"/>
    </row>
    <row r="61" spans="1:11" ht="15.75" thickBot="1" x14ac:dyDescent="0.3">
      <c r="A61" s="86" t="s">
        <v>42</v>
      </c>
      <c r="H61" s="4"/>
      <c r="I61" s="4"/>
    </row>
    <row r="62" spans="1:11" x14ac:dyDescent="0.25">
      <c r="A62" s="7" t="s">
        <v>134</v>
      </c>
      <c r="B62" s="52"/>
      <c r="C62" s="87">
        <f>C57-C28</f>
        <v>-237.39528349736065</v>
      </c>
      <c r="D62" s="88">
        <f t="shared" ref="D62:G62" si="17">D57-D28</f>
        <v>3728.5495270837855</v>
      </c>
      <c r="E62" s="89">
        <f t="shared" si="17"/>
        <v>-241424.37318015413</v>
      </c>
      <c r="F62" s="89">
        <f t="shared" si="17"/>
        <v>78866.880939213966</v>
      </c>
      <c r="G62" s="88">
        <f t="shared" si="17"/>
        <v>249163.52021250699</v>
      </c>
      <c r="H62" s="98">
        <f t="shared" ref="H62:H64" si="18">SUM(C62:G62)</f>
        <v>90097.18221515324</v>
      </c>
      <c r="I62" s="48"/>
    </row>
    <row r="63" spans="1:11" x14ac:dyDescent="0.25">
      <c r="A63" s="76" t="s">
        <v>135</v>
      </c>
      <c r="B63" s="77" t="s">
        <v>72</v>
      </c>
      <c r="C63" s="78">
        <f>IF(C62&gt;0,C62,0)</f>
        <v>0</v>
      </c>
      <c r="D63" s="79">
        <f t="shared" ref="D63:G63" si="19">IF(D62&gt;0,D62,0)</f>
        <v>3728.5495270837855</v>
      </c>
      <c r="E63" s="80">
        <f t="shared" si="19"/>
        <v>0</v>
      </c>
      <c r="F63" s="80">
        <f t="shared" si="19"/>
        <v>78866.880939213966</v>
      </c>
      <c r="G63" s="79">
        <f t="shared" si="19"/>
        <v>249163.52021250699</v>
      </c>
      <c r="H63" s="96">
        <f t="shared" si="18"/>
        <v>331758.95067880477</v>
      </c>
      <c r="I63" s="49"/>
      <c r="J63" s="50"/>
      <c r="K63" s="50"/>
    </row>
    <row r="64" spans="1:11" ht="15.75" thickBot="1" x14ac:dyDescent="0.3">
      <c r="A64" s="81" t="s">
        <v>136</v>
      </c>
      <c r="B64" s="82" t="s">
        <v>73</v>
      </c>
      <c r="C64" s="83">
        <f>IF(C62&lt;0,C62*-1,0)</f>
        <v>237.39528349736065</v>
      </c>
      <c r="D64" s="84">
        <f t="shared" ref="D64:G64" si="20">IF(D62&lt;0,D62*-1,0)</f>
        <v>0</v>
      </c>
      <c r="E64" s="85">
        <f t="shared" si="20"/>
        <v>241424.37318015413</v>
      </c>
      <c r="F64" s="85">
        <f t="shared" si="20"/>
        <v>0</v>
      </c>
      <c r="G64" s="84">
        <f t="shared" si="20"/>
        <v>0</v>
      </c>
      <c r="H64" s="97">
        <f t="shared" si="18"/>
        <v>241661.76846365148</v>
      </c>
      <c r="I64" s="49"/>
      <c r="J64" s="50"/>
      <c r="K64" s="50"/>
    </row>
  </sheetData>
  <sheetProtection password="CC7B" sheet="1" objects="1" scenarios="1"/>
  <pageMargins left="0.11811023622047245" right="0.11811023622047245" top="0.35433070866141736" bottom="0.35433070866141736" header="0.11811023622047245" footer="0.11811023622047245"/>
  <pageSetup scale="75" orientation="portrait" verticalDpi="0" r:id="rId1"/>
  <headerFooter>
    <oddFooter>&amp;L&amp;9&amp;Z&amp;F  &amp;A  &amp;D  &amp;T&amp;R&amp;P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3:L64"/>
  <sheetViews>
    <sheetView topLeftCell="A4" zoomScale="90" zoomScaleNormal="90" workbookViewId="0">
      <selection activeCell="F39" sqref="F39"/>
    </sheetView>
  </sheetViews>
  <sheetFormatPr defaultRowHeight="15" x14ac:dyDescent="0.25"/>
  <cols>
    <col min="1" max="1" width="36" customWidth="1"/>
    <col min="2" max="2" width="11.140625" bestFit="1" customWidth="1"/>
    <col min="3" max="3" width="15.28515625" bestFit="1" customWidth="1"/>
    <col min="4" max="4" width="12.5703125" bestFit="1" customWidth="1"/>
    <col min="5" max="5" width="12.85546875" bestFit="1" customWidth="1"/>
    <col min="6" max="7" width="12.140625" bestFit="1" customWidth="1"/>
    <col min="8" max="8" width="13.28515625" bestFit="1" customWidth="1"/>
    <col min="9" max="9" width="5.28515625" customWidth="1"/>
    <col min="10" max="10" width="10.42578125" style="4" customWidth="1"/>
    <col min="11" max="16384" width="9.140625" style="4"/>
  </cols>
  <sheetData>
    <row r="3" spans="1:9" ht="5.25" customHeight="1" x14ac:dyDescent="0.25">
      <c r="A3" s="2"/>
      <c r="B3" s="2"/>
      <c r="E3" s="4"/>
    </row>
    <row r="4" spans="1:9" x14ac:dyDescent="0.25">
      <c r="A4" s="2"/>
      <c r="B4" s="2"/>
      <c r="E4" s="4"/>
    </row>
    <row r="5" spans="1:9" x14ac:dyDescent="0.25">
      <c r="A5" s="61" t="s">
        <v>40</v>
      </c>
      <c r="B5" s="61"/>
      <c r="C5" s="62"/>
      <c r="D5" s="62"/>
      <c r="E5" s="62"/>
      <c r="F5" s="62"/>
      <c r="G5" s="62"/>
      <c r="H5" s="62"/>
      <c r="I5" s="62"/>
    </row>
    <row r="6" spans="1:9" x14ac:dyDescent="0.25">
      <c r="A6" s="2" t="s">
        <v>10</v>
      </c>
      <c r="B6" s="2"/>
      <c r="E6" s="99" t="s">
        <v>79</v>
      </c>
      <c r="F6" s="99">
        <v>2016</v>
      </c>
    </row>
    <row r="7" spans="1:9" ht="15.75" thickBot="1" x14ac:dyDescent="0.3">
      <c r="A7" s="2"/>
      <c r="B7" s="2"/>
      <c r="E7" s="4"/>
    </row>
    <row r="8" spans="1:9" ht="15.75" thickBot="1" x14ac:dyDescent="0.3">
      <c r="A8" s="13"/>
      <c r="B8" s="13"/>
      <c r="C8" s="15" t="s">
        <v>17</v>
      </c>
      <c r="D8" s="16" t="s">
        <v>18</v>
      </c>
      <c r="E8" s="4"/>
    </row>
    <row r="9" spans="1:9" x14ac:dyDescent="0.25">
      <c r="A9" s="7" t="s">
        <v>14</v>
      </c>
      <c r="B9" s="52" t="s">
        <v>52</v>
      </c>
      <c r="C9" s="188"/>
      <c r="D9" s="189"/>
    </row>
    <row r="10" spans="1:9" ht="17.25" x14ac:dyDescent="0.25">
      <c r="A10" s="8" t="s">
        <v>12</v>
      </c>
      <c r="B10" s="53" t="s">
        <v>53</v>
      </c>
      <c r="C10" s="55">
        <v>981295</v>
      </c>
      <c r="D10" s="190"/>
      <c r="E10" s="101"/>
      <c r="G10" s="101"/>
    </row>
    <row r="11" spans="1:9" ht="17.25" x14ac:dyDescent="0.25">
      <c r="A11" s="8" t="s">
        <v>13</v>
      </c>
      <c r="B11" s="53" t="s">
        <v>54</v>
      </c>
      <c r="C11" s="55">
        <v>375221</v>
      </c>
      <c r="D11" s="190"/>
      <c r="E11" s="101"/>
      <c r="F11" s="104"/>
      <c r="G11" s="101"/>
    </row>
    <row r="12" spans="1:9" ht="17.25" x14ac:dyDescent="0.25">
      <c r="A12" s="8" t="s">
        <v>11</v>
      </c>
      <c r="B12" s="53" t="s">
        <v>55</v>
      </c>
      <c r="C12" s="55">
        <v>12148773</v>
      </c>
      <c r="D12" s="190"/>
      <c r="G12" s="101"/>
    </row>
    <row r="13" spans="1:9" ht="17.25" x14ac:dyDescent="0.25">
      <c r="A13" s="8" t="s">
        <v>15</v>
      </c>
      <c r="B13" s="53" t="s">
        <v>56</v>
      </c>
      <c r="C13" s="55">
        <v>3244868</v>
      </c>
      <c r="D13" s="190"/>
      <c r="G13" s="101"/>
    </row>
    <row r="14" spans="1:9" ht="17.25" x14ac:dyDescent="0.25">
      <c r="A14" s="8" t="s">
        <v>16</v>
      </c>
      <c r="B14" s="53" t="s">
        <v>57</v>
      </c>
      <c r="C14" s="56">
        <v>3141403</v>
      </c>
      <c r="D14" s="191"/>
      <c r="F14" s="104"/>
      <c r="G14" s="101"/>
    </row>
    <row r="15" spans="1:9" x14ac:dyDescent="0.25">
      <c r="A15" s="18" t="s">
        <v>116</v>
      </c>
      <c r="B15" s="31" t="s">
        <v>58</v>
      </c>
      <c r="C15" s="57">
        <f>SUM(C10:C14)</f>
        <v>19891560</v>
      </c>
      <c r="D15" s="191"/>
    </row>
    <row r="16" spans="1:9" x14ac:dyDescent="0.25">
      <c r="A16" s="9" t="s">
        <v>101</v>
      </c>
      <c r="B16" s="30" t="s">
        <v>59</v>
      </c>
      <c r="C16" s="201">
        <v>1.49759E-2</v>
      </c>
      <c r="D16" s="5"/>
    </row>
    <row r="17" spans="1:11" ht="17.25" x14ac:dyDescent="0.25">
      <c r="A17" s="9" t="s">
        <v>99</v>
      </c>
      <c r="B17" s="30" t="s">
        <v>60</v>
      </c>
      <c r="C17" s="186"/>
      <c r="D17" s="5"/>
      <c r="I17" s="4"/>
      <c r="J17" s="42"/>
    </row>
    <row r="18" spans="1:11" ht="15.75" thickBot="1" x14ac:dyDescent="0.3">
      <c r="A18" s="10" t="s">
        <v>100</v>
      </c>
      <c r="B18" s="32" t="s">
        <v>61</v>
      </c>
      <c r="C18" s="202">
        <v>0.10709</v>
      </c>
      <c r="D18" s="6"/>
      <c r="I18" s="4"/>
    </row>
    <row r="19" spans="1:11" ht="8.25" customHeight="1" thickBot="1" x14ac:dyDescent="0.3">
      <c r="B19" s="17"/>
      <c r="I19" s="4"/>
    </row>
    <row r="20" spans="1:11" ht="15.75" thickBot="1" x14ac:dyDescent="0.3">
      <c r="A20" s="23" t="s">
        <v>3</v>
      </c>
      <c r="B20" s="15"/>
      <c r="C20" s="24" t="s">
        <v>19</v>
      </c>
      <c r="D20" s="16" t="s">
        <v>20</v>
      </c>
      <c r="E20" s="25" t="s">
        <v>4</v>
      </c>
      <c r="F20" s="25" t="s">
        <v>5</v>
      </c>
      <c r="G20" s="16" t="s">
        <v>6</v>
      </c>
      <c r="H20" s="90" t="s">
        <v>71</v>
      </c>
      <c r="I20" s="43"/>
    </row>
    <row r="21" spans="1:11" x14ac:dyDescent="0.25">
      <c r="A21" s="9" t="s">
        <v>21</v>
      </c>
      <c r="B21" s="30" t="s">
        <v>62</v>
      </c>
      <c r="C21" s="33">
        <v>0.10299999999999999</v>
      </c>
      <c r="D21" s="20">
        <v>0.121</v>
      </c>
      <c r="E21" s="26">
        <v>8.6999999999999994E-2</v>
      </c>
      <c r="F21" s="26">
        <v>0.13200000000000001</v>
      </c>
      <c r="G21" s="20">
        <v>0.18</v>
      </c>
      <c r="H21" s="91"/>
      <c r="I21" s="44"/>
    </row>
    <row r="22" spans="1:11" x14ac:dyDescent="0.25">
      <c r="A22" s="8" t="s">
        <v>22</v>
      </c>
      <c r="B22" s="53" t="s">
        <v>63</v>
      </c>
      <c r="C22" s="193"/>
      <c r="D22" s="192"/>
      <c r="E22" s="194"/>
      <c r="F22" s="194"/>
      <c r="G22" s="190"/>
      <c r="H22" s="92"/>
      <c r="I22" s="45"/>
    </row>
    <row r="23" spans="1:11" x14ac:dyDescent="0.25">
      <c r="A23" s="9" t="s">
        <v>117</v>
      </c>
      <c r="B23" s="30" t="s">
        <v>64</v>
      </c>
      <c r="C23" s="34">
        <f>C10</f>
        <v>981295</v>
      </c>
      <c r="D23" s="21">
        <f>C11</f>
        <v>375221</v>
      </c>
      <c r="E23" s="27">
        <f>C12</f>
        <v>12148773</v>
      </c>
      <c r="F23" s="27">
        <f>C13</f>
        <v>3244868</v>
      </c>
      <c r="G23" s="21">
        <f>C14</f>
        <v>3141403</v>
      </c>
      <c r="H23" s="93">
        <f>SUM(C23:G23)</f>
        <v>19891560</v>
      </c>
      <c r="I23" s="46"/>
    </row>
    <row r="24" spans="1:11" ht="9.75" customHeight="1" x14ac:dyDescent="0.25">
      <c r="A24" s="9"/>
      <c r="B24" s="30"/>
      <c r="C24" s="11"/>
      <c r="D24" s="5"/>
      <c r="E24" s="28"/>
      <c r="F24" s="28"/>
      <c r="G24" s="5"/>
      <c r="H24" s="8"/>
      <c r="I24" s="3"/>
    </row>
    <row r="25" spans="1:11" x14ac:dyDescent="0.25">
      <c r="A25" s="9" t="s">
        <v>118</v>
      </c>
      <c r="B25" s="30" t="s">
        <v>65</v>
      </c>
      <c r="C25" s="195">
        <f t="shared" ref="C25:D25" si="0">C23*C21</f>
        <v>101073.38499999999</v>
      </c>
      <c r="D25" s="196">
        <f t="shared" si="0"/>
        <v>45401.741000000002</v>
      </c>
      <c r="E25" s="197">
        <f>E23*E21</f>
        <v>1056943.2509999999</v>
      </c>
      <c r="F25" s="197">
        <f t="shared" ref="F25:G25" si="1">F23*F21</f>
        <v>428322.576</v>
      </c>
      <c r="G25" s="196">
        <f t="shared" si="1"/>
        <v>565452.54</v>
      </c>
      <c r="H25" s="94">
        <f t="shared" ref="H25:H30" si="2">SUM(C25:G25)</f>
        <v>2197193.4929999998</v>
      </c>
      <c r="I25" s="47"/>
    </row>
    <row r="26" spans="1:11" x14ac:dyDescent="0.25">
      <c r="A26" s="9" t="s">
        <v>119</v>
      </c>
      <c r="B26" s="30" t="s">
        <v>66</v>
      </c>
      <c r="C26" s="195">
        <f t="shared" ref="C26:D26" si="3">C23*$C$16</f>
        <v>14695.7757905</v>
      </c>
      <c r="D26" s="196">
        <f t="shared" si="3"/>
        <v>5619.2721738999999</v>
      </c>
      <c r="E26" s="197">
        <f>E23*$C$16</f>
        <v>181938.80957070002</v>
      </c>
      <c r="F26" s="197">
        <f t="shared" ref="F26:G26" si="4">F23*$C$16</f>
        <v>48594.818681199999</v>
      </c>
      <c r="G26" s="196">
        <f t="shared" si="4"/>
        <v>47045.337187700003</v>
      </c>
      <c r="H26" s="94">
        <f t="shared" si="2"/>
        <v>297894.01340400003</v>
      </c>
      <c r="I26" s="47"/>
    </row>
    <row r="27" spans="1:11" ht="15.75" thickBot="1" x14ac:dyDescent="0.3">
      <c r="A27" s="10" t="s">
        <v>120</v>
      </c>
      <c r="B27" s="32" t="s">
        <v>67</v>
      </c>
      <c r="C27" s="198">
        <f>C23*$C$18</f>
        <v>105086.88155000001</v>
      </c>
      <c r="D27" s="199">
        <f t="shared" ref="D27:G27" si="5">D23*$C$18</f>
        <v>40182.41689</v>
      </c>
      <c r="E27" s="200">
        <f t="shared" si="5"/>
        <v>1301012.10057</v>
      </c>
      <c r="F27" s="200">
        <f t="shared" si="5"/>
        <v>347492.91412000003</v>
      </c>
      <c r="G27" s="199">
        <f t="shared" si="5"/>
        <v>336412.84727000003</v>
      </c>
      <c r="H27" s="95">
        <f t="shared" si="2"/>
        <v>2130187.1604000004</v>
      </c>
      <c r="I27" s="47"/>
      <c r="J27" s="152"/>
    </row>
    <row r="28" spans="1:11" x14ac:dyDescent="0.25">
      <c r="A28" s="18" t="s">
        <v>121</v>
      </c>
      <c r="B28" s="31" t="s">
        <v>68</v>
      </c>
      <c r="C28" s="129">
        <f>93698-105089</f>
        <v>-11391</v>
      </c>
      <c r="D28" s="130">
        <f>35828-40183</f>
        <v>-4355</v>
      </c>
      <c r="E28" s="131">
        <f>1160019-1301033</f>
        <v>-141014</v>
      </c>
      <c r="F28" s="131">
        <f>309834-347499</f>
        <v>-37665</v>
      </c>
      <c r="G28" s="130">
        <f>299955-336418</f>
        <v>-36463</v>
      </c>
      <c r="H28" s="98">
        <f t="shared" si="2"/>
        <v>-230888</v>
      </c>
      <c r="I28" s="48"/>
      <c r="J28" s="50"/>
    </row>
    <row r="29" spans="1:11" x14ac:dyDescent="0.25">
      <c r="A29" s="66" t="s">
        <v>122</v>
      </c>
      <c r="B29" s="67" t="s">
        <v>69</v>
      </c>
      <c r="C29" s="68">
        <f>IF(C28&gt;0,C28,0)</f>
        <v>0</v>
      </c>
      <c r="D29" s="69">
        <f t="shared" ref="D29:G29" si="6">IF(D28&gt;0,D28,0)</f>
        <v>0</v>
      </c>
      <c r="E29" s="70">
        <f t="shared" si="6"/>
        <v>0</v>
      </c>
      <c r="F29" s="70">
        <f t="shared" si="6"/>
        <v>0</v>
      </c>
      <c r="G29" s="69">
        <f t="shared" si="6"/>
        <v>0</v>
      </c>
      <c r="H29" s="96">
        <f t="shared" si="2"/>
        <v>0</v>
      </c>
      <c r="I29" s="49"/>
      <c r="J29" s="50"/>
      <c r="K29" s="50"/>
    </row>
    <row r="30" spans="1:11" ht="15.75" thickBot="1" x14ac:dyDescent="0.3">
      <c r="A30" s="71" t="s">
        <v>123</v>
      </c>
      <c r="B30" s="72" t="s">
        <v>70</v>
      </c>
      <c r="C30" s="73">
        <f>IF(C28&lt;0,C28*-1,0)</f>
        <v>11391</v>
      </c>
      <c r="D30" s="74">
        <f t="shared" ref="D30:G30" si="7">IF(D28&lt;0,D28*-1,0)</f>
        <v>4355</v>
      </c>
      <c r="E30" s="75">
        <f t="shared" si="7"/>
        <v>141014</v>
      </c>
      <c r="F30" s="75">
        <f t="shared" si="7"/>
        <v>37665</v>
      </c>
      <c r="G30" s="74">
        <f t="shared" si="7"/>
        <v>36463</v>
      </c>
      <c r="H30" s="97">
        <f t="shared" si="2"/>
        <v>230888</v>
      </c>
      <c r="I30" s="49"/>
      <c r="J30" s="50"/>
      <c r="K30" s="50"/>
    </row>
    <row r="31" spans="1:11" x14ac:dyDescent="0.25">
      <c r="B31" s="17"/>
      <c r="C31" s="19"/>
      <c r="D31" s="19"/>
      <c r="E31" s="19"/>
      <c r="F31" s="19"/>
      <c r="G31" s="19"/>
      <c r="I31" s="50"/>
      <c r="J31" s="50"/>
      <c r="K31" s="50"/>
    </row>
    <row r="32" spans="1:11" x14ac:dyDescent="0.25">
      <c r="B32" s="17"/>
      <c r="C32" s="19"/>
      <c r="D32" s="19"/>
      <c r="E32" s="19"/>
      <c r="F32" s="19"/>
      <c r="G32" s="19"/>
      <c r="H32" s="19"/>
      <c r="I32" s="50"/>
      <c r="J32" s="50"/>
      <c r="K32" s="50"/>
    </row>
    <row r="33" spans="1:12" x14ac:dyDescent="0.25">
      <c r="A33" s="65" t="s">
        <v>41</v>
      </c>
      <c r="B33" s="63"/>
      <c r="C33" s="64"/>
      <c r="D33" s="64"/>
      <c r="E33" s="64"/>
      <c r="F33" s="64"/>
      <c r="G33" s="64"/>
      <c r="H33" s="64"/>
      <c r="I33" s="64"/>
      <c r="J33" s="50"/>
      <c r="K33" s="50"/>
    </row>
    <row r="34" spans="1:12" x14ac:dyDescent="0.25">
      <c r="A34" s="2" t="s">
        <v>10</v>
      </c>
      <c r="B34" s="2"/>
      <c r="E34" s="4"/>
      <c r="F34" s="122"/>
    </row>
    <row r="35" spans="1:12" ht="15.75" thickBot="1" x14ac:dyDescent="0.3">
      <c r="B35" s="17"/>
      <c r="C35" s="19"/>
      <c r="D35" s="19"/>
      <c r="E35" s="19"/>
      <c r="F35" s="19"/>
      <c r="G35" s="19"/>
      <c r="H35" s="19"/>
      <c r="I35" s="50"/>
      <c r="J35" s="50"/>
      <c r="K35" s="50"/>
    </row>
    <row r="36" spans="1:12" ht="30.75" thickBot="1" x14ac:dyDescent="0.3">
      <c r="A36" s="13"/>
      <c r="B36" s="13"/>
      <c r="C36" s="15" t="s">
        <v>17</v>
      </c>
      <c r="D36" s="16" t="s">
        <v>18</v>
      </c>
      <c r="E36" s="4"/>
      <c r="G36" s="220" t="s">
        <v>138</v>
      </c>
      <c r="J36" s="42"/>
    </row>
    <row r="37" spans="1:12" x14ac:dyDescent="0.25">
      <c r="A37" s="7" t="s">
        <v>14</v>
      </c>
      <c r="B37" s="52" t="s">
        <v>27</v>
      </c>
      <c r="C37" s="54">
        <v>45203994</v>
      </c>
      <c r="D37" s="14">
        <f>C37/C37</f>
        <v>1</v>
      </c>
    </row>
    <row r="38" spans="1:12" ht="17.25" x14ac:dyDescent="0.25">
      <c r="A38" s="8" t="s">
        <v>124</v>
      </c>
      <c r="B38" s="53" t="s">
        <v>28</v>
      </c>
      <c r="C38" s="55">
        <f>G38*D38</f>
        <v>844367.71600000001</v>
      </c>
      <c r="D38" s="169">
        <v>0.71899999999999997</v>
      </c>
      <c r="F38" s="101">
        <f>G38/G43</f>
        <v>5.1180551073318779E-2</v>
      </c>
      <c r="G38" s="103">
        <v>1174364</v>
      </c>
    </row>
    <row r="39" spans="1:12" ht="17.25" x14ac:dyDescent="0.25">
      <c r="A39" s="8" t="s">
        <v>125</v>
      </c>
      <c r="B39" s="53" t="s">
        <v>29</v>
      </c>
      <c r="C39" s="55">
        <f>G38*D39</f>
        <v>329996.28400000004</v>
      </c>
      <c r="D39" s="169">
        <v>0.28100000000000003</v>
      </c>
      <c r="F39" s="101"/>
    </row>
    <row r="40" spans="1:12" ht="17.25" x14ac:dyDescent="0.25">
      <c r="A40" s="8" t="s">
        <v>126</v>
      </c>
      <c r="B40" s="53" t="s">
        <v>30</v>
      </c>
      <c r="C40" s="55">
        <f>G40*D40</f>
        <v>14020619.956</v>
      </c>
      <c r="D40" s="169">
        <v>0.64400000000000002</v>
      </c>
      <c r="F40" s="101">
        <f>G40/G43</f>
        <v>0.94881944892668124</v>
      </c>
      <c r="G40" s="103">
        <v>21771149</v>
      </c>
    </row>
    <row r="41" spans="1:12" ht="17.25" x14ac:dyDescent="0.25">
      <c r="A41" s="8" t="s">
        <v>127</v>
      </c>
      <c r="B41" s="53" t="s">
        <v>31</v>
      </c>
      <c r="C41" s="55">
        <f>G40*D41</f>
        <v>3709803.7895999998</v>
      </c>
      <c r="D41" s="169">
        <v>0.1704</v>
      </c>
      <c r="F41" s="101"/>
    </row>
    <row r="42" spans="1:12" ht="17.25" x14ac:dyDescent="0.25">
      <c r="A42" s="8" t="s">
        <v>128</v>
      </c>
      <c r="B42" s="53" t="s">
        <v>32</v>
      </c>
      <c r="C42" s="56">
        <f>G40*D42</f>
        <v>4040725.2543999995</v>
      </c>
      <c r="D42" s="170">
        <v>0.18559999999999999</v>
      </c>
      <c r="F42" s="101"/>
    </row>
    <row r="43" spans="1:12" x14ac:dyDescent="0.25">
      <c r="A43" s="18" t="s">
        <v>129</v>
      </c>
      <c r="B43" s="31" t="s">
        <v>33</v>
      </c>
      <c r="C43" s="57">
        <f>SUM(C38:C42)</f>
        <v>22945513</v>
      </c>
      <c r="D43" s="12">
        <f>C43/C37</f>
        <v>0.50759924001405721</v>
      </c>
      <c r="F43" s="101">
        <f>C43/G43</f>
        <v>1</v>
      </c>
      <c r="G43" s="103">
        <v>22945513</v>
      </c>
      <c r="H43" s="104">
        <f>F38+F40-F43</f>
        <v>0</v>
      </c>
    </row>
    <row r="44" spans="1:12" x14ac:dyDescent="0.25">
      <c r="A44" s="9" t="s">
        <v>2</v>
      </c>
      <c r="B44" s="30" t="s">
        <v>34</v>
      </c>
      <c r="C44" s="58">
        <f>D45/C45</f>
        <v>1.8454549355856161E-2</v>
      </c>
      <c r="D44" s="5"/>
    </row>
    <row r="45" spans="1:12" ht="17.25" x14ac:dyDescent="0.25">
      <c r="A45" s="9" t="s">
        <v>87</v>
      </c>
      <c r="B45" s="30" t="s">
        <v>35</v>
      </c>
      <c r="C45" s="55">
        <v>44076992.307692304</v>
      </c>
      <c r="D45" s="51">
        <v>813421.03</v>
      </c>
      <c r="L45" s="42"/>
    </row>
    <row r="46" spans="1:12" ht="17.25" x14ac:dyDescent="0.25">
      <c r="A46" s="9" t="s">
        <v>38</v>
      </c>
      <c r="B46" s="30" t="s">
        <v>36</v>
      </c>
      <c r="C46" s="59">
        <v>95.45</v>
      </c>
      <c r="D46" s="5"/>
      <c r="I46" s="4"/>
      <c r="J46" s="42"/>
    </row>
    <row r="47" spans="1:12" ht="15.75" thickBot="1" x14ac:dyDescent="0.3">
      <c r="A47" s="10" t="s">
        <v>39</v>
      </c>
      <c r="B47" s="32" t="s">
        <v>37</v>
      </c>
      <c r="C47" s="60">
        <f>C46/1000</f>
        <v>9.5450000000000007E-2</v>
      </c>
      <c r="D47" s="6"/>
      <c r="H47" s="4"/>
      <c r="I47" s="4"/>
    </row>
    <row r="48" spans="1:12" ht="15.75" thickBot="1" x14ac:dyDescent="0.3">
      <c r="B48" s="17"/>
      <c r="H48" s="4"/>
      <c r="I48" s="4"/>
    </row>
    <row r="49" spans="1:11" ht="15.75" thickBot="1" x14ac:dyDescent="0.3">
      <c r="A49" s="23" t="s">
        <v>137</v>
      </c>
      <c r="B49" s="15"/>
      <c r="C49" s="24" t="s">
        <v>19</v>
      </c>
      <c r="D49" s="16" t="s">
        <v>20</v>
      </c>
      <c r="E49" s="25" t="s">
        <v>4</v>
      </c>
      <c r="F49" s="25" t="s">
        <v>5</v>
      </c>
      <c r="G49" s="16" t="s">
        <v>6</v>
      </c>
      <c r="H49" s="90" t="s">
        <v>71</v>
      </c>
      <c r="I49" s="43"/>
    </row>
    <row r="50" spans="1:11" x14ac:dyDescent="0.25">
      <c r="A50" s="9" t="s">
        <v>21</v>
      </c>
      <c r="B50" s="30" t="s">
        <v>43</v>
      </c>
      <c r="C50" s="118">
        <f>C21</f>
        <v>0.10299999999999999</v>
      </c>
      <c r="D50" s="119">
        <f t="shared" ref="D50:G50" si="8">D21</f>
        <v>0.121</v>
      </c>
      <c r="E50" s="120">
        <f t="shared" si="8"/>
        <v>8.6999999999999994E-2</v>
      </c>
      <c r="F50" s="120">
        <f t="shared" si="8"/>
        <v>0.13200000000000001</v>
      </c>
      <c r="G50" s="119">
        <f t="shared" si="8"/>
        <v>0.18</v>
      </c>
      <c r="H50" s="91"/>
      <c r="I50" s="44"/>
    </row>
    <row r="51" spans="1:11" x14ac:dyDescent="0.25">
      <c r="A51" s="8" t="s">
        <v>22</v>
      </c>
      <c r="B51" s="53" t="s">
        <v>44</v>
      </c>
      <c r="C51" s="193"/>
      <c r="D51" s="192"/>
      <c r="E51" s="194"/>
      <c r="F51" s="194"/>
      <c r="G51" s="190"/>
      <c r="H51" s="92"/>
      <c r="I51" s="45"/>
    </row>
    <row r="52" spans="1:11" x14ac:dyDescent="0.25">
      <c r="A52" s="9" t="s">
        <v>130</v>
      </c>
      <c r="B52" s="30" t="s">
        <v>45</v>
      </c>
      <c r="C52" s="34">
        <f>C38</f>
        <v>844367.71600000001</v>
      </c>
      <c r="D52" s="21">
        <f>C39</f>
        <v>329996.28400000004</v>
      </c>
      <c r="E52" s="27">
        <f>C40</f>
        <v>14020619.956</v>
      </c>
      <c r="F52" s="27">
        <f>C41</f>
        <v>3709803.7895999998</v>
      </c>
      <c r="G52" s="21">
        <f>C42</f>
        <v>4040725.2543999995</v>
      </c>
      <c r="H52" s="93">
        <f>SUM(C52:G52)</f>
        <v>22945513</v>
      </c>
      <c r="I52" s="46"/>
    </row>
    <row r="53" spans="1:11" x14ac:dyDescent="0.25">
      <c r="A53" s="9"/>
      <c r="B53" s="30"/>
      <c r="C53" s="11"/>
      <c r="D53" s="5"/>
      <c r="E53" s="28"/>
      <c r="F53" s="28"/>
      <c r="G53" s="5"/>
      <c r="H53" s="8"/>
      <c r="I53" s="3"/>
    </row>
    <row r="54" spans="1:11" x14ac:dyDescent="0.25">
      <c r="A54" s="9" t="s">
        <v>131</v>
      </c>
      <c r="B54" s="30" t="s">
        <v>46</v>
      </c>
      <c r="C54" s="35">
        <f>C52*C50</f>
        <v>86969.874748000002</v>
      </c>
      <c r="D54" s="22">
        <f t="shared" ref="D54" si="9">D52*D50</f>
        <v>39929.550364000002</v>
      </c>
      <c r="E54" s="29">
        <f>E52*E50</f>
        <v>1219793.9361719999</v>
      </c>
      <c r="F54" s="29">
        <f t="shared" ref="F54:G54" si="10">F52*F50</f>
        <v>489694.10022720002</v>
      </c>
      <c r="G54" s="22">
        <f t="shared" si="10"/>
        <v>727330.5457919999</v>
      </c>
      <c r="H54" s="94">
        <f t="shared" ref="H54:H59" si="11">SUM(C54:G54)</f>
        <v>2563718.0073031997</v>
      </c>
      <c r="I54" s="47"/>
    </row>
    <row r="55" spans="1:11" x14ac:dyDescent="0.25">
      <c r="A55" s="9" t="s">
        <v>132</v>
      </c>
      <c r="B55" s="30" t="s">
        <v>47</v>
      </c>
      <c r="C55" s="35">
        <f>C52*$C$44</f>
        <v>15582.425689413538</v>
      </c>
      <c r="D55" s="22">
        <f t="shared" ref="D55:G55" si="12">D52*$C$44</f>
        <v>6089.932710327128</v>
      </c>
      <c r="E55" s="29">
        <f t="shared" si="12"/>
        <v>258744.22297770384</v>
      </c>
      <c r="F55" s="29">
        <f t="shared" si="12"/>
        <v>68462.757135715423</v>
      </c>
      <c r="G55" s="22">
        <f t="shared" si="12"/>
        <v>74569.763640779231</v>
      </c>
      <c r="H55" s="94">
        <f t="shared" si="11"/>
        <v>423449.10215393914</v>
      </c>
      <c r="I55" s="47"/>
    </row>
    <row r="56" spans="1:11" ht="15.75" thickBot="1" x14ac:dyDescent="0.3">
      <c r="A56" s="10" t="s">
        <v>133</v>
      </c>
      <c r="B56" s="32" t="s">
        <v>48</v>
      </c>
      <c r="C56" s="39">
        <f>C52*$C$47</f>
        <v>80594.898492200009</v>
      </c>
      <c r="D56" s="40">
        <f t="shared" ref="D56:G56" si="13">D52*$C$47</f>
        <v>31498.145307800005</v>
      </c>
      <c r="E56" s="41">
        <f t="shared" si="13"/>
        <v>1338268.1748002002</v>
      </c>
      <c r="F56" s="41">
        <f t="shared" si="13"/>
        <v>354100.77171732002</v>
      </c>
      <c r="G56" s="40">
        <f t="shared" si="13"/>
        <v>385687.22553247999</v>
      </c>
      <c r="H56" s="95">
        <f t="shared" si="11"/>
        <v>2190149.2158500003</v>
      </c>
      <c r="I56" s="47"/>
    </row>
    <row r="57" spans="1:11" x14ac:dyDescent="0.25">
      <c r="A57" s="18" t="s">
        <v>25</v>
      </c>
      <c r="B57" s="31" t="s">
        <v>49</v>
      </c>
      <c r="C57" s="36">
        <f>C54-C55-C56</f>
        <v>-9207.4494336135394</v>
      </c>
      <c r="D57" s="37">
        <f t="shared" ref="D57:G57" si="14">D54-D55-D56</f>
        <v>2341.4723458728695</v>
      </c>
      <c r="E57" s="38">
        <f t="shared" si="14"/>
        <v>-377218.46160590416</v>
      </c>
      <c r="F57" s="38">
        <f t="shared" si="14"/>
        <v>67130.571374164603</v>
      </c>
      <c r="G57" s="37">
        <f t="shared" si="14"/>
        <v>267073.55661874072</v>
      </c>
      <c r="H57" s="98">
        <f t="shared" si="11"/>
        <v>-49880.310700739501</v>
      </c>
      <c r="I57" s="48"/>
    </row>
    <row r="58" spans="1:11" x14ac:dyDescent="0.25">
      <c r="A58" s="76" t="s">
        <v>23</v>
      </c>
      <c r="B58" s="77" t="s">
        <v>50</v>
      </c>
      <c r="C58" s="78">
        <f>IF(C57&gt;0,C57,0)</f>
        <v>0</v>
      </c>
      <c r="D58" s="79">
        <f t="shared" ref="D58:G58" si="15">IF(D57&gt;0,D57,0)</f>
        <v>2341.4723458728695</v>
      </c>
      <c r="E58" s="80">
        <f t="shared" si="15"/>
        <v>0</v>
      </c>
      <c r="F58" s="80">
        <f t="shared" si="15"/>
        <v>67130.571374164603</v>
      </c>
      <c r="G58" s="79">
        <f t="shared" si="15"/>
        <v>267073.55661874072</v>
      </c>
      <c r="H58" s="96">
        <f t="shared" si="11"/>
        <v>336545.60033877823</v>
      </c>
      <c r="I58" s="49"/>
      <c r="J58" s="50"/>
      <c r="K58" s="50"/>
    </row>
    <row r="59" spans="1:11" ht="15.75" thickBot="1" x14ac:dyDescent="0.3">
      <c r="A59" s="81" t="s">
        <v>24</v>
      </c>
      <c r="B59" s="82" t="s">
        <v>51</v>
      </c>
      <c r="C59" s="83">
        <f>IF(C57&lt;0,C57*-1,0)</f>
        <v>9207.4494336135394</v>
      </c>
      <c r="D59" s="84">
        <f t="shared" ref="D59:G59" si="16">IF(D57&lt;0,D57*-1,0)</f>
        <v>0</v>
      </c>
      <c r="E59" s="85">
        <f t="shared" si="16"/>
        <v>377218.46160590416</v>
      </c>
      <c r="F59" s="85">
        <f t="shared" si="16"/>
        <v>0</v>
      </c>
      <c r="G59" s="84">
        <f t="shared" si="16"/>
        <v>0</v>
      </c>
      <c r="H59" s="97">
        <f t="shared" si="11"/>
        <v>386425.91103951773</v>
      </c>
      <c r="I59" s="49"/>
      <c r="J59" s="50"/>
      <c r="K59" s="50"/>
    </row>
    <row r="60" spans="1:11" x14ac:dyDescent="0.25">
      <c r="B60" s="17"/>
      <c r="C60" s="19"/>
      <c r="D60" s="19"/>
      <c r="E60" s="19"/>
      <c r="F60" s="19"/>
      <c r="G60" s="19"/>
      <c r="H60" s="50"/>
      <c r="I60" s="50"/>
      <c r="J60" s="50"/>
      <c r="K60" s="50"/>
    </row>
    <row r="61" spans="1:11" ht="15.75" thickBot="1" x14ac:dyDescent="0.3">
      <c r="A61" s="86" t="s">
        <v>42</v>
      </c>
      <c r="H61" s="4"/>
      <c r="I61" s="4"/>
    </row>
    <row r="62" spans="1:11" x14ac:dyDescent="0.25">
      <c r="A62" s="7" t="s">
        <v>134</v>
      </c>
      <c r="B62" s="52"/>
      <c r="C62" s="87">
        <f>C57-C28</f>
        <v>2183.5505663864606</v>
      </c>
      <c r="D62" s="88">
        <f t="shared" ref="D62:G62" si="17">D57-D28</f>
        <v>6696.4723458728695</v>
      </c>
      <c r="E62" s="89">
        <f t="shared" si="17"/>
        <v>-236204.46160590416</v>
      </c>
      <c r="F62" s="89">
        <f t="shared" si="17"/>
        <v>104795.5713741646</v>
      </c>
      <c r="G62" s="88">
        <f t="shared" si="17"/>
        <v>303536.55661874072</v>
      </c>
      <c r="H62" s="98">
        <f t="shared" ref="H62:H64" si="18">SUM(C62:G62)</f>
        <v>181007.6892992605</v>
      </c>
      <c r="I62" s="48"/>
    </row>
    <row r="63" spans="1:11" x14ac:dyDescent="0.25">
      <c r="A63" s="76" t="s">
        <v>135</v>
      </c>
      <c r="B63" s="77" t="s">
        <v>72</v>
      </c>
      <c r="C63" s="78">
        <f>IF(C62&gt;0,C62,0)</f>
        <v>2183.5505663864606</v>
      </c>
      <c r="D63" s="79">
        <f t="shared" ref="D63:G63" si="19">IF(D62&gt;0,D62,0)</f>
        <v>6696.4723458728695</v>
      </c>
      <c r="E63" s="80">
        <f t="shared" si="19"/>
        <v>0</v>
      </c>
      <c r="F63" s="80">
        <f t="shared" si="19"/>
        <v>104795.5713741646</v>
      </c>
      <c r="G63" s="79">
        <f t="shared" si="19"/>
        <v>303536.55661874072</v>
      </c>
      <c r="H63" s="96">
        <f t="shared" si="18"/>
        <v>417212.15090516466</v>
      </c>
      <c r="I63" s="49"/>
      <c r="J63" s="50"/>
      <c r="K63" s="50"/>
    </row>
    <row r="64" spans="1:11" ht="15.75" thickBot="1" x14ac:dyDescent="0.3">
      <c r="A64" s="81" t="s">
        <v>136</v>
      </c>
      <c r="B64" s="82" t="s">
        <v>73</v>
      </c>
      <c r="C64" s="83">
        <f>IF(C62&lt;0,C62*-1,0)</f>
        <v>0</v>
      </c>
      <c r="D64" s="84">
        <f t="shared" ref="D64:G64" si="20">IF(D62&lt;0,D62*-1,0)</f>
        <v>0</v>
      </c>
      <c r="E64" s="85">
        <f t="shared" si="20"/>
        <v>236204.46160590416</v>
      </c>
      <c r="F64" s="85">
        <f t="shared" si="20"/>
        <v>0</v>
      </c>
      <c r="G64" s="84">
        <f t="shared" si="20"/>
        <v>0</v>
      </c>
      <c r="H64" s="97">
        <f t="shared" si="18"/>
        <v>236204.46160590416</v>
      </c>
      <c r="I64" s="49"/>
      <c r="J64" s="50"/>
      <c r="K64" s="50"/>
    </row>
  </sheetData>
  <sheetProtection password="CC7B" sheet="1" objects="1" scenarios="1"/>
  <pageMargins left="0.11811023622047245" right="0.11811023622047245" top="0.35433070866141736" bottom="0.35433070866141736" header="0.11811023622047245" footer="0.11811023622047245"/>
  <pageSetup scale="75" orientation="portrait" verticalDpi="0" r:id="rId1"/>
  <headerFooter>
    <oddFooter>&amp;L&amp;9&amp;Z&amp;F  &amp;A  &amp;D  &amp;T&amp;R&amp;P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3:L64"/>
  <sheetViews>
    <sheetView zoomScale="90" zoomScaleNormal="90" workbookViewId="0">
      <selection activeCell="M16" sqref="M16"/>
    </sheetView>
  </sheetViews>
  <sheetFormatPr defaultRowHeight="15" x14ac:dyDescent="0.25"/>
  <cols>
    <col min="1" max="1" width="36" customWidth="1"/>
    <col min="2" max="2" width="11.140625" bestFit="1" customWidth="1"/>
    <col min="3" max="3" width="15.28515625" bestFit="1" customWidth="1"/>
    <col min="4" max="4" width="12.5703125" bestFit="1" customWidth="1"/>
    <col min="5" max="5" width="12.85546875" bestFit="1" customWidth="1"/>
    <col min="6" max="7" width="12.140625" bestFit="1" customWidth="1"/>
    <col min="8" max="8" width="13.28515625" bestFit="1" customWidth="1"/>
    <col min="9" max="9" width="5.28515625" customWidth="1"/>
    <col min="10" max="10" width="9.7109375" style="4" customWidth="1"/>
    <col min="11" max="16384" width="9.140625" style="4"/>
  </cols>
  <sheetData>
    <row r="3" spans="1:9" ht="5.25" customHeight="1" x14ac:dyDescent="0.25">
      <c r="A3" s="2"/>
      <c r="B3" s="2"/>
      <c r="E3" s="4"/>
    </row>
    <row r="4" spans="1:9" x14ac:dyDescent="0.25">
      <c r="A4" s="2"/>
      <c r="B4" s="2"/>
      <c r="E4" s="4"/>
    </row>
    <row r="5" spans="1:9" x14ac:dyDescent="0.25">
      <c r="A5" s="61" t="s">
        <v>40</v>
      </c>
      <c r="B5" s="61"/>
      <c r="C5" s="62"/>
      <c r="D5" s="62"/>
      <c r="E5" s="62"/>
      <c r="F5" s="62"/>
      <c r="G5" s="62"/>
      <c r="H5" s="62"/>
      <c r="I5" s="62"/>
    </row>
    <row r="6" spans="1:9" x14ac:dyDescent="0.25">
      <c r="A6" s="2" t="s">
        <v>10</v>
      </c>
      <c r="B6" s="2"/>
      <c r="E6" s="128" t="s">
        <v>80</v>
      </c>
      <c r="F6" s="99">
        <v>2016</v>
      </c>
    </row>
    <row r="7" spans="1:9" ht="15.75" thickBot="1" x14ac:dyDescent="0.3">
      <c r="A7" s="2"/>
      <c r="B7" s="2"/>
      <c r="E7" s="4"/>
    </row>
    <row r="8" spans="1:9" ht="15.75" thickBot="1" x14ac:dyDescent="0.3">
      <c r="A8" s="13"/>
      <c r="B8" s="13"/>
      <c r="C8" s="15" t="s">
        <v>17</v>
      </c>
      <c r="D8" s="16" t="s">
        <v>18</v>
      </c>
      <c r="E8" s="4"/>
    </row>
    <row r="9" spans="1:9" x14ac:dyDescent="0.25">
      <c r="A9" s="7" t="s">
        <v>14</v>
      </c>
      <c r="B9" s="52" t="s">
        <v>52</v>
      </c>
      <c r="C9" s="188"/>
      <c r="D9" s="189"/>
    </row>
    <row r="10" spans="1:9" ht="17.25" x14ac:dyDescent="0.25">
      <c r="A10" s="8" t="s">
        <v>12</v>
      </c>
      <c r="B10" s="53" t="s">
        <v>53</v>
      </c>
      <c r="C10" s="55">
        <v>594486</v>
      </c>
      <c r="D10" s="190"/>
      <c r="E10" s="101"/>
      <c r="G10" s="101"/>
    </row>
    <row r="11" spans="1:9" ht="17.25" x14ac:dyDescent="0.25">
      <c r="A11" s="8" t="s">
        <v>13</v>
      </c>
      <c r="B11" s="53" t="s">
        <v>54</v>
      </c>
      <c r="C11" s="55">
        <v>314492</v>
      </c>
      <c r="D11" s="190"/>
      <c r="E11" s="101"/>
      <c r="F11" s="104"/>
      <c r="G11" s="101"/>
    </row>
    <row r="12" spans="1:9" ht="17.25" x14ac:dyDescent="0.25">
      <c r="A12" s="8" t="s">
        <v>11</v>
      </c>
      <c r="B12" s="53" t="s">
        <v>55</v>
      </c>
      <c r="C12" s="55">
        <v>14186707</v>
      </c>
      <c r="D12" s="190"/>
      <c r="G12" s="101"/>
    </row>
    <row r="13" spans="1:9" ht="17.25" x14ac:dyDescent="0.25">
      <c r="A13" s="8" t="s">
        <v>15</v>
      </c>
      <c r="B13" s="53" t="s">
        <v>56</v>
      </c>
      <c r="C13" s="55">
        <v>3794652</v>
      </c>
      <c r="D13" s="190"/>
      <c r="G13" s="101"/>
    </row>
    <row r="14" spans="1:9" ht="17.25" x14ac:dyDescent="0.25">
      <c r="A14" s="8" t="s">
        <v>16</v>
      </c>
      <c r="B14" s="53" t="s">
        <v>57</v>
      </c>
      <c r="C14" s="56">
        <v>3930111</v>
      </c>
      <c r="D14" s="191"/>
      <c r="F14" s="104"/>
      <c r="G14" s="101"/>
    </row>
    <row r="15" spans="1:9" x14ac:dyDescent="0.25">
      <c r="A15" s="18" t="s">
        <v>116</v>
      </c>
      <c r="B15" s="31" t="s">
        <v>58</v>
      </c>
      <c r="C15" s="57">
        <f>SUM(C10:C14)</f>
        <v>22820448</v>
      </c>
      <c r="D15" s="191"/>
    </row>
    <row r="16" spans="1:9" x14ac:dyDescent="0.25">
      <c r="A16" s="9" t="s">
        <v>101</v>
      </c>
      <c r="B16" s="30" t="s">
        <v>59</v>
      </c>
      <c r="C16" s="201">
        <v>2.2413499999999999E-2</v>
      </c>
      <c r="D16" s="5"/>
    </row>
    <row r="17" spans="1:11" ht="17.25" x14ac:dyDescent="0.25">
      <c r="A17" s="9" t="s">
        <v>99</v>
      </c>
      <c r="B17" s="30" t="s">
        <v>60</v>
      </c>
      <c r="C17" s="186"/>
      <c r="D17" s="5"/>
      <c r="I17" s="4"/>
      <c r="J17" s="42"/>
    </row>
    <row r="18" spans="1:11" ht="15.75" thickBot="1" x14ac:dyDescent="0.3">
      <c r="A18" s="10" t="s">
        <v>100</v>
      </c>
      <c r="B18" s="32" t="s">
        <v>61</v>
      </c>
      <c r="C18" s="202">
        <v>0.10854999999999999</v>
      </c>
      <c r="D18" s="6"/>
      <c r="I18" s="4"/>
    </row>
    <row r="19" spans="1:11" ht="8.25" customHeight="1" thickBot="1" x14ac:dyDescent="0.3">
      <c r="B19" s="17"/>
      <c r="I19" s="4"/>
    </row>
    <row r="20" spans="1:11" ht="15.75" thickBot="1" x14ac:dyDescent="0.3">
      <c r="A20" s="23" t="s">
        <v>3</v>
      </c>
      <c r="B20" s="15"/>
      <c r="C20" s="24" t="s">
        <v>19</v>
      </c>
      <c r="D20" s="16" t="s">
        <v>20</v>
      </c>
      <c r="E20" s="25" t="s">
        <v>4</v>
      </c>
      <c r="F20" s="25" t="s">
        <v>5</v>
      </c>
      <c r="G20" s="16" t="s">
        <v>6</v>
      </c>
      <c r="H20" s="90" t="s">
        <v>71</v>
      </c>
      <c r="I20" s="43"/>
    </row>
    <row r="21" spans="1:11" x14ac:dyDescent="0.25">
      <c r="A21" s="9" t="s">
        <v>21</v>
      </c>
      <c r="B21" s="30" t="s">
        <v>62</v>
      </c>
      <c r="C21" s="33">
        <v>0.10299999999999999</v>
      </c>
      <c r="D21" s="20">
        <v>0.121</v>
      </c>
      <c r="E21" s="26">
        <v>8.6999999999999994E-2</v>
      </c>
      <c r="F21" s="26">
        <v>0.13200000000000001</v>
      </c>
      <c r="G21" s="20">
        <v>0.18</v>
      </c>
      <c r="H21" s="91"/>
      <c r="I21" s="44"/>
    </row>
    <row r="22" spans="1:11" x14ac:dyDescent="0.25">
      <c r="A22" s="8" t="s">
        <v>22</v>
      </c>
      <c r="B22" s="53" t="s">
        <v>63</v>
      </c>
      <c r="C22" s="193"/>
      <c r="D22" s="192"/>
      <c r="E22" s="194"/>
      <c r="F22" s="194"/>
      <c r="G22" s="190"/>
      <c r="H22" s="92"/>
      <c r="I22" s="45"/>
    </row>
    <row r="23" spans="1:11" x14ac:dyDescent="0.25">
      <c r="A23" s="9" t="s">
        <v>117</v>
      </c>
      <c r="B23" s="30" t="s">
        <v>64</v>
      </c>
      <c r="C23" s="34">
        <f>C10</f>
        <v>594486</v>
      </c>
      <c r="D23" s="21">
        <f>C11</f>
        <v>314492</v>
      </c>
      <c r="E23" s="27">
        <f>C12</f>
        <v>14186707</v>
      </c>
      <c r="F23" s="27">
        <f>C13</f>
        <v>3794652</v>
      </c>
      <c r="G23" s="21">
        <f>C14</f>
        <v>3930111</v>
      </c>
      <c r="H23" s="93">
        <f>SUM(C23:G23)</f>
        <v>22820448</v>
      </c>
      <c r="I23" s="46"/>
    </row>
    <row r="24" spans="1:11" ht="9.75" customHeight="1" x14ac:dyDescent="0.25">
      <c r="A24" s="9"/>
      <c r="B24" s="30"/>
      <c r="C24" s="11"/>
      <c r="D24" s="5"/>
      <c r="E24" s="28"/>
      <c r="F24" s="28"/>
      <c r="G24" s="5"/>
      <c r="H24" s="8"/>
      <c r="I24" s="3"/>
    </row>
    <row r="25" spans="1:11" x14ac:dyDescent="0.25">
      <c r="A25" s="9" t="s">
        <v>118</v>
      </c>
      <c r="B25" s="30" t="s">
        <v>65</v>
      </c>
      <c r="C25" s="195">
        <f t="shared" ref="C25:D25" si="0">C23*C21</f>
        <v>61232.057999999997</v>
      </c>
      <c r="D25" s="196">
        <f t="shared" si="0"/>
        <v>38053.531999999999</v>
      </c>
      <c r="E25" s="197">
        <f>E23*E21</f>
        <v>1234243.5089999998</v>
      </c>
      <c r="F25" s="197">
        <f t="shared" ref="F25:G25" si="1">F23*F21</f>
        <v>500894.06400000001</v>
      </c>
      <c r="G25" s="196">
        <f t="shared" si="1"/>
        <v>707419.98</v>
      </c>
      <c r="H25" s="94">
        <f t="shared" ref="H25:H30" si="2">SUM(C25:G25)</f>
        <v>2541843.1430000002</v>
      </c>
      <c r="I25" s="47"/>
    </row>
    <row r="26" spans="1:11" x14ac:dyDescent="0.25">
      <c r="A26" s="9" t="s">
        <v>119</v>
      </c>
      <c r="B26" s="30" t="s">
        <v>66</v>
      </c>
      <c r="C26" s="195">
        <f t="shared" ref="C26:D26" si="3">C23*$C$16</f>
        <v>13324.511961</v>
      </c>
      <c r="D26" s="196">
        <f t="shared" si="3"/>
        <v>7048.8664419999996</v>
      </c>
      <c r="E26" s="197">
        <f>E23*$C$16</f>
        <v>317973.75734449999</v>
      </c>
      <c r="F26" s="197">
        <f t="shared" ref="F26:G26" si="4">F23*$C$16</f>
        <v>85051.432602000001</v>
      </c>
      <c r="G26" s="196">
        <f t="shared" si="4"/>
        <v>88087.542898500004</v>
      </c>
      <c r="H26" s="94">
        <f t="shared" si="2"/>
        <v>511486.111248</v>
      </c>
      <c r="I26" s="47"/>
    </row>
    <row r="27" spans="1:11" ht="15.75" thickBot="1" x14ac:dyDescent="0.3">
      <c r="A27" s="10" t="s">
        <v>120</v>
      </c>
      <c r="B27" s="32" t="s">
        <v>67</v>
      </c>
      <c r="C27" s="198">
        <f>C23*$C$18</f>
        <v>64531.455299999994</v>
      </c>
      <c r="D27" s="199">
        <f t="shared" ref="D27:G27" si="5">D23*$C$18</f>
        <v>34138.106599999999</v>
      </c>
      <c r="E27" s="200">
        <f t="shared" si="5"/>
        <v>1539967.0448499999</v>
      </c>
      <c r="F27" s="200">
        <f t="shared" si="5"/>
        <v>411909.47459999996</v>
      </c>
      <c r="G27" s="199">
        <f t="shared" si="5"/>
        <v>426613.54904999997</v>
      </c>
      <c r="H27" s="95">
        <f t="shared" si="2"/>
        <v>2477159.6304000001</v>
      </c>
      <c r="I27" s="47"/>
      <c r="J27" s="152"/>
    </row>
    <row r="28" spans="1:11" x14ac:dyDescent="0.25">
      <c r="A28" s="18" t="s">
        <v>121</v>
      </c>
      <c r="B28" s="31" t="s">
        <v>68</v>
      </c>
      <c r="C28" s="129">
        <f>52895-64535</f>
        <v>-11640</v>
      </c>
      <c r="D28" s="130">
        <f>27982-34140</f>
        <v>-6158</v>
      </c>
      <c r="E28" s="131">
        <f>1262279-1540041</f>
        <v>-277762</v>
      </c>
      <c r="F28" s="131">
        <f>337634-411929</f>
        <v>-74295</v>
      </c>
      <c r="G28" s="130">
        <f>349686-426634</f>
        <v>-76948</v>
      </c>
      <c r="H28" s="98">
        <f t="shared" si="2"/>
        <v>-446803</v>
      </c>
      <c r="I28" s="48"/>
      <c r="J28" s="50"/>
    </row>
    <row r="29" spans="1:11" x14ac:dyDescent="0.25">
      <c r="A29" s="66" t="s">
        <v>122</v>
      </c>
      <c r="B29" s="67" t="s">
        <v>69</v>
      </c>
      <c r="C29" s="68">
        <f>IF(C28&gt;0,C28,0)</f>
        <v>0</v>
      </c>
      <c r="D29" s="69">
        <f t="shared" ref="D29:G29" si="6">IF(D28&gt;0,D28,0)</f>
        <v>0</v>
      </c>
      <c r="E29" s="70">
        <f t="shared" si="6"/>
        <v>0</v>
      </c>
      <c r="F29" s="70">
        <f t="shared" si="6"/>
        <v>0</v>
      </c>
      <c r="G29" s="69">
        <f t="shared" si="6"/>
        <v>0</v>
      </c>
      <c r="H29" s="96">
        <f t="shared" si="2"/>
        <v>0</v>
      </c>
      <c r="I29" s="49"/>
      <c r="J29" s="50"/>
      <c r="K29" s="50"/>
    </row>
    <row r="30" spans="1:11" ht="15.75" thickBot="1" x14ac:dyDescent="0.3">
      <c r="A30" s="71" t="s">
        <v>123</v>
      </c>
      <c r="B30" s="72" t="s">
        <v>70</v>
      </c>
      <c r="C30" s="73">
        <f>IF(C28&lt;0,C28*-1,0)</f>
        <v>11640</v>
      </c>
      <c r="D30" s="74">
        <f t="shared" ref="D30:G30" si="7">IF(D28&lt;0,D28*-1,0)</f>
        <v>6158</v>
      </c>
      <c r="E30" s="75">
        <f t="shared" si="7"/>
        <v>277762</v>
      </c>
      <c r="F30" s="75">
        <f t="shared" si="7"/>
        <v>74295</v>
      </c>
      <c r="G30" s="74">
        <f t="shared" si="7"/>
        <v>76948</v>
      </c>
      <c r="H30" s="97">
        <f t="shared" si="2"/>
        <v>446803</v>
      </c>
      <c r="I30" s="49"/>
      <c r="J30" s="50"/>
      <c r="K30" s="50"/>
    </row>
    <row r="31" spans="1:11" x14ac:dyDescent="0.25">
      <c r="B31" s="17"/>
      <c r="C31" s="19"/>
      <c r="D31" s="19"/>
      <c r="E31" s="19"/>
      <c r="F31" s="19"/>
      <c r="G31" s="19"/>
      <c r="I31" s="50"/>
      <c r="J31" s="50"/>
      <c r="K31" s="50"/>
    </row>
    <row r="32" spans="1:11" x14ac:dyDescent="0.25">
      <c r="B32" s="17"/>
      <c r="C32" s="19"/>
      <c r="D32" s="19"/>
      <c r="E32" s="19"/>
      <c r="F32" s="19"/>
      <c r="G32" s="19"/>
      <c r="H32" s="19"/>
      <c r="I32" s="50"/>
      <c r="J32" s="50"/>
      <c r="K32" s="50"/>
    </row>
    <row r="33" spans="1:12" x14ac:dyDescent="0.25">
      <c r="A33" s="65" t="s">
        <v>41</v>
      </c>
      <c r="B33" s="63"/>
      <c r="C33" s="64"/>
      <c r="D33" s="64"/>
      <c r="E33" s="64"/>
      <c r="F33" s="64"/>
      <c r="G33" s="64"/>
      <c r="H33" s="64"/>
      <c r="I33" s="64"/>
      <c r="J33" s="50"/>
      <c r="K33" s="50"/>
    </row>
    <row r="34" spans="1:12" x14ac:dyDescent="0.25">
      <c r="A34" s="2" t="s">
        <v>10</v>
      </c>
      <c r="B34" s="2"/>
      <c r="E34" s="4"/>
      <c r="F34" s="122"/>
    </row>
    <row r="35" spans="1:12" ht="15.75" thickBot="1" x14ac:dyDescent="0.3">
      <c r="B35" s="17"/>
      <c r="C35" s="19"/>
      <c r="D35" s="19"/>
      <c r="E35" s="19"/>
      <c r="F35" s="19"/>
      <c r="G35" s="19"/>
      <c r="H35" s="19"/>
      <c r="I35" s="50"/>
      <c r="J35" s="50"/>
      <c r="K35" s="50"/>
    </row>
    <row r="36" spans="1:12" ht="30.75" thickBot="1" x14ac:dyDescent="0.3">
      <c r="A36" s="13"/>
      <c r="B36" s="13"/>
      <c r="C36" s="15" t="s">
        <v>17</v>
      </c>
      <c r="D36" s="16" t="s">
        <v>18</v>
      </c>
      <c r="E36" s="4"/>
      <c r="G36" s="219" t="s">
        <v>138</v>
      </c>
      <c r="J36" s="42"/>
    </row>
    <row r="37" spans="1:12" x14ac:dyDescent="0.25">
      <c r="A37" s="7" t="s">
        <v>14</v>
      </c>
      <c r="B37" s="52" t="s">
        <v>27</v>
      </c>
      <c r="C37" s="54">
        <v>49505951</v>
      </c>
      <c r="D37" s="14">
        <f>C37/C37</f>
        <v>1</v>
      </c>
    </row>
    <row r="38" spans="1:12" ht="17.25" x14ac:dyDescent="0.25">
      <c r="A38" s="8" t="s">
        <v>124</v>
      </c>
      <c r="B38" s="53" t="s">
        <v>28</v>
      </c>
      <c r="C38" s="55">
        <f>G38*D38</f>
        <v>941338.527</v>
      </c>
      <c r="D38" s="169">
        <v>0.71899999999999997</v>
      </c>
      <c r="F38" s="101">
        <f>G38/G43</f>
        <v>4.7428922349450474E-2</v>
      </c>
      <c r="G38" s="103">
        <v>1309233</v>
      </c>
    </row>
    <row r="39" spans="1:12" ht="17.25" x14ac:dyDescent="0.25">
      <c r="A39" s="8" t="s">
        <v>125</v>
      </c>
      <c r="B39" s="53" t="s">
        <v>29</v>
      </c>
      <c r="C39" s="55">
        <f>G38*D39</f>
        <v>367894.47300000006</v>
      </c>
      <c r="D39" s="169">
        <v>0.28100000000000003</v>
      </c>
      <c r="F39" s="101"/>
    </row>
    <row r="40" spans="1:12" ht="17.25" x14ac:dyDescent="0.25">
      <c r="A40" s="8" t="s">
        <v>126</v>
      </c>
      <c r="B40" s="53" t="s">
        <v>30</v>
      </c>
      <c r="C40" s="55">
        <f>G40*D40</f>
        <v>16933898.855999999</v>
      </c>
      <c r="D40" s="169">
        <v>0.64400000000000002</v>
      </c>
      <c r="F40" s="101">
        <f>G40/G43</f>
        <v>0.95257111387704418</v>
      </c>
      <c r="G40" s="103">
        <v>26294874</v>
      </c>
    </row>
    <row r="41" spans="1:12" ht="17.25" x14ac:dyDescent="0.25">
      <c r="A41" s="8" t="s">
        <v>127</v>
      </c>
      <c r="B41" s="53" t="s">
        <v>31</v>
      </c>
      <c r="C41" s="55">
        <f>G40*D41</f>
        <v>4480646.5296</v>
      </c>
      <c r="D41" s="169">
        <v>0.1704</v>
      </c>
      <c r="F41" s="101"/>
    </row>
    <row r="42" spans="1:12" ht="17.25" x14ac:dyDescent="0.25">
      <c r="A42" s="8" t="s">
        <v>128</v>
      </c>
      <c r="B42" s="53" t="s">
        <v>32</v>
      </c>
      <c r="C42" s="56">
        <f>G40*D42</f>
        <v>4880328.6143999994</v>
      </c>
      <c r="D42" s="170">
        <v>0.18559999999999999</v>
      </c>
      <c r="F42" s="101"/>
    </row>
    <row r="43" spans="1:12" x14ac:dyDescent="0.25">
      <c r="A43" s="18" t="s">
        <v>129</v>
      </c>
      <c r="B43" s="31" t="s">
        <v>33</v>
      </c>
      <c r="C43" s="57">
        <f>SUM(C38:C42)</f>
        <v>27604107</v>
      </c>
      <c r="D43" s="12">
        <f>C43/C37</f>
        <v>0.55759169236037909</v>
      </c>
      <c r="F43" s="101">
        <f>C43/G43</f>
        <v>1.0000000362264947</v>
      </c>
      <c r="G43" s="103">
        <v>27604106</v>
      </c>
      <c r="H43" s="104">
        <f>F38+F40-F43</f>
        <v>0</v>
      </c>
    </row>
    <row r="44" spans="1:12" x14ac:dyDescent="0.25">
      <c r="A44" s="9" t="s">
        <v>2</v>
      </c>
      <c r="B44" s="30" t="s">
        <v>34</v>
      </c>
      <c r="C44" s="58">
        <f>D45/C45</f>
        <v>3.0844886380531185E-2</v>
      </c>
      <c r="D44" s="5"/>
    </row>
    <row r="45" spans="1:12" ht="17.25" x14ac:dyDescent="0.25">
      <c r="A45" s="9" t="s">
        <v>87</v>
      </c>
      <c r="B45" s="30" t="s">
        <v>35</v>
      </c>
      <c r="C45" s="55">
        <v>50187092.307692312</v>
      </c>
      <c r="D45" s="51">
        <v>1548015.16</v>
      </c>
      <c r="L45" s="42"/>
    </row>
    <row r="46" spans="1:12" ht="17.25" x14ac:dyDescent="0.25">
      <c r="A46" s="9" t="s">
        <v>38</v>
      </c>
      <c r="B46" s="30" t="s">
        <v>36</v>
      </c>
      <c r="C46" s="59">
        <v>83.06</v>
      </c>
      <c r="D46" s="5"/>
      <c r="I46" s="4"/>
      <c r="J46" s="42"/>
    </row>
    <row r="47" spans="1:12" ht="15.75" thickBot="1" x14ac:dyDescent="0.3">
      <c r="A47" s="10" t="s">
        <v>39</v>
      </c>
      <c r="B47" s="32" t="s">
        <v>37</v>
      </c>
      <c r="C47" s="60">
        <f>C46/1000</f>
        <v>8.3060000000000009E-2</v>
      </c>
      <c r="D47" s="6"/>
      <c r="H47" s="4"/>
      <c r="I47" s="4"/>
    </row>
    <row r="48" spans="1:12" ht="15.75" thickBot="1" x14ac:dyDescent="0.3">
      <c r="B48" s="17"/>
      <c r="H48" s="4"/>
      <c r="I48" s="4"/>
    </row>
    <row r="49" spans="1:11" ht="15.75" thickBot="1" x14ac:dyDescent="0.3">
      <c r="A49" s="23" t="s">
        <v>137</v>
      </c>
      <c r="B49" s="15"/>
      <c r="C49" s="24" t="s">
        <v>19</v>
      </c>
      <c r="D49" s="16" t="s">
        <v>20</v>
      </c>
      <c r="E49" s="25" t="s">
        <v>4</v>
      </c>
      <c r="F49" s="25" t="s">
        <v>5</v>
      </c>
      <c r="G49" s="16" t="s">
        <v>6</v>
      </c>
      <c r="H49" s="90" t="s">
        <v>71</v>
      </c>
      <c r="I49" s="43"/>
    </row>
    <row r="50" spans="1:11" x14ac:dyDescent="0.25">
      <c r="A50" s="9" t="s">
        <v>21</v>
      </c>
      <c r="B50" s="30" t="s">
        <v>43</v>
      </c>
      <c r="C50" s="118">
        <f>C21</f>
        <v>0.10299999999999999</v>
      </c>
      <c r="D50" s="119">
        <f t="shared" ref="D50:G50" si="8">D21</f>
        <v>0.121</v>
      </c>
      <c r="E50" s="120">
        <f t="shared" si="8"/>
        <v>8.6999999999999994E-2</v>
      </c>
      <c r="F50" s="120">
        <f t="shared" si="8"/>
        <v>0.13200000000000001</v>
      </c>
      <c r="G50" s="119">
        <f t="shared" si="8"/>
        <v>0.18</v>
      </c>
      <c r="H50" s="91"/>
      <c r="I50" s="44"/>
    </row>
    <row r="51" spans="1:11" x14ac:dyDescent="0.25">
      <c r="A51" s="8" t="s">
        <v>22</v>
      </c>
      <c r="B51" s="53" t="s">
        <v>44</v>
      </c>
      <c r="C51" s="193"/>
      <c r="D51" s="192"/>
      <c r="E51" s="194"/>
      <c r="F51" s="194"/>
      <c r="G51" s="190"/>
      <c r="H51" s="92"/>
      <c r="I51" s="45"/>
    </row>
    <row r="52" spans="1:11" x14ac:dyDescent="0.25">
      <c r="A52" s="9" t="s">
        <v>130</v>
      </c>
      <c r="B52" s="30" t="s">
        <v>45</v>
      </c>
      <c r="C52" s="34">
        <f>C38</f>
        <v>941338.527</v>
      </c>
      <c r="D52" s="21">
        <f>C39</f>
        <v>367894.47300000006</v>
      </c>
      <c r="E52" s="27">
        <f>C40</f>
        <v>16933898.855999999</v>
      </c>
      <c r="F52" s="27">
        <f>C41</f>
        <v>4480646.5296</v>
      </c>
      <c r="G52" s="21">
        <f>C42</f>
        <v>4880328.6143999994</v>
      </c>
      <c r="H52" s="93">
        <f>SUM(C52:G52)</f>
        <v>27604107</v>
      </c>
      <c r="I52" s="46"/>
    </row>
    <row r="53" spans="1:11" x14ac:dyDescent="0.25">
      <c r="A53" s="9"/>
      <c r="B53" s="30"/>
      <c r="C53" s="11"/>
      <c r="D53" s="5"/>
      <c r="E53" s="28"/>
      <c r="F53" s="28"/>
      <c r="G53" s="5"/>
      <c r="H53" s="8"/>
      <c r="I53" s="3"/>
    </row>
    <row r="54" spans="1:11" x14ac:dyDescent="0.25">
      <c r="A54" s="9" t="s">
        <v>131</v>
      </c>
      <c r="B54" s="30" t="s">
        <v>46</v>
      </c>
      <c r="C54" s="35">
        <f>C52*C50</f>
        <v>96957.868280999988</v>
      </c>
      <c r="D54" s="22">
        <f t="shared" ref="D54" si="9">D52*D50</f>
        <v>44515.231233000006</v>
      </c>
      <c r="E54" s="29">
        <f>E52*E50</f>
        <v>1473249.2004719998</v>
      </c>
      <c r="F54" s="29">
        <f t="shared" ref="F54:G54" si="10">F52*F50</f>
        <v>591445.34190720005</v>
      </c>
      <c r="G54" s="22">
        <f t="shared" si="10"/>
        <v>878459.15059199987</v>
      </c>
      <c r="H54" s="94">
        <f t="shared" ref="H54:H59" si="11">SUM(C54:G54)</f>
        <v>3084626.7924851994</v>
      </c>
      <c r="I54" s="47"/>
    </row>
    <row r="55" spans="1:11" x14ac:dyDescent="0.25">
      <c r="A55" s="9" t="s">
        <v>132</v>
      </c>
      <c r="B55" s="30" t="s">
        <v>47</v>
      </c>
      <c r="C55" s="35">
        <f>C52*$C$44</f>
        <v>29035.479910931586</v>
      </c>
      <c r="D55" s="22">
        <f t="shared" ref="D55:G55" si="12">D52*$C$44</f>
        <v>11347.663219710399</v>
      </c>
      <c r="E55" s="29">
        <f t="shared" si="12"/>
        <v>522324.18619272695</v>
      </c>
      <c r="F55" s="29">
        <f t="shared" si="12"/>
        <v>138205.03311683337</v>
      </c>
      <c r="G55" s="22">
        <f t="shared" si="12"/>
        <v>150533.18161082317</v>
      </c>
      <c r="H55" s="94">
        <f t="shared" si="11"/>
        <v>851445.54405102553</v>
      </c>
      <c r="I55" s="47"/>
    </row>
    <row r="56" spans="1:11" ht="15.75" thickBot="1" x14ac:dyDescent="0.3">
      <c r="A56" s="10" t="s">
        <v>133</v>
      </c>
      <c r="B56" s="32" t="s">
        <v>48</v>
      </c>
      <c r="C56" s="39">
        <f>C52*$C$47</f>
        <v>78187.578052620011</v>
      </c>
      <c r="D56" s="40">
        <f t="shared" ref="D56:G56" si="13">D52*$C$47</f>
        <v>30557.314927380008</v>
      </c>
      <c r="E56" s="41">
        <f t="shared" si="13"/>
        <v>1406529.63897936</v>
      </c>
      <c r="F56" s="41">
        <f t="shared" si="13"/>
        <v>372162.50074857601</v>
      </c>
      <c r="G56" s="40">
        <f t="shared" si="13"/>
        <v>405360.09471206402</v>
      </c>
      <c r="H56" s="95">
        <f t="shared" si="11"/>
        <v>2292797.1274200003</v>
      </c>
      <c r="I56" s="47"/>
    </row>
    <row r="57" spans="1:11" x14ac:dyDescent="0.25">
      <c r="A57" s="18" t="s">
        <v>25</v>
      </c>
      <c r="B57" s="31" t="s">
        <v>49</v>
      </c>
      <c r="C57" s="36">
        <f>C54-C55-C56</f>
        <v>-10265.189682551616</v>
      </c>
      <c r="D57" s="37">
        <f t="shared" ref="D57:G57" si="14">D54-D55-D56</f>
        <v>2610.2530859096005</v>
      </c>
      <c r="E57" s="38">
        <f t="shared" si="14"/>
        <v>-455604.62470008712</v>
      </c>
      <c r="F57" s="38">
        <f t="shared" si="14"/>
        <v>81077.808041790675</v>
      </c>
      <c r="G57" s="37">
        <f t="shared" si="14"/>
        <v>322565.87426911271</v>
      </c>
      <c r="H57" s="98">
        <f t="shared" si="11"/>
        <v>-59615.878985825751</v>
      </c>
      <c r="I57" s="48"/>
    </row>
    <row r="58" spans="1:11" x14ac:dyDescent="0.25">
      <c r="A58" s="76" t="s">
        <v>23</v>
      </c>
      <c r="B58" s="77" t="s">
        <v>50</v>
      </c>
      <c r="C58" s="78">
        <f>IF(C57&gt;0,C57,0)</f>
        <v>0</v>
      </c>
      <c r="D58" s="79">
        <f t="shared" ref="D58:G58" si="15">IF(D57&gt;0,D57,0)</f>
        <v>2610.2530859096005</v>
      </c>
      <c r="E58" s="80">
        <f t="shared" si="15"/>
        <v>0</v>
      </c>
      <c r="F58" s="80">
        <f t="shared" si="15"/>
        <v>81077.808041790675</v>
      </c>
      <c r="G58" s="79">
        <f t="shared" si="15"/>
        <v>322565.87426911271</v>
      </c>
      <c r="H58" s="96">
        <f t="shared" si="11"/>
        <v>406253.93539681297</v>
      </c>
      <c r="I58" s="49"/>
      <c r="J58" s="50"/>
      <c r="K58" s="50"/>
    </row>
    <row r="59" spans="1:11" ht="15.75" thickBot="1" x14ac:dyDescent="0.3">
      <c r="A59" s="81" t="s">
        <v>24</v>
      </c>
      <c r="B59" s="82" t="s">
        <v>51</v>
      </c>
      <c r="C59" s="83">
        <f>IF(C57&lt;0,C57*-1,0)</f>
        <v>10265.189682551616</v>
      </c>
      <c r="D59" s="84">
        <f t="shared" ref="D59:G59" si="16">IF(D57&lt;0,D57*-1,0)</f>
        <v>0</v>
      </c>
      <c r="E59" s="85">
        <f t="shared" si="16"/>
        <v>455604.62470008712</v>
      </c>
      <c r="F59" s="85">
        <f t="shared" si="16"/>
        <v>0</v>
      </c>
      <c r="G59" s="84">
        <f t="shared" si="16"/>
        <v>0</v>
      </c>
      <c r="H59" s="97">
        <f t="shared" si="11"/>
        <v>465869.81438263872</v>
      </c>
      <c r="I59" s="49"/>
      <c r="J59" s="50"/>
      <c r="K59" s="50"/>
    </row>
    <row r="60" spans="1:11" x14ac:dyDescent="0.25">
      <c r="B60" s="17"/>
      <c r="C60" s="19"/>
      <c r="D60" s="19"/>
      <c r="E60" s="19"/>
      <c r="F60" s="19"/>
      <c r="G60" s="19"/>
      <c r="H60" s="50"/>
      <c r="I60" s="50"/>
      <c r="J60" s="50"/>
      <c r="K60" s="50"/>
    </row>
    <row r="61" spans="1:11" ht="15.75" thickBot="1" x14ac:dyDescent="0.3">
      <c r="A61" s="86" t="s">
        <v>42</v>
      </c>
      <c r="H61" s="4"/>
      <c r="I61" s="4"/>
    </row>
    <row r="62" spans="1:11" x14ac:dyDescent="0.25">
      <c r="A62" s="7" t="s">
        <v>134</v>
      </c>
      <c r="B62" s="52"/>
      <c r="C62" s="87">
        <f>C57-C28</f>
        <v>1374.810317448384</v>
      </c>
      <c r="D62" s="88">
        <f t="shared" ref="D62:G62" si="17">D57-D28</f>
        <v>8768.2530859096005</v>
      </c>
      <c r="E62" s="89">
        <f t="shared" si="17"/>
        <v>-177842.62470008712</v>
      </c>
      <c r="F62" s="89">
        <f t="shared" si="17"/>
        <v>155372.80804179067</v>
      </c>
      <c r="G62" s="88">
        <f t="shared" si="17"/>
        <v>399513.87426911271</v>
      </c>
      <c r="H62" s="98">
        <f t="shared" ref="H62:H64" si="18">SUM(C62:G62)</f>
        <v>387187.12101417425</v>
      </c>
      <c r="I62" s="48"/>
    </row>
    <row r="63" spans="1:11" x14ac:dyDescent="0.25">
      <c r="A63" s="76" t="s">
        <v>135</v>
      </c>
      <c r="B63" s="77" t="s">
        <v>72</v>
      </c>
      <c r="C63" s="78">
        <f>IF(C62&gt;0,C62,0)</f>
        <v>1374.810317448384</v>
      </c>
      <c r="D63" s="79">
        <f t="shared" ref="D63:G63" si="19">IF(D62&gt;0,D62,0)</f>
        <v>8768.2530859096005</v>
      </c>
      <c r="E63" s="80">
        <f t="shared" si="19"/>
        <v>0</v>
      </c>
      <c r="F63" s="80">
        <f t="shared" si="19"/>
        <v>155372.80804179067</v>
      </c>
      <c r="G63" s="79">
        <f t="shared" si="19"/>
        <v>399513.87426911271</v>
      </c>
      <c r="H63" s="96">
        <f t="shared" si="18"/>
        <v>565029.74571426143</v>
      </c>
      <c r="I63" s="49"/>
      <c r="J63" s="50"/>
      <c r="K63" s="50"/>
    </row>
    <row r="64" spans="1:11" ht="15.75" thickBot="1" x14ac:dyDescent="0.3">
      <c r="A64" s="81" t="s">
        <v>136</v>
      </c>
      <c r="B64" s="82" t="s">
        <v>73</v>
      </c>
      <c r="C64" s="83">
        <f>IF(C62&lt;0,C62*-1,0)</f>
        <v>0</v>
      </c>
      <c r="D64" s="84">
        <f t="shared" ref="D64:G64" si="20">IF(D62&lt;0,D62*-1,0)</f>
        <v>0</v>
      </c>
      <c r="E64" s="85">
        <f t="shared" si="20"/>
        <v>177842.62470008712</v>
      </c>
      <c r="F64" s="85">
        <f t="shared" si="20"/>
        <v>0</v>
      </c>
      <c r="G64" s="84">
        <f t="shared" si="20"/>
        <v>0</v>
      </c>
      <c r="H64" s="97">
        <f t="shared" si="18"/>
        <v>177842.62470008712</v>
      </c>
      <c r="I64" s="49"/>
      <c r="J64" s="50"/>
      <c r="K64" s="50"/>
    </row>
  </sheetData>
  <sheetProtection password="CC7B" sheet="1" objects="1" scenarios="1"/>
  <pageMargins left="0.11811023622047245" right="0.11811023622047245" top="0.35433070866141736" bottom="0.35433070866141736" header="0.11811023622047245" footer="0.11811023622047245"/>
  <pageSetup scale="75" orientation="portrait" verticalDpi="0" r:id="rId1"/>
  <headerFooter>
    <oddFooter>&amp;L&amp;9&amp;Z&amp;F  &amp;A  &amp;D  &amp;T&amp;R&amp;P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3:L64"/>
  <sheetViews>
    <sheetView topLeftCell="A7" zoomScale="90" zoomScaleNormal="90" workbookViewId="0">
      <selection activeCell="F39" sqref="F39"/>
    </sheetView>
  </sheetViews>
  <sheetFormatPr defaultRowHeight="15" x14ac:dyDescent="0.25"/>
  <cols>
    <col min="1" max="1" width="36" customWidth="1"/>
    <col min="2" max="2" width="11.140625" bestFit="1" customWidth="1"/>
    <col min="3" max="3" width="15.28515625" bestFit="1" customWidth="1"/>
    <col min="4" max="4" width="12.5703125" bestFit="1" customWidth="1"/>
    <col min="5" max="5" width="12.85546875" bestFit="1" customWidth="1"/>
    <col min="6" max="7" width="12.140625" bestFit="1" customWidth="1"/>
    <col min="8" max="8" width="13.28515625" bestFit="1" customWidth="1"/>
    <col min="9" max="9" width="5.28515625" customWidth="1"/>
    <col min="10" max="16384" width="9.140625" style="4"/>
  </cols>
  <sheetData>
    <row r="3" spans="1:9" ht="5.25" customHeight="1" x14ac:dyDescent="0.25">
      <c r="A3" s="2"/>
      <c r="B3" s="2"/>
      <c r="E3" s="4"/>
    </row>
    <row r="4" spans="1:9" x14ac:dyDescent="0.25">
      <c r="A4" s="2"/>
      <c r="B4" s="2"/>
      <c r="E4" s="4"/>
    </row>
    <row r="5" spans="1:9" x14ac:dyDescent="0.25">
      <c r="A5" s="61" t="s">
        <v>40</v>
      </c>
      <c r="B5" s="61"/>
      <c r="C5" s="62"/>
      <c r="D5" s="62"/>
      <c r="E5" s="62"/>
      <c r="F5" s="62"/>
      <c r="G5" s="62"/>
      <c r="H5" s="62"/>
      <c r="I5" s="62"/>
    </row>
    <row r="6" spans="1:9" x14ac:dyDescent="0.25">
      <c r="A6" s="2" t="s">
        <v>10</v>
      </c>
      <c r="B6" s="2"/>
      <c r="E6" s="99" t="s">
        <v>81</v>
      </c>
      <c r="F6" s="99">
        <v>2016</v>
      </c>
    </row>
    <row r="7" spans="1:9" ht="15.75" thickBot="1" x14ac:dyDescent="0.3">
      <c r="A7" s="2"/>
      <c r="B7" s="2"/>
      <c r="E7" s="4"/>
    </row>
    <row r="8" spans="1:9" ht="15.75" thickBot="1" x14ac:dyDescent="0.3">
      <c r="A8" s="13"/>
      <c r="B8" s="13"/>
      <c r="C8" s="15" t="s">
        <v>17</v>
      </c>
      <c r="D8" s="16" t="s">
        <v>18</v>
      </c>
      <c r="E8" s="4"/>
    </row>
    <row r="9" spans="1:9" x14ac:dyDescent="0.25">
      <c r="A9" s="7" t="s">
        <v>14</v>
      </c>
      <c r="B9" s="52" t="s">
        <v>52</v>
      </c>
      <c r="C9" s="188"/>
      <c r="D9" s="189"/>
    </row>
    <row r="10" spans="1:9" ht="17.25" x14ac:dyDescent="0.25">
      <c r="A10" s="8" t="s">
        <v>12</v>
      </c>
      <c r="B10" s="53" t="s">
        <v>53</v>
      </c>
      <c r="C10" s="55">
        <v>1074125</v>
      </c>
      <c r="D10" s="190"/>
      <c r="E10" s="101"/>
      <c r="G10" s="101"/>
    </row>
    <row r="11" spans="1:9" ht="17.25" x14ac:dyDescent="0.25">
      <c r="A11" s="8" t="s">
        <v>13</v>
      </c>
      <c r="B11" s="53" t="s">
        <v>54</v>
      </c>
      <c r="C11" s="55">
        <v>560536</v>
      </c>
      <c r="D11" s="190"/>
      <c r="E11" s="101"/>
      <c r="F11" s="104"/>
      <c r="G11" s="101"/>
    </row>
    <row r="12" spans="1:9" ht="17.25" x14ac:dyDescent="0.25">
      <c r="A12" s="8" t="s">
        <v>11</v>
      </c>
      <c r="B12" s="53" t="s">
        <v>55</v>
      </c>
      <c r="C12" s="55">
        <v>16737643</v>
      </c>
      <c r="D12" s="190"/>
      <c r="G12" s="101"/>
    </row>
    <row r="13" spans="1:9" ht="17.25" x14ac:dyDescent="0.25">
      <c r="A13" s="8" t="s">
        <v>15</v>
      </c>
      <c r="B13" s="53" t="s">
        <v>56</v>
      </c>
      <c r="C13" s="55">
        <v>5021450</v>
      </c>
      <c r="D13" s="190"/>
      <c r="G13" s="101"/>
    </row>
    <row r="14" spans="1:9" ht="17.25" x14ac:dyDescent="0.25">
      <c r="A14" s="8" t="s">
        <v>16</v>
      </c>
      <c r="B14" s="53" t="s">
        <v>57</v>
      </c>
      <c r="C14" s="56">
        <v>5797482</v>
      </c>
      <c r="D14" s="191"/>
      <c r="F14" s="104"/>
      <c r="G14" s="101"/>
    </row>
    <row r="15" spans="1:9" x14ac:dyDescent="0.25">
      <c r="A15" s="18" t="s">
        <v>116</v>
      </c>
      <c r="B15" s="31" t="s">
        <v>58</v>
      </c>
      <c r="C15" s="57">
        <f>SUM(C10:C14)</f>
        <v>29191236</v>
      </c>
      <c r="D15" s="191"/>
    </row>
    <row r="16" spans="1:9" x14ac:dyDescent="0.25">
      <c r="A16" s="9" t="s">
        <v>101</v>
      </c>
      <c r="B16" s="30" t="s">
        <v>59</v>
      </c>
      <c r="C16" s="185">
        <v>2.76887E-2</v>
      </c>
      <c r="D16" s="5"/>
    </row>
    <row r="17" spans="1:11" ht="17.25" x14ac:dyDescent="0.25">
      <c r="A17" s="9" t="s">
        <v>99</v>
      </c>
      <c r="B17" s="30" t="s">
        <v>60</v>
      </c>
      <c r="C17" s="186"/>
      <c r="D17" s="5"/>
      <c r="I17" s="4"/>
      <c r="J17" s="42"/>
    </row>
    <row r="18" spans="1:11" ht="15.75" thickBot="1" x14ac:dyDescent="0.3">
      <c r="A18" s="10" t="s">
        <v>100</v>
      </c>
      <c r="B18" s="32" t="s">
        <v>61</v>
      </c>
      <c r="C18" s="187">
        <v>8.1467999999999999E-2</v>
      </c>
      <c r="D18" s="6"/>
      <c r="I18" s="4"/>
    </row>
    <row r="19" spans="1:11" ht="8.25" customHeight="1" thickBot="1" x14ac:dyDescent="0.3">
      <c r="B19" s="17"/>
      <c r="I19" s="4"/>
    </row>
    <row r="20" spans="1:11" ht="15.75" thickBot="1" x14ac:dyDescent="0.3">
      <c r="A20" s="23" t="s">
        <v>3</v>
      </c>
      <c r="B20" s="15"/>
      <c r="C20" s="24" t="s">
        <v>19</v>
      </c>
      <c r="D20" s="16" t="s">
        <v>20</v>
      </c>
      <c r="E20" s="25" t="s">
        <v>4</v>
      </c>
      <c r="F20" s="25" t="s">
        <v>5</v>
      </c>
      <c r="G20" s="16" t="s">
        <v>6</v>
      </c>
      <c r="H20" s="90" t="s">
        <v>71</v>
      </c>
      <c r="I20" s="43"/>
    </row>
    <row r="21" spans="1:11" x14ac:dyDescent="0.25">
      <c r="A21" s="9" t="s">
        <v>21</v>
      </c>
      <c r="B21" s="30" t="s">
        <v>62</v>
      </c>
      <c r="C21" s="33">
        <v>0.10299999999999999</v>
      </c>
      <c r="D21" s="20">
        <v>0.121</v>
      </c>
      <c r="E21" s="26">
        <v>8.6999999999999994E-2</v>
      </c>
      <c r="F21" s="26">
        <v>0.13200000000000001</v>
      </c>
      <c r="G21" s="20">
        <v>0.18</v>
      </c>
      <c r="H21" s="91"/>
      <c r="I21" s="44"/>
    </row>
    <row r="22" spans="1:11" x14ac:dyDescent="0.25">
      <c r="A22" s="8" t="s">
        <v>22</v>
      </c>
      <c r="B22" s="53" t="s">
        <v>63</v>
      </c>
      <c r="C22" s="193"/>
      <c r="D22" s="192"/>
      <c r="E22" s="194"/>
      <c r="F22" s="194"/>
      <c r="G22" s="190"/>
      <c r="H22" s="92"/>
      <c r="I22" s="45"/>
    </row>
    <row r="23" spans="1:11" x14ac:dyDescent="0.25">
      <c r="A23" s="9" t="s">
        <v>117</v>
      </c>
      <c r="B23" s="30" t="s">
        <v>64</v>
      </c>
      <c r="C23" s="34">
        <f>C10</f>
        <v>1074125</v>
      </c>
      <c r="D23" s="21">
        <f>C11</f>
        <v>560536</v>
      </c>
      <c r="E23" s="27">
        <f>C12</f>
        <v>16737643</v>
      </c>
      <c r="F23" s="27">
        <f>C13</f>
        <v>5021450</v>
      </c>
      <c r="G23" s="21">
        <f>C14</f>
        <v>5797482</v>
      </c>
      <c r="H23" s="93">
        <f>SUM(C23:G23)</f>
        <v>29191236</v>
      </c>
      <c r="I23" s="46"/>
    </row>
    <row r="24" spans="1:11" ht="9.75" customHeight="1" x14ac:dyDescent="0.25">
      <c r="A24" s="9"/>
      <c r="B24" s="30"/>
      <c r="C24" s="11"/>
      <c r="D24" s="5"/>
      <c r="E24" s="28"/>
      <c r="F24" s="28"/>
      <c r="G24" s="5"/>
      <c r="H24" s="8"/>
      <c r="I24" s="3"/>
    </row>
    <row r="25" spans="1:11" x14ac:dyDescent="0.25">
      <c r="A25" s="9" t="s">
        <v>118</v>
      </c>
      <c r="B25" s="30" t="s">
        <v>65</v>
      </c>
      <c r="C25" s="195">
        <f t="shared" ref="C25:D25" si="0">C23*C21</f>
        <v>110634.875</v>
      </c>
      <c r="D25" s="196">
        <f t="shared" si="0"/>
        <v>67824.856</v>
      </c>
      <c r="E25" s="197">
        <f>E23*E21</f>
        <v>1456174.9409999999</v>
      </c>
      <c r="F25" s="197">
        <f t="shared" ref="F25:G25" si="1">F23*F21</f>
        <v>662831.4</v>
      </c>
      <c r="G25" s="196">
        <f t="shared" si="1"/>
        <v>1043546.76</v>
      </c>
      <c r="H25" s="94">
        <f t="shared" ref="H25:H30" si="2">SUM(C25:G25)</f>
        <v>3341012.8319999995</v>
      </c>
      <c r="I25" s="47"/>
    </row>
    <row r="26" spans="1:11" x14ac:dyDescent="0.25">
      <c r="A26" s="9" t="s">
        <v>119</v>
      </c>
      <c r="B26" s="30" t="s">
        <v>66</v>
      </c>
      <c r="C26" s="195">
        <f t="shared" ref="C26:D26" si="3">C23*$C$16</f>
        <v>29741.124887500002</v>
      </c>
      <c r="D26" s="196">
        <f t="shared" si="3"/>
        <v>15520.5131432</v>
      </c>
      <c r="E26" s="197">
        <f>E23*$C$16</f>
        <v>463443.57573410001</v>
      </c>
      <c r="F26" s="197">
        <f t="shared" ref="F26:G26" si="4">F23*$C$16</f>
        <v>139037.42261499999</v>
      </c>
      <c r="G26" s="196">
        <f t="shared" si="4"/>
        <v>160524.73985340001</v>
      </c>
      <c r="H26" s="94">
        <f t="shared" si="2"/>
        <v>808267.37623320008</v>
      </c>
      <c r="I26" s="47"/>
    </row>
    <row r="27" spans="1:11" ht="15.75" thickBot="1" x14ac:dyDescent="0.3">
      <c r="A27" s="10" t="s">
        <v>120</v>
      </c>
      <c r="B27" s="32" t="s">
        <v>67</v>
      </c>
      <c r="C27" s="198">
        <f>C23*$C$18</f>
        <v>87506.815499999997</v>
      </c>
      <c r="D27" s="199">
        <f t="shared" ref="D27:G27" si="5">D23*$C$18</f>
        <v>45665.746848000003</v>
      </c>
      <c r="E27" s="200">
        <f t="shared" si="5"/>
        <v>1363582.2999239999</v>
      </c>
      <c r="F27" s="200">
        <f t="shared" si="5"/>
        <v>409087.48859999998</v>
      </c>
      <c r="G27" s="199">
        <f t="shared" si="5"/>
        <v>472309.263576</v>
      </c>
      <c r="H27" s="95">
        <f t="shared" si="2"/>
        <v>2378151.6144479997</v>
      </c>
      <c r="I27" s="47"/>
      <c r="J27" s="152"/>
    </row>
    <row r="28" spans="1:11" x14ac:dyDescent="0.25">
      <c r="A28" s="18" t="s">
        <v>121</v>
      </c>
      <c r="B28" s="31" t="s">
        <v>68</v>
      </c>
      <c r="C28" s="129">
        <f>93201-87513</f>
        <v>5688</v>
      </c>
      <c r="D28" s="130">
        <f>48637-45669+1</f>
        <v>2969</v>
      </c>
      <c r="E28" s="131">
        <f>1452313-1363671</f>
        <v>88642</v>
      </c>
      <c r="F28" s="131">
        <f>435707-409114</f>
        <v>26593</v>
      </c>
      <c r="G28" s="130">
        <f>503043-472340</f>
        <v>30703</v>
      </c>
      <c r="H28" s="98">
        <f t="shared" si="2"/>
        <v>154595</v>
      </c>
      <c r="I28" s="48"/>
      <c r="J28" s="50"/>
    </row>
    <row r="29" spans="1:11" x14ac:dyDescent="0.25">
      <c r="A29" s="66" t="s">
        <v>122</v>
      </c>
      <c r="B29" s="67" t="s">
        <v>69</v>
      </c>
      <c r="C29" s="68">
        <f>IF(C28&gt;0,C28,0)</f>
        <v>5688</v>
      </c>
      <c r="D29" s="69">
        <f t="shared" ref="D29:G29" si="6">IF(D28&gt;0,D28,0)</f>
        <v>2969</v>
      </c>
      <c r="E29" s="70">
        <f t="shared" si="6"/>
        <v>88642</v>
      </c>
      <c r="F29" s="70">
        <f t="shared" si="6"/>
        <v>26593</v>
      </c>
      <c r="G29" s="69">
        <f t="shared" si="6"/>
        <v>30703</v>
      </c>
      <c r="H29" s="96">
        <f t="shared" si="2"/>
        <v>154595</v>
      </c>
      <c r="I29" s="49"/>
      <c r="J29" s="50"/>
      <c r="K29" s="50"/>
    </row>
    <row r="30" spans="1:11" ht="15.75" thickBot="1" x14ac:dyDescent="0.3">
      <c r="A30" s="71" t="s">
        <v>123</v>
      </c>
      <c r="B30" s="72" t="s">
        <v>70</v>
      </c>
      <c r="C30" s="73">
        <f>IF(C28&lt;0,C28*-1,0)</f>
        <v>0</v>
      </c>
      <c r="D30" s="74">
        <f t="shared" ref="D30:G30" si="7">IF(D28&lt;0,D28*-1,0)</f>
        <v>0</v>
      </c>
      <c r="E30" s="75">
        <f t="shared" si="7"/>
        <v>0</v>
      </c>
      <c r="F30" s="75">
        <f t="shared" si="7"/>
        <v>0</v>
      </c>
      <c r="G30" s="74">
        <f t="shared" si="7"/>
        <v>0</v>
      </c>
      <c r="H30" s="97">
        <f t="shared" si="2"/>
        <v>0</v>
      </c>
      <c r="I30" s="49"/>
      <c r="J30" s="50"/>
      <c r="K30" s="50"/>
    </row>
    <row r="31" spans="1:11" x14ac:dyDescent="0.25">
      <c r="B31" s="17"/>
      <c r="C31" s="19"/>
      <c r="D31" s="19"/>
      <c r="E31" s="19"/>
      <c r="F31" s="19"/>
      <c r="G31" s="19"/>
      <c r="I31" s="50"/>
      <c r="J31" s="50"/>
      <c r="K31" s="50"/>
    </row>
    <row r="32" spans="1:11" x14ac:dyDescent="0.25">
      <c r="B32" s="17"/>
      <c r="C32" s="19"/>
      <c r="D32" s="19"/>
      <c r="E32" s="19"/>
      <c r="F32" s="19"/>
      <c r="G32" s="19"/>
      <c r="H32" s="19"/>
      <c r="I32" s="50"/>
      <c r="J32" s="50"/>
      <c r="K32" s="50"/>
    </row>
    <row r="33" spans="1:12" x14ac:dyDescent="0.25">
      <c r="A33" s="65" t="s">
        <v>41</v>
      </c>
      <c r="B33" s="63"/>
      <c r="C33" s="64"/>
      <c r="D33" s="64"/>
      <c r="E33" s="64"/>
      <c r="F33" s="64"/>
      <c r="G33" s="64"/>
      <c r="H33" s="64"/>
      <c r="I33" s="64"/>
      <c r="J33" s="50"/>
      <c r="K33" s="50"/>
    </row>
    <row r="34" spans="1:12" x14ac:dyDescent="0.25">
      <c r="A34" s="2" t="s">
        <v>10</v>
      </c>
      <c r="B34" s="2"/>
      <c r="E34" s="4"/>
      <c r="F34" s="122"/>
    </row>
    <row r="35" spans="1:12" ht="15.75" thickBot="1" x14ac:dyDescent="0.3">
      <c r="B35" s="17"/>
      <c r="C35" s="19"/>
      <c r="D35" s="19"/>
      <c r="E35" s="19"/>
      <c r="F35" s="19"/>
      <c r="G35" s="19"/>
      <c r="H35" s="19"/>
      <c r="I35" s="50"/>
      <c r="J35" s="50"/>
      <c r="K35" s="50"/>
    </row>
    <row r="36" spans="1:12" ht="30.75" thickBot="1" x14ac:dyDescent="0.3">
      <c r="A36" s="13"/>
      <c r="B36" s="13"/>
      <c r="C36" s="15" t="s">
        <v>17</v>
      </c>
      <c r="D36" s="16" t="s">
        <v>18</v>
      </c>
      <c r="E36" s="4"/>
      <c r="G36" s="218" t="s">
        <v>138</v>
      </c>
      <c r="J36" s="42"/>
    </row>
    <row r="37" spans="1:12" x14ac:dyDescent="0.25">
      <c r="A37" s="7" t="s">
        <v>14</v>
      </c>
      <c r="B37" s="52" t="s">
        <v>27</v>
      </c>
      <c r="C37" s="54">
        <v>50443475</v>
      </c>
      <c r="D37" s="14">
        <f>C37/C37</f>
        <v>1</v>
      </c>
    </row>
    <row r="38" spans="1:12" ht="17.25" x14ac:dyDescent="0.25">
      <c r="A38" s="8" t="s">
        <v>124</v>
      </c>
      <c r="B38" s="53" t="s">
        <v>28</v>
      </c>
      <c r="C38" s="55">
        <f>G38*D38</f>
        <v>980208.38599999994</v>
      </c>
      <c r="D38" s="169">
        <v>0.71899999999999997</v>
      </c>
      <c r="F38" s="101">
        <f>G38/G43</f>
        <v>4.8823248176685569E-2</v>
      </c>
      <c r="G38" s="103">
        <v>1363294</v>
      </c>
    </row>
    <row r="39" spans="1:12" ht="17.25" x14ac:dyDescent="0.25">
      <c r="A39" s="8" t="s">
        <v>125</v>
      </c>
      <c r="B39" s="53" t="s">
        <v>29</v>
      </c>
      <c r="C39" s="55">
        <f>G38*D39</f>
        <v>383085.61400000006</v>
      </c>
      <c r="D39" s="169">
        <v>0.28100000000000003</v>
      </c>
      <c r="F39" s="101"/>
    </row>
    <row r="40" spans="1:12" ht="17.25" x14ac:dyDescent="0.25">
      <c r="A40" s="8" t="s">
        <v>126</v>
      </c>
      <c r="B40" s="53" t="s">
        <v>30</v>
      </c>
      <c r="C40" s="55">
        <f>G40*D40</f>
        <v>17104482.864</v>
      </c>
      <c r="D40" s="169">
        <v>0.64400000000000002</v>
      </c>
      <c r="F40" s="101">
        <f>G40/G43</f>
        <v>0.9511767518233144</v>
      </c>
      <c r="G40" s="103">
        <v>26559756</v>
      </c>
    </row>
    <row r="41" spans="1:12" ht="17.25" x14ac:dyDescent="0.25">
      <c r="A41" s="8" t="s">
        <v>127</v>
      </c>
      <c r="B41" s="53" t="s">
        <v>31</v>
      </c>
      <c r="C41" s="55">
        <f>G40*D41</f>
        <v>4525782.4223999996</v>
      </c>
      <c r="D41" s="169">
        <v>0.1704</v>
      </c>
      <c r="F41" s="101"/>
    </row>
    <row r="42" spans="1:12" ht="17.25" x14ac:dyDescent="0.25">
      <c r="A42" s="8" t="s">
        <v>128</v>
      </c>
      <c r="B42" s="53" t="s">
        <v>32</v>
      </c>
      <c r="C42" s="56">
        <f>G40*D42</f>
        <v>4929490.7135999994</v>
      </c>
      <c r="D42" s="170">
        <v>0.18559999999999999</v>
      </c>
      <c r="F42" s="101"/>
    </row>
    <row r="43" spans="1:12" x14ac:dyDescent="0.25">
      <c r="A43" s="18" t="s">
        <v>129</v>
      </c>
      <c r="B43" s="31" t="s">
        <v>33</v>
      </c>
      <c r="C43" s="57">
        <f>SUM(C38:C42)</f>
        <v>27923049.999999996</v>
      </c>
      <c r="D43" s="12">
        <f>C43/C37</f>
        <v>0.55355127694909989</v>
      </c>
      <c r="F43" s="101">
        <f>C43/G43</f>
        <v>0.99999999999999989</v>
      </c>
      <c r="G43" s="103">
        <v>27923050</v>
      </c>
      <c r="H43" s="104">
        <f>F38+F40-F43</f>
        <v>0</v>
      </c>
    </row>
    <row r="44" spans="1:12" x14ac:dyDescent="0.25">
      <c r="A44" s="9" t="s">
        <v>2</v>
      </c>
      <c r="B44" s="30" t="s">
        <v>34</v>
      </c>
      <c r="C44" s="58">
        <f>D45/C45</f>
        <v>2.9241521688392683E-2</v>
      </c>
      <c r="D44" s="5"/>
    </row>
    <row r="45" spans="1:12" ht="17.25" x14ac:dyDescent="0.25">
      <c r="A45" s="9" t="s">
        <v>87</v>
      </c>
      <c r="B45" s="30" t="s">
        <v>35</v>
      </c>
      <c r="C45" s="55">
        <v>52272200</v>
      </c>
      <c r="D45" s="51">
        <v>1528518.67</v>
      </c>
      <c r="L45" s="42"/>
    </row>
    <row r="46" spans="1:12" ht="17.25" x14ac:dyDescent="0.25">
      <c r="A46" s="9" t="s">
        <v>38</v>
      </c>
      <c r="B46" s="30" t="s">
        <v>36</v>
      </c>
      <c r="C46" s="59">
        <v>71.03</v>
      </c>
      <c r="D46" s="5"/>
      <c r="I46" s="4"/>
      <c r="J46" s="42"/>
    </row>
    <row r="47" spans="1:12" ht="15.75" thickBot="1" x14ac:dyDescent="0.3">
      <c r="A47" s="10" t="s">
        <v>39</v>
      </c>
      <c r="B47" s="32" t="s">
        <v>37</v>
      </c>
      <c r="C47" s="60">
        <f>C46/1000</f>
        <v>7.1029999999999996E-2</v>
      </c>
      <c r="D47" s="6"/>
      <c r="H47" s="4"/>
      <c r="I47" s="4"/>
    </row>
    <row r="48" spans="1:12" ht="15.75" thickBot="1" x14ac:dyDescent="0.3">
      <c r="B48" s="17"/>
      <c r="H48" s="4"/>
      <c r="I48" s="4"/>
    </row>
    <row r="49" spans="1:11" ht="15.75" thickBot="1" x14ac:dyDescent="0.3">
      <c r="A49" s="23" t="s">
        <v>137</v>
      </c>
      <c r="B49" s="15"/>
      <c r="C49" s="24" t="s">
        <v>19</v>
      </c>
      <c r="D49" s="16" t="s">
        <v>20</v>
      </c>
      <c r="E49" s="25" t="s">
        <v>4</v>
      </c>
      <c r="F49" s="25" t="s">
        <v>5</v>
      </c>
      <c r="G49" s="16" t="s">
        <v>6</v>
      </c>
      <c r="H49" s="90" t="s">
        <v>71</v>
      </c>
      <c r="I49" s="43"/>
    </row>
    <row r="50" spans="1:11" x14ac:dyDescent="0.25">
      <c r="A50" s="9" t="s">
        <v>21</v>
      </c>
      <c r="B50" s="30" t="s">
        <v>43</v>
      </c>
      <c r="C50" s="118">
        <f>C21</f>
        <v>0.10299999999999999</v>
      </c>
      <c r="D50" s="119">
        <f t="shared" ref="D50:G50" si="8">D21</f>
        <v>0.121</v>
      </c>
      <c r="E50" s="120">
        <f t="shared" si="8"/>
        <v>8.6999999999999994E-2</v>
      </c>
      <c r="F50" s="120">
        <f t="shared" si="8"/>
        <v>0.13200000000000001</v>
      </c>
      <c r="G50" s="119">
        <f t="shared" si="8"/>
        <v>0.18</v>
      </c>
      <c r="H50" s="91"/>
      <c r="I50" s="44"/>
    </row>
    <row r="51" spans="1:11" x14ac:dyDescent="0.25">
      <c r="A51" s="8" t="s">
        <v>22</v>
      </c>
      <c r="B51" s="53" t="s">
        <v>44</v>
      </c>
      <c r="C51" s="193"/>
      <c r="D51" s="192"/>
      <c r="E51" s="194"/>
      <c r="F51" s="194"/>
      <c r="G51" s="190"/>
      <c r="H51" s="92"/>
      <c r="I51" s="45"/>
    </row>
    <row r="52" spans="1:11" x14ac:dyDescent="0.25">
      <c r="A52" s="9" t="s">
        <v>130</v>
      </c>
      <c r="B52" s="30" t="s">
        <v>45</v>
      </c>
      <c r="C52" s="34">
        <f>C38</f>
        <v>980208.38599999994</v>
      </c>
      <c r="D52" s="21">
        <f>C39</f>
        <v>383085.61400000006</v>
      </c>
      <c r="E52" s="27">
        <f>C40</f>
        <v>17104482.864</v>
      </c>
      <c r="F52" s="27">
        <f>C41</f>
        <v>4525782.4223999996</v>
      </c>
      <c r="G52" s="21">
        <f>C42</f>
        <v>4929490.7135999994</v>
      </c>
      <c r="H52" s="93">
        <f>SUM(C52:G52)</f>
        <v>27923049.999999996</v>
      </c>
      <c r="I52" s="46"/>
    </row>
    <row r="53" spans="1:11" x14ac:dyDescent="0.25">
      <c r="A53" s="9"/>
      <c r="B53" s="30"/>
      <c r="C53" s="11"/>
      <c r="D53" s="5"/>
      <c r="E53" s="28"/>
      <c r="F53" s="28"/>
      <c r="G53" s="5"/>
      <c r="H53" s="8"/>
      <c r="I53" s="3"/>
    </row>
    <row r="54" spans="1:11" x14ac:dyDescent="0.25">
      <c r="A54" s="9" t="s">
        <v>131</v>
      </c>
      <c r="B54" s="30" t="s">
        <v>46</v>
      </c>
      <c r="C54" s="35">
        <f>C52*C50</f>
        <v>100961.46375799998</v>
      </c>
      <c r="D54" s="22">
        <f t="shared" ref="D54" si="9">D52*D50</f>
        <v>46353.359294000009</v>
      </c>
      <c r="E54" s="29">
        <f>E52*E50</f>
        <v>1488090.009168</v>
      </c>
      <c r="F54" s="29">
        <f t="shared" ref="F54:G54" si="10">F52*F50</f>
        <v>597403.27975679992</v>
      </c>
      <c r="G54" s="22">
        <f t="shared" si="10"/>
        <v>887308.3284479999</v>
      </c>
      <c r="H54" s="94">
        <f t="shared" ref="H54:H59" si="11">SUM(C54:G54)</f>
        <v>3120116.4404247999</v>
      </c>
      <c r="I54" s="47"/>
    </row>
    <row r="55" spans="1:11" x14ac:dyDescent="0.25">
      <c r="A55" s="9" t="s">
        <v>132</v>
      </c>
      <c r="B55" s="30" t="s">
        <v>47</v>
      </c>
      <c r="C55" s="35">
        <f>C52*$C$44</f>
        <v>28662.784778363384</v>
      </c>
      <c r="D55" s="22">
        <f t="shared" ref="D55:G55" si="12">D52*$C$44</f>
        <v>11202.006290292229</v>
      </c>
      <c r="E55" s="29">
        <f t="shared" si="12"/>
        <v>500161.10663639702</v>
      </c>
      <c r="F55" s="29">
        <f t="shared" si="12"/>
        <v>132340.76486155597</v>
      </c>
      <c r="G55" s="22">
        <f t="shared" si="12"/>
        <v>144145.8096144647</v>
      </c>
      <c r="H55" s="94">
        <f t="shared" si="11"/>
        <v>816512.47218107339</v>
      </c>
      <c r="I55" s="47"/>
    </row>
    <row r="56" spans="1:11" ht="15.75" thickBot="1" x14ac:dyDescent="0.3">
      <c r="A56" s="10" t="s">
        <v>133</v>
      </c>
      <c r="B56" s="32" t="s">
        <v>48</v>
      </c>
      <c r="C56" s="39">
        <f>C52*$C$47</f>
        <v>69624.201657579993</v>
      </c>
      <c r="D56" s="40">
        <f t="shared" ref="D56:G56" si="13">D52*$C$47</f>
        <v>27210.571162420001</v>
      </c>
      <c r="E56" s="41">
        <f t="shared" si="13"/>
        <v>1214931.4178299198</v>
      </c>
      <c r="F56" s="41">
        <f t="shared" si="13"/>
        <v>321466.32546307193</v>
      </c>
      <c r="G56" s="40">
        <f t="shared" si="13"/>
        <v>350141.72538700793</v>
      </c>
      <c r="H56" s="95">
        <f t="shared" si="11"/>
        <v>1983374.2414999998</v>
      </c>
      <c r="I56" s="47"/>
    </row>
    <row r="57" spans="1:11" x14ac:dyDescent="0.25">
      <c r="A57" s="18" t="s">
        <v>25</v>
      </c>
      <c r="B57" s="31" t="s">
        <v>49</v>
      </c>
      <c r="C57" s="36">
        <f>C54-C55-C56</f>
        <v>2674.477322056613</v>
      </c>
      <c r="D57" s="37">
        <f t="shared" ref="D57:G57" si="14">D54-D55-D56</f>
        <v>7940.7818412877787</v>
      </c>
      <c r="E57" s="38">
        <f t="shared" si="14"/>
        <v>-227002.51529831695</v>
      </c>
      <c r="F57" s="38">
        <f t="shared" si="14"/>
        <v>143596.18943217199</v>
      </c>
      <c r="G57" s="37">
        <f t="shared" si="14"/>
        <v>393020.79344652733</v>
      </c>
      <c r="H57" s="98">
        <f t="shared" si="11"/>
        <v>320229.72674372676</v>
      </c>
      <c r="I57" s="48"/>
    </row>
    <row r="58" spans="1:11" x14ac:dyDescent="0.25">
      <c r="A58" s="76" t="s">
        <v>23</v>
      </c>
      <c r="B58" s="77" t="s">
        <v>50</v>
      </c>
      <c r="C58" s="78">
        <f>IF(C57&gt;0,C57,0)</f>
        <v>2674.477322056613</v>
      </c>
      <c r="D58" s="79">
        <f t="shared" ref="D58:G58" si="15">IF(D57&gt;0,D57,0)</f>
        <v>7940.7818412877787</v>
      </c>
      <c r="E58" s="80">
        <f t="shared" si="15"/>
        <v>0</v>
      </c>
      <c r="F58" s="80">
        <f t="shared" si="15"/>
        <v>143596.18943217199</v>
      </c>
      <c r="G58" s="79">
        <f t="shared" si="15"/>
        <v>393020.79344652733</v>
      </c>
      <c r="H58" s="96">
        <f t="shared" si="11"/>
        <v>547232.24204204371</v>
      </c>
      <c r="I58" s="49"/>
      <c r="J58" s="50"/>
      <c r="K58" s="50"/>
    </row>
    <row r="59" spans="1:11" ht="15.75" thickBot="1" x14ac:dyDescent="0.3">
      <c r="A59" s="81" t="s">
        <v>24</v>
      </c>
      <c r="B59" s="82" t="s">
        <v>51</v>
      </c>
      <c r="C59" s="83">
        <f>IF(C57&lt;0,C57*-1,0)</f>
        <v>0</v>
      </c>
      <c r="D59" s="84">
        <f t="shared" ref="D59:G59" si="16">IF(D57&lt;0,D57*-1,0)</f>
        <v>0</v>
      </c>
      <c r="E59" s="85">
        <f t="shared" si="16"/>
        <v>227002.51529831695</v>
      </c>
      <c r="F59" s="85">
        <f t="shared" si="16"/>
        <v>0</v>
      </c>
      <c r="G59" s="84">
        <f t="shared" si="16"/>
        <v>0</v>
      </c>
      <c r="H59" s="97">
        <f t="shared" si="11"/>
        <v>227002.51529831695</v>
      </c>
      <c r="I59" s="49"/>
      <c r="J59" s="50"/>
      <c r="K59" s="50"/>
    </row>
    <row r="60" spans="1:11" x14ac:dyDescent="0.25">
      <c r="B60" s="17"/>
      <c r="C60" s="19"/>
      <c r="D60" s="19"/>
      <c r="E60" s="19"/>
      <c r="F60" s="19"/>
      <c r="G60" s="19"/>
      <c r="H60" s="50"/>
      <c r="I60" s="50"/>
      <c r="J60" s="50"/>
      <c r="K60" s="50"/>
    </row>
    <row r="61" spans="1:11" ht="15.75" thickBot="1" x14ac:dyDescent="0.3">
      <c r="A61" s="86" t="s">
        <v>42</v>
      </c>
      <c r="H61" s="4"/>
      <c r="I61" s="4"/>
    </row>
    <row r="62" spans="1:11" x14ac:dyDescent="0.25">
      <c r="A62" s="7" t="s">
        <v>134</v>
      </c>
      <c r="B62" s="52"/>
      <c r="C62" s="87">
        <f>C57-C28</f>
        <v>-3013.522677943387</v>
      </c>
      <c r="D62" s="88">
        <f t="shared" ref="D62:G62" si="17">D57-D28</f>
        <v>4971.7818412877787</v>
      </c>
      <c r="E62" s="89">
        <f t="shared" si="17"/>
        <v>-315644.51529831695</v>
      </c>
      <c r="F62" s="89">
        <f t="shared" si="17"/>
        <v>117003.18943217199</v>
      </c>
      <c r="G62" s="88">
        <f t="shared" si="17"/>
        <v>362317.79344652733</v>
      </c>
      <c r="H62" s="98">
        <f t="shared" ref="H62:H64" si="18">SUM(C62:G62)</f>
        <v>165634.72674372676</v>
      </c>
      <c r="I62" s="48"/>
    </row>
    <row r="63" spans="1:11" x14ac:dyDescent="0.25">
      <c r="A63" s="76" t="s">
        <v>135</v>
      </c>
      <c r="B63" s="77" t="s">
        <v>72</v>
      </c>
      <c r="C63" s="78">
        <f>IF(C62&gt;0,C62,0)</f>
        <v>0</v>
      </c>
      <c r="D63" s="79">
        <f t="shared" ref="D63:G63" si="19">IF(D62&gt;0,D62,0)</f>
        <v>4971.7818412877787</v>
      </c>
      <c r="E63" s="80">
        <f t="shared" si="19"/>
        <v>0</v>
      </c>
      <c r="F63" s="80">
        <f t="shared" si="19"/>
        <v>117003.18943217199</v>
      </c>
      <c r="G63" s="79">
        <f t="shared" si="19"/>
        <v>362317.79344652733</v>
      </c>
      <c r="H63" s="96">
        <f t="shared" si="18"/>
        <v>484292.76471998711</v>
      </c>
      <c r="I63" s="49"/>
      <c r="J63" s="50"/>
      <c r="K63" s="50"/>
    </row>
    <row r="64" spans="1:11" ht="15.75" thickBot="1" x14ac:dyDescent="0.3">
      <c r="A64" s="81" t="s">
        <v>136</v>
      </c>
      <c r="B64" s="82" t="s">
        <v>73</v>
      </c>
      <c r="C64" s="83">
        <f>IF(C62&lt;0,C62*-1,0)</f>
        <v>3013.522677943387</v>
      </c>
      <c r="D64" s="84">
        <f t="shared" ref="D64:G64" si="20">IF(D62&lt;0,D62*-1,0)</f>
        <v>0</v>
      </c>
      <c r="E64" s="85">
        <f t="shared" si="20"/>
        <v>315644.51529831695</v>
      </c>
      <c r="F64" s="85">
        <f t="shared" si="20"/>
        <v>0</v>
      </c>
      <c r="G64" s="84">
        <f t="shared" si="20"/>
        <v>0</v>
      </c>
      <c r="H64" s="97">
        <f t="shared" si="18"/>
        <v>318658.03797626036</v>
      </c>
      <c r="I64" s="49"/>
      <c r="J64" s="50"/>
      <c r="K64" s="50"/>
    </row>
  </sheetData>
  <sheetProtection password="CC7B" sheet="1" objects="1" scenarios="1"/>
  <pageMargins left="0.11811023622047245" right="0.11811023622047245" top="0.35433070866141736" bottom="0.35433070866141736" header="0.11811023622047245" footer="0.11811023622047245"/>
  <pageSetup scale="75" orientation="portrait" verticalDpi="0" r:id="rId1"/>
  <headerFooter>
    <oddFooter>&amp;L&amp;9&amp;Z&amp;F  &amp;A  &amp;D  &amp;T&amp;R&amp;P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Summary</vt:lpstr>
      <vt:lpstr>2016 01</vt:lpstr>
      <vt:lpstr>2016 02</vt:lpstr>
      <vt:lpstr>2016 03</vt:lpstr>
      <vt:lpstr>2016 04</vt:lpstr>
      <vt:lpstr>2016 05</vt:lpstr>
      <vt:lpstr>2016 06</vt:lpstr>
      <vt:lpstr>2016 07</vt:lpstr>
      <vt:lpstr>2016 08</vt:lpstr>
      <vt:lpstr>2016 09</vt:lpstr>
      <vt:lpstr>2016 10</vt:lpstr>
      <vt:lpstr>2016 11</vt:lpstr>
      <vt:lpstr>2016 12</vt:lpstr>
      <vt:lpstr>'2016 01'!Print_Area</vt:lpstr>
      <vt:lpstr>'2016 02'!Print_Area</vt:lpstr>
      <vt:lpstr>'2016 03'!Print_Area</vt:lpstr>
      <vt:lpstr>'2016 04'!Print_Area</vt:lpstr>
      <vt:lpstr>'2016 05'!Print_Area</vt:lpstr>
      <vt:lpstr>'2016 06'!Print_Area</vt:lpstr>
      <vt:lpstr>'2016 07'!Print_Area</vt:lpstr>
      <vt:lpstr>'2016 08'!Print_Area</vt:lpstr>
      <vt:lpstr>'2016 09'!Print_Area</vt:lpstr>
      <vt:lpstr>'2016 10'!Print_Area</vt:lpstr>
      <vt:lpstr>'2016 11'!Print_Area</vt:lpstr>
      <vt:lpstr>'2016 12'!Print_Area</vt:lpstr>
      <vt:lpstr>Summary!Print_Area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Tracy Rehberg-Rawlingson</dc:creator>
  <cp:lastModifiedBy>Tracy Rehberg-Rawlingson</cp:lastModifiedBy>
  <cp:lastPrinted>2019-01-29T15:00:09Z</cp:lastPrinted>
  <dcterms:created xsi:type="dcterms:W3CDTF">2019-01-17T18:57:30Z</dcterms:created>
  <dcterms:modified xsi:type="dcterms:W3CDTF">2019-02-11T16:18:52Z</dcterms:modified>
</cp:coreProperties>
</file>