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7B" lockStructure="1"/>
  <bookViews>
    <workbookView xWindow="480" yWindow="210" windowWidth="20115" windowHeight="12015" tabRatio="793"/>
  </bookViews>
  <sheets>
    <sheet name="Summary" sheetId="4" r:id="rId1"/>
    <sheet name="2017 01" sheetId="16" r:id="rId2"/>
    <sheet name="2017 02" sheetId="5" r:id="rId3"/>
    <sheet name="2017 03" sheetId="6" r:id="rId4"/>
    <sheet name="2017 04" sheetId="7" r:id="rId5"/>
    <sheet name="2017 05" sheetId="8" r:id="rId6"/>
    <sheet name="2017 06" sheetId="9" r:id="rId7"/>
    <sheet name="2017 07" sheetId="10" r:id="rId8"/>
    <sheet name="2017 08" sheetId="11" r:id="rId9"/>
    <sheet name="2017 09" sheetId="12" r:id="rId10"/>
    <sheet name="2017 10" sheetId="13" r:id="rId11"/>
    <sheet name="2017 11" sheetId="14" r:id="rId12"/>
    <sheet name="2017 12" sheetId="15" r:id="rId13"/>
  </sheets>
  <definedNames>
    <definedName name="_xlnm.Print_Area" localSheetId="1">'2017 01'!$A$1:$H$65</definedName>
    <definedName name="_xlnm.Print_Area" localSheetId="2">'2017 02'!$A$1:$H$74</definedName>
    <definedName name="_xlnm.Print_Area" localSheetId="3">'2017 03'!$A$1:$H$74</definedName>
    <definedName name="_xlnm.Print_Area" localSheetId="4">'2017 04'!$A$1:$H$74</definedName>
    <definedName name="_xlnm.Print_Area" localSheetId="5">'2017 05'!$A$1:$H$74</definedName>
    <definedName name="_xlnm.Print_Area" localSheetId="6">'2017 06'!$A$1:$H$74</definedName>
    <definedName name="_xlnm.Print_Area" localSheetId="7">'2017 07'!$A$1:$H$74</definedName>
    <definedName name="_xlnm.Print_Area" localSheetId="8">'2017 08'!$A$1:$H$74</definedName>
    <definedName name="_xlnm.Print_Area" localSheetId="9">'2017 09'!$A$1:$H$74</definedName>
    <definedName name="_xlnm.Print_Area" localSheetId="10">'2017 10'!$A$1:$H$74</definedName>
    <definedName name="_xlnm.Print_Area" localSheetId="11">'2017 11'!$A$1:$H$74</definedName>
    <definedName name="_xlnm.Print_Area" localSheetId="12">'2017 12'!$A$1:$H$74</definedName>
    <definedName name="_xlnm.Print_Area" localSheetId="0">Summary!$A$1:$P$63</definedName>
  </definedNames>
  <calcPr calcId="145621"/>
</workbook>
</file>

<file path=xl/calcChain.xml><?xml version="1.0" encoding="utf-8"?>
<calcChain xmlns="http://schemas.openxmlformats.org/spreadsheetml/2006/main">
  <c r="C56" i="4" l="1"/>
  <c r="N62" i="4" l="1"/>
  <c r="M62" i="4"/>
  <c r="L62" i="4"/>
  <c r="K62" i="4"/>
  <c r="J62" i="4"/>
  <c r="I62" i="4"/>
  <c r="H62" i="4"/>
  <c r="G62" i="4"/>
  <c r="F62" i="4"/>
  <c r="N61" i="4"/>
  <c r="M61" i="4"/>
  <c r="L61" i="4"/>
  <c r="K61" i="4"/>
  <c r="J61" i="4"/>
  <c r="I61" i="4"/>
  <c r="H61" i="4"/>
  <c r="G61" i="4"/>
  <c r="F61" i="4"/>
  <c r="N60" i="4"/>
  <c r="M60" i="4"/>
  <c r="L60" i="4"/>
  <c r="K60" i="4"/>
  <c r="J60" i="4"/>
  <c r="I60" i="4"/>
  <c r="H60" i="4"/>
  <c r="G60" i="4"/>
  <c r="F60" i="4"/>
  <c r="H65" i="16"/>
  <c r="D65" i="16"/>
  <c r="E65" i="16"/>
  <c r="F65" i="16"/>
  <c r="G65" i="16"/>
  <c r="C65" i="16"/>
  <c r="C62" i="16"/>
  <c r="C25" i="4"/>
  <c r="C23" i="4"/>
  <c r="C25" i="16"/>
  <c r="C57" i="16"/>
  <c r="C42" i="6" l="1"/>
  <c r="C41" i="6"/>
  <c r="C40" i="6"/>
  <c r="C42" i="7"/>
  <c r="C41" i="7"/>
  <c r="C40" i="7"/>
  <c r="C42" i="8"/>
  <c r="C41" i="8"/>
  <c r="C40" i="8"/>
  <c r="C42" i="9"/>
  <c r="C41" i="9"/>
  <c r="C40" i="9"/>
  <c r="C42" i="10"/>
  <c r="C41" i="10"/>
  <c r="C40" i="10"/>
  <c r="C42" i="11"/>
  <c r="C41" i="11"/>
  <c r="C40" i="11"/>
  <c r="C42" i="12"/>
  <c r="C41" i="12"/>
  <c r="C40" i="12"/>
  <c r="C42" i="13"/>
  <c r="C41" i="13"/>
  <c r="C40" i="13"/>
  <c r="C42" i="14"/>
  <c r="C41" i="14"/>
  <c r="C40" i="14"/>
  <c r="C42" i="15"/>
  <c r="C41" i="15"/>
  <c r="C40" i="15"/>
  <c r="C42" i="5"/>
  <c r="C41" i="5"/>
  <c r="C40" i="5"/>
  <c r="C42" i="16"/>
  <c r="C41" i="16"/>
  <c r="C40" i="16"/>
  <c r="C39" i="6" l="1"/>
  <c r="C38" i="6"/>
  <c r="C39" i="7"/>
  <c r="C38" i="7"/>
  <c r="C39" i="8"/>
  <c r="C38" i="8"/>
  <c r="C39" i="9"/>
  <c r="C38" i="9"/>
  <c r="C39" i="10"/>
  <c r="C38" i="10"/>
  <c r="C39" i="11"/>
  <c r="C38" i="11"/>
  <c r="C39" i="12"/>
  <c r="C38" i="12"/>
  <c r="C39" i="13"/>
  <c r="C38" i="13"/>
  <c r="C39" i="14"/>
  <c r="C38" i="14"/>
  <c r="C39" i="15"/>
  <c r="C38" i="15"/>
  <c r="C39" i="5"/>
  <c r="C38" i="5"/>
  <c r="C39" i="16"/>
  <c r="C38" i="16"/>
  <c r="C28" i="8" l="1"/>
  <c r="N44" i="4" l="1"/>
  <c r="N43" i="4"/>
  <c r="N35" i="4"/>
  <c r="N16" i="4"/>
  <c r="N15" i="4"/>
  <c r="N14" i="4"/>
  <c r="N12" i="4"/>
  <c r="N11" i="4"/>
  <c r="N10" i="4"/>
  <c r="N9" i="4"/>
  <c r="N8" i="4"/>
  <c r="N7" i="4"/>
  <c r="G28" i="15"/>
  <c r="F28" i="15"/>
  <c r="E28" i="15"/>
  <c r="D28" i="15"/>
  <c r="C28" i="15"/>
  <c r="M44" i="4" l="1"/>
  <c r="M43" i="4"/>
  <c r="M35" i="4"/>
  <c r="M16" i="4"/>
  <c r="M15" i="4"/>
  <c r="M14" i="4"/>
  <c r="M12" i="4"/>
  <c r="M11" i="4"/>
  <c r="M10" i="4"/>
  <c r="M9" i="4"/>
  <c r="M8" i="4"/>
  <c r="M7" i="4"/>
  <c r="F28" i="14" l="1"/>
  <c r="G28" i="14"/>
  <c r="E28" i="14"/>
  <c r="D28" i="14"/>
  <c r="C28" i="14"/>
  <c r="L44" i="4"/>
  <c r="L43" i="4"/>
  <c r="L35" i="4"/>
  <c r="L16" i="4"/>
  <c r="L15" i="4"/>
  <c r="L14" i="4"/>
  <c r="L12" i="4"/>
  <c r="L11" i="4"/>
  <c r="L10" i="4"/>
  <c r="L9" i="4"/>
  <c r="L8" i="4"/>
  <c r="L7" i="4"/>
  <c r="G28" i="13" l="1"/>
  <c r="F28" i="13"/>
  <c r="E28" i="13"/>
  <c r="D28" i="13"/>
  <c r="C28" i="13"/>
  <c r="K43" i="4"/>
  <c r="K35" i="4"/>
  <c r="K16" i="4"/>
  <c r="K15" i="4"/>
  <c r="K14" i="4"/>
  <c r="K12" i="4"/>
  <c r="K11" i="4"/>
  <c r="K10" i="4"/>
  <c r="K9" i="4"/>
  <c r="K8" i="4"/>
  <c r="K7" i="4"/>
  <c r="G28" i="12" l="1"/>
  <c r="F28" i="12"/>
  <c r="E28" i="12"/>
  <c r="D28" i="12"/>
  <c r="C28" i="12"/>
  <c r="J44" i="4"/>
  <c r="J43" i="4"/>
  <c r="J35" i="4"/>
  <c r="J16" i="4"/>
  <c r="J15" i="4"/>
  <c r="J14" i="4"/>
  <c r="J12" i="4"/>
  <c r="J11" i="4"/>
  <c r="J10" i="4"/>
  <c r="J9" i="4"/>
  <c r="J8" i="4"/>
  <c r="J7" i="4"/>
  <c r="C28" i="11"/>
  <c r="G28" i="11"/>
  <c r="F28" i="11"/>
  <c r="E28" i="11"/>
  <c r="D28" i="11"/>
  <c r="I44" i="4" l="1"/>
  <c r="I43" i="4"/>
  <c r="I35" i="4"/>
  <c r="I16" i="4"/>
  <c r="I15" i="4"/>
  <c r="I14" i="4"/>
  <c r="I12" i="4"/>
  <c r="I11" i="4"/>
  <c r="I10" i="4"/>
  <c r="I9" i="4"/>
  <c r="I8" i="4"/>
  <c r="I7" i="4"/>
  <c r="G28" i="10"/>
  <c r="F28" i="10"/>
  <c r="E28" i="10"/>
  <c r="D28" i="10"/>
  <c r="C28" i="10"/>
  <c r="H44" i="4" l="1"/>
  <c r="H43" i="4"/>
  <c r="H35" i="4"/>
  <c r="H16" i="4"/>
  <c r="H15" i="4"/>
  <c r="H14" i="4"/>
  <c r="H12" i="4"/>
  <c r="H11" i="4"/>
  <c r="H10" i="4"/>
  <c r="H9" i="4"/>
  <c r="H8" i="4"/>
  <c r="H7" i="4"/>
  <c r="G28" i="8" l="1"/>
  <c r="F28" i="8"/>
  <c r="E28" i="8"/>
  <c r="D28" i="8"/>
  <c r="F28" i="7"/>
  <c r="G28" i="7"/>
  <c r="E28" i="7"/>
  <c r="D28" i="7"/>
  <c r="C28" i="7"/>
  <c r="G28" i="16"/>
  <c r="F28" i="16"/>
  <c r="E28" i="16"/>
  <c r="D28" i="16"/>
  <c r="C28" i="16"/>
  <c r="F28" i="5"/>
  <c r="G28" i="5"/>
  <c r="E28" i="5"/>
  <c r="D28" i="5"/>
  <c r="C28" i="5"/>
  <c r="D28" i="6"/>
  <c r="G28" i="6"/>
  <c r="F28" i="6"/>
  <c r="E28" i="6"/>
  <c r="C28" i="6"/>
  <c r="G28" i="9"/>
  <c r="F28" i="9"/>
  <c r="E28" i="9"/>
  <c r="D28" i="9"/>
  <c r="C28" i="9"/>
  <c r="G44" i="4"/>
  <c r="G43" i="4"/>
  <c r="G35" i="4"/>
  <c r="G16" i="4"/>
  <c r="G15" i="4"/>
  <c r="G14" i="4"/>
  <c r="G12" i="4"/>
  <c r="G11" i="4"/>
  <c r="G10" i="4"/>
  <c r="G9" i="4"/>
  <c r="G8" i="4"/>
  <c r="G7" i="4"/>
  <c r="F44" i="4" l="1"/>
  <c r="F43" i="4"/>
  <c r="F35" i="4"/>
  <c r="F16" i="4"/>
  <c r="F15" i="4"/>
  <c r="F14" i="4"/>
  <c r="F12" i="4"/>
  <c r="F11" i="4"/>
  <c r="F10" i="4"/>
  <c r="F9" i="4"/>
  <c r="F8" i="4"/>
  <c r="F7" i="4"/>
  <c r="E44" i="4" l="1"/>
  <c r="E43" i="4"/>
  <c r="E35" i="4"/>
  <c r="E16" i="4"/>
  <c r="E15" i="4"/>
  <c r="E14" i="4"/>
  <c r="E12" i="4"/>
  <c r="E11" i="4"/>
  <c r="E10" i="4"/>
  <c r="E9" i="4"/>
  <c r="E8" i="4"/>
  <c r="E7" i="4"/>
  <c r="D44" i="4" l="1"/>
  <c r="D43" i="4"/>
  <c r="D35" i="4"/>
  <c r="D16" i="4"/>
  <c r="D15" i="4"/>
  <c r="D14" i="4"/>
  <c r="D12" i="4"/>
  <c r="D11" i="4"/>
  <c r="D10" i="4"/>
  <c r="D9" i="4"/>
  <c r="D8" i="4"/>
  <c r="D7" i="4"/>
  <c r="F38" i="5"/>
  <c r="F40" i="6" l="1"/>
  <c r="F38" i="6"/>
  <c r="F40" i="7"/>
  <c r="F38" i="7"/>
  <c r="F40" i="8"/>
  <c r="F38" i="8"/>
  <c r="F40" i="9"/>
  <c r="F38" i="9"/>
  <c r="F40" i="10"/>
  <c r="F38" i="10"/>
  <c r="F40" i="11"/>
  <c r="F38" i="11"/>
  <c r="F40" i="12"/>
  <c r="F38" i="12"/>
  <c r="F40" i="13"/>
  <c r="F38" i="13"/>
  <c r="F40" i="14"/>
  <c r="F38" i="14"/>
  <c r="F40" i="15"/>
  <c r="F38" i="15"/>
  <c r="F40" i="5"/>
  <c r="E40" i="4"/>
  <c r="E39" i="4"/>
  <c r="E37" i="4"/>
  <c r="E36" i="4"/>
  <c r="F40" i="4"/>
  <c r="F39" i="4"/>
  <c r="F37" i="4"/>
  <c r="G40" i="4"/>
  <c r="G39" i="4"/>
  <c r="G38" i="4"/>
  <c r="G37" i="4"/>
  <c r="H40" i="4"/>
  <c r="H39" i="4"/>
  <c r="H38" i="4"/>
  <c r="H37" i="4"/>
  <c r="I40" i="4"/>
  <c r="I39" i="4"/>
  <c r="I37" i="4"/>
  <c r="J40" i="4"/>
  <c r="J39" i="4"/>
  <c r="J37" i="4"/>
  <c r="K40" i="4"/>
  <c r="K39" i="4"/>
  <c r="K38" i="4"/>
  <c r="K37" i="4"/>
  <c r="L40" i="4"/>
  <c r="L39" i="4"/>
  <c r="L38" i="4"/>
  <c r="L37" i="4"/>
  <c r="M40" i="4"/>
  <c r="M39" i="4"/>
  <c r="M37" i="4"/>
  <c r="N40" i="4"/>
  <c r="N39" i="4"/>
  <c r="N37" i="4"/>
  <c r="D40" i="4"/>
  <c r="D39" i="4"/>
  <c r="D38" i="4"/>
  <c r="D37" i="4"/>
  <c r="G50" i="6"/>
  <c r="F50" i="6"/>
  <c r="E50" i="6"/>
  <c r="D50" i="6"/>
  <c r="G50" i="7"/>
  <c r="F50" i="7"/>
  <c r="E50" i="7"/>
  <c r="D50" i="7"/>
  <c r="G50" i="8"/>
  <c r="F50" i="8"/>
  <c r="E50" i="8"/>
  <c r="D50" i="8"/>
  <c r="G50" i="9"/>
  <c r="F50" i="9"/>
  <c r="E50" i="9"/>
  <c r="D50" i="9"/>
  <c r="G50" i="10"/>
  <c r="F50" i="10"/>
  <c r="E50" i="10"/>
  <c r="D50" i="10"/>
  <c r="G50" i="11"/>
  <c r="F50" i="11"/>
  <c r="E50" i="11"/>
  <c r="D50" i="11"/>
  <c r="G50" i="12"/>
  <c r="F50" i="12"/>
  <c r="E50" i="12"/>
  <c r="D50" i="12"/>
  <c r="G50" i="13"/>
  <c r="F50" i="13"/>
  <c r="E50" i="13"/>
  <c r="D50" i="13"/>
  <c r="G50" i="14"/>
  <c r="F50" i="14"/>
  <c r="E50" i="14"/>
  <c r="D50" i="14"/>
  <c r="G50" i="15"/>
  <c r="F50" i="15"/>
  <c r="E50" i="15"/>
  <c r="D50" i="15"/>
  <c r="G50" i="5"/>
  <c r="F50" i="5"/>
  <c r="E50" i="5"/>
  <c r="D50" i="5"/>
  <c r="C50" i="6"/>
  <c r="C50" i="7"/>
  <c r="C50" i="8"/>
  <c r="C50" i="9"/>
  <c r="C50" i="10"/>
  <c r="C50" i="11"/>
  <c r="C50" i="12"/>
  <c r="C50" i="13"/>
  <c r="C50" i="14"/>
  <c r="C50" i="15"/>
  <c r="C50" i="5"/>
  <c r="G50" i="16"/>
  <c r="F50" i="16"/>
  <c r="E50" i="16"/>
  <c r="D50" i="16"/>
  <c r="C50" i="16"/>
  <c r="C44" i="4"/>
  <c r="C43" i="4"/>
  <c r="O43" i="4" s="1"/>
  <c r="C35" i="4"/>
  <c r="O35" i="4" s="1"/>
  <c r="C16" i="4"/>
  <c r="C15" i="4"/>
  <c r="C14" i="4"/>
  <c r="C12" i="4"/>
  <c r="O12" i="4" s="1"/>
  <c r="C11" i="4"/>
  <c r="O11" i="4" s="1"/>
  <c r="C10" i="4"/>
  <c r="O10" i="4" s="1"/>
  <c r="C9" i="4"/>
  <c r="O9" i="4" s="1"/>
  <c r="C8" i="4"/>
  <c r="O8" i="4" s="1"/>
  <c r="C7" i="4"/>
  <c r="H36" i="4" l="1"/>
  <c r="F38" i="4"/>
  <c r="F36" i="4"/>
  <c r="E38" i="4"/>
  <c r="G36" i="4"/>
  <c r="N38" i="4"/>
  <c r="N36" i="4"/>
  <c r="M36" i="4"/>
  <c r="M38" i="4"/>
  <c r="L36" i="4"/>
  <c r="K36" i="4"/>
  <c r="J36" i="4"/>
  <c r="J38" i="4"/>
  <c r="I36" i="4"/>
  <c r="I38" i="4"/>
  <c r="D36" i="4"/>
  <c r="F40" i="16"/>
  <c r="F38" i="16"/>
  <c r="C40" i="4"/>
  <c r="O40" i="4" s="1"/>
  <c r="C39" i="4"/>
  <c r="O39" i="4" s="1"/>
  <c r="C37" i="4"/>
  <c r="O37" i="4" s="1"/>
  <c r="C38" i="4" l="1"/>
  <c r="O38" i="4" s="1"/>
  <c r="C36" i="4"/>
  <c r="O36" i="4" s="1"/>
  <c r="G52" i="16"/>
  <c r="F52" i="16"/>
  <c r="D52" i="16"/>
  <c r="C52" i="16"/>
  <c r="C47" i="16"/>
  <c r="C45" i="4" s="1"/>
  <c r="C44" i="16"/>
  <c r="C42" i="4" s="1"/>
  <c r="D37" i="16"/>
  <c r="G23" i="16"/>
  <c r="F23" i="16"/>
  <c r="E23" i="16"/>
  <c r="E26" i="16" s="1"/>
  <c r="D23" i="16"/>
  <c r="D26" i="16" s="1"/>
  <c r="C23" i="16"/>
  <c r="C15" i="16"/>
  <c r="G52" i="15"/>
  <c r="G65" i="15" s="1"/>
  <c r="F52" i="15"/>
  <c r="E52" i="15"/>
  <c r="D52" i="15"/>
  <c r="C52" i="15"/>
  <c r="C65" i="15" s="1"/>
  <c r="C47" i="15"/>
  <c r="N45" i="4" s="1"/>
  <c r="C44" i="15"/>
  <c r="N42" i="4" s="1"/>
  <c r="C43" i="15"/>
  <c r="N41" i="4" s="1"/>
  <c r="D37" i="15"/>
  <c r="G23" i="15"/>
  <c r="F23" i="15"/>
  <c r="E23" i="15"/>
  <c r="E26" i="15" s="1"/>
  <c r="D23" i="15"/>
  <c r="D26" i="15" s="1"/>
  <c r="C23" i="15"/>
  <c r="C15" i="15"/>
  <c r="G52" i="14"/>
  <c r="G65" i="14" s="1"/>
  <c r="F52" i="14"/>
  <c r="E52" i="14"/>
  <c r="E65" i="14" s="1"/>
  <c r="D52" i="14"/>
  <c r="C52" i="14"/>
  <c r="C65" i="14" s="1"/>
  <c r="C47" i="14"/>
  <c r="C44" i="14"/>
  <c r="M42" i="4" s="1"/>
  <c r="C43" i="14"/>
  <c r="M41" i="4" s="1"/>
  <c r="D37" i="14"/>
  <c r="G23" i="14"/>
  <c r="F23" i="14"/>
  <c r="E23" i="14"/>
  <c r="E26" i="14" s="1"/>
  <c r="D23" i="14"/>
  <c r="D26" i="14" s="1"/>
  <c r="C23" i="14"/>
  <c r="C15" i="14"/>
  <c r="G52" i="13"/>
  <c r="G65" i="13" s="1"/>
  <c r="F52" i="13"/>
  <c r="E52" i="13"/>
  <c r="E65" i="13" s="1"/>
  <c r="D52" i="13"/>
  <c r="C52" i="13"/>
  <c r="C65" i="13" s="1"/>
  <c r="C47" i="13"/>
  <c r="L45" i="4" s="1"/>
  <c r="C44" i="13"/>
  <c r="L42" i="4" s="1"/>
  <c r="C43" i="13"/>
  <c r="L41" i="4" s="1"/>
  <c r="D37" i="13"/>
  <c r="G23" i="13"/>
  <c r="F23" i="13"/>
  <c r="E23" i="13"/>
  <c r="E26" i="13" s="1"/>
  <c r="D23" i="13"/>
  <c r="D26" i="13" s="1"/>
  <c r="C23" i="13"/>
  <c r="C15" i="13"/>
  <c r="G52" i="12"/>
  <c r="G65" i="12" s="1"/>
  <c r="F52" i="12"/>
  <c r="E52" i="12"/>
  <c r="E65" i="12" s="1"/>
  <c r="D52" i="12"/>
  <c r="C52" i="12"/>
  <c r="C65" i="12" s="1"/>
  <c r="C47" i="12"/>
  <c r="K45" i="4" s="1"/>
  <c r="C44" i="12"/>
  <c r="K42" i="4" s="1"/>
  <c r="C43" i="12"/>
  <c r="K41" i="4" s="1"/>
  <c r="D37" i="12"/>
  <c r="G23" i="12"/>
  <c r="F23" i="12"/>
  <c r="E23" i="12"/>
  <c r="E26" i="12" s="1"/>
  <c r="D23" i="12"/>
  <c r="D26" i="12" s="1"/>
  <c r="C23" i="12"/>
  <c r="C15" i="12"/>
  <c r="G52" i="11"/>
  <c r="G65" i="11" s="1"/>
  <c r="F52" i="11"/>
  <c r="E52" i="11"/>
  <c r="D52" i="11"/>
  <c r="C52" i="11"/>
  <c r="C65" i="11" s="1"/>
  <c r="C47" i="11"/>
  <c r="J45" i="4" s="1"/>
  <c r="C44" i="11"/>
  <c r="J42" i="4" s="1"/>
  <c r="C43" i="11"/>
  <c r="J41" i="4" s="1"/>
  <c r="D37" i="11"/>
  <c r="G23" i="11"/>
  <c r="F23" i="11"/>
  <c r="E23" i="11"/>
  <c r="E26" i="11" s="1"/>
  <c r="D23" i="11"/>
  <c r="D26" i="11" s="1"/>
  <c r="C23" i="11"/>
  <c r="C15" i="11"/>
  <c r="G52" i="10"/>
  <c r="G65" i="10" s="1"/>
  <c r="F52" i="10"/>
  <c r="E52" i="10"/>
  <c r="E65" i="10" s="1"/>
  <c r="D52" i="10"/>
  <c r="C52" i="10"/>
  <c r="C65" i="10" s="1"/>
  <c r="C47" i="10"/>
  <c r="C44" i="10"/>
  <c r="I42" i="4" s="1"/>
  <c r="C43" i="10"/>
  <c r="I41" i="4" s="1"/>
  <c r="D37" i="10"/>
  <c r="G23" i="10"/>
  <c r="F23" i="10"/>
  <c r="E23" i="10"/>
  <c r="E26" i="10" s="1"/>
  <c r="D23" i="10"/>
  <c r="D26" i="10" s="1"/>
  <c r="C23" i="10"/>
  <c r="C15" i="10"/>
  <c r="G52" i="9"/>
  <c r="G65" i="9" s="1"/>
  <c r="F52" i="9"/>
  <c r="E52" i="9"/>
  <c r="E65" i="9" s="1"/>
  <c r="D52" i="9"/>
  <c r="C52" i="9"/>
  <c r="C65" i="9" s="1"/>
  <c r="C47" i="9"/>
  <c r="H45" i="4" s="1"/>
  <c r="C44" i="9"/>
  <c r="H42" i="4" s="1"/>
  <c r="C43" i="9"/>
  <c r="H41" i="4" s="1"/>
  <c r="D37" i="9"/>
  <c r="G23" i="9"/>
  <c r="F23" i="9"/>
  <c r="E23" i="9"/>
  <c r="E26" i="9" s="1"/>
  <c r="D23" i="9"/>
  <c r="D26" i="9" s="1"/>
  <c r="C23" i="9"/>
  <c r="C15" i="9"/>
  <c r="G52" i="8"/>
  <c r="G65" i="8" s="1"/>
  <c r="F52" i="8"/>
  <c r="E52" i="8"/>
  <c r="E65" i="8" s="1"/>
  <c r="D52" i="8"/>
  <c r="C52" i="8"/>
  <c r="C65" i="8" s="1"/>
  <c r="C47" i="8"/>
  <c r="G45" i="4" s="1"/>
  <c r="C44" i="8"/>
  <c r="G42" i="4" s="1"/>
  <c r="C43" i="8"/>
  <c r="G41" i="4" s="1"/>
  <c r="D37" i="8"/>
  <c r="G23" i="8"/>
  <c r="F23" i="8"/>
  <c r="E23" i="8"/>
  <c r="D23" i="8"/>
  <c r="C23" i="8"/>
  <c r="C15" i="8"/>
  <c r="G52" i="7"/>
  <c r="G65" i="7" s="1"/>
  <c r="F52" i="7"/>
  <c r="E52" i="7"/>
  <c r="D52" i="7"/>
  <c r="C52" i="7"/>
  <c r="C65" i="7" s="1"/>
  <c r="C47" i="7"/>
  <c r="F45" i="4" s="1"/>
  <c r="C44" i="7"/>
  <c r="F42" i="4" s="1"/>
  <c r="C43" i="7"/>
  <c r="F41" i="4" s="1"/>
  <c r="D37" i="7"/>
  <c r="G23" i="7"/>
  <c r="F23" i="7"/>
  <c r="E23" i="7"/>
  <c r="E26" i="7" s="1"/>
  <c r="D23" i="7"/>
  <c r="D26" i="7" s="1"/>
  <c r="C23" i="7"/>
  <c r="C25" i="7" s="1"/>
  <c r="C15" i="7"/>
  <c r="G52" i="6"/>
  <c r="G65" i="6" s="1"/>
  <c r="F52" i="6"/>
  <c r="E52" i="6"/>
  <c r="E65" i="6" s="1"/>
  <c r="D52" i="6"/>
  <c r="C52" i="6"/>
  <c r="C65" i="6" s="1"/>
  <c r="C47" i="6"/>
  <c r="C44" i="6"/>
  <c r="E42" i="4" s="1"/>
  <c r="C43" i="6"/>
  <c r="E41" i="4" s="1"/>
  <c r="D37" i="6"/>
  <c r="G23" i="6"/>
  <c r="F23" i="6"/>
  <c r="E23" i="6"/>
  <c r="E26" i="6" s="1"/>
  <c r="D23" i="6"/>
  <c r="D26" i="6" s="1"/>
  <c r="C23" i="6"/>
  <c r="C15" i="6"/>
  <c r="G52" i="5"/>
  <c r="F52" i="5"/>
  <c r="E52" i="5"/>
  <c r="D52" i="5"/>
  <c r="C52" i="5"/>
  <c r="C47" i="5"/>
  <c r="C43" i="5"/>
  <c r="D37" i="5"/>
  <c r="G23" i="5"/>
  <c r="G27" i="5" s="1"/>
  <c r="F23" i="5"/>
  <c r="F26" i="5" s="1"/>
  <c r="E23" i="5"/>
  <c r="E26" i="5" s="1"/>
  <c r="D23" i="5"/>
  <c r="D27" i="5" s="1"/>
  <c r="C23" i="5"/>
  <c r="C27" i="5" s="1"/>
  <c r="C15" i="5"/>
  <c r="E54" i="11" l="1"/>
  <c r="E65" i="11"/>
  <c r="E54" i="15"/>
  <c r="E65" i="15"/>
  <c r="F65" i="6"/>
  <c r="F65" i="7"/>
  <c r="F54" i="8"/>
  <c r="F65" i="8"/>
  <c r="F65" i="9"/>
  <c r="F65" i="10"/>
  <c r="F65" i="11"/>
  <c r="F54" i="12"/>
  <c r="F65" i="12"/>
  <c r="F65" i="13"/>
  <c r="F65" i="14"/>
  <c r="F65" i="15"/>
  <c r="E54" i="7"/>
  <c r="E65" i="7"/>
  <c r="H65" i="6"/>
  <c r="H65" i="7"/>
  <c r="H65" i="10"/>
  <c r="H65" i="11"/>
  <c r="H65" i="14"/>
  <c r="H65" i="15"/>
  <c r="D65" i="6"/>
  <c r="D65" i="7"/>
  <c r="D65" i="8"/>
  <c r="H65" i="8" s="1"/>
  <c r="D65" i="9"/>
  <c r="H65" i="9" s="1"/>
  <c r="D65" i="10"/>
  <c r="D65" i="11"/>
  <c r="D65" i="12"/>
  <c r="H65" i="12" s="1"/>
  <c r="D65" i="13"/>
  <c r="H65" i="13" s="1"/>
  <c r="D65" i="14"/>
  <c r="D65" i="15"/>
  <c r="D27" i="8"/>
  <c r="D26" i="8"/>
  <c r="D25" i="8"/>
  <c r="E27" i="8"/>
  <c r="E26" i="8"/>
  <c r="E25" i="8"/>
  <c r="E27" i="7"/>
  <c r="F27" i="8"/>
  <c r="F26" i="8"/>
  <c r="F25" i="8"/>
  <c r="C27" i="8"/>
  <c r="C26" i="8"/>
  <c r="C25" i="8"/>
  <c r="G27" i="8"/>
  <c r="G26" i="8"/>
  <c r="G25" i="8"/>
  <c r="F65" i="5"/>
  <c r="C54" i="5"/>
  <c r="C65" i="5"/>
  <c r="G65" i="5"/>
  <c r="D65" i="5"/>
  <c r="E65" i="5"/>
  <c r="E52" i="16"/>
  <c r="C43" i="16"/>
  <c r="C41" i="4" s="1"/>
  <c r="F56" i="14"/>
  <c r="M45" i="4"/>
  <c r="F56" i="6"/>
  <c r="E45" i="4"/>
  <c r="G13" i="4"/>
  <c r="H13" i="4"/>
  <c r="I13" i="4"/>
  <c r="J13" i="4"/>
  <c r="D56" i="16"/>
  <c r="F56" i="10"/>
  <c r="I45" i="4"/>
  <c r="E27" i="11"/>
  <c r="K13" i="4"/>
  <c r="L13" i="4"/>
  <c r="M13" i="4"/>
  <c r="N13" i="4"/>
  <c r="C13" i="4"/>
  <c r="E13" i="4"/>
  <c r="F13" i="4"/>
  <c r="C56" i="16"/>
  <c r="E27" i="13"/>
  <c r="E56" i="13"/>
  <c r="E27" i="12"/>
  <c r="D43" i="10"/>
  <c r="F43" i="10"/>
  <c r="H43" i="10" s="1"/>
  <c r="D43" i="12"/>
  <c r="F43" i="12"/>
  <c r="H43" i="12" s="1"/>
  <c r="D43" i="11"/>
  <c r="F43" i="11"/>
  <c r="H43" i="11" s="1"/>
  <c r="D43" i="13"/>
  <c r="F43" i="13"/>
  <c r="H43" i="13" s="1"/>
  <c r="D43" i="14"/>
  <c r="F43" i="14"/>
  <c r="H43" i="14" s="1"/>
  <c r="D43" i="15"/>
  <c r="F43" i="15"/>
  <c r="H43" i="15" s="1"/>
  <c r="F55" i="15"/>
  <c r="D25" i="15"/>
  <c r="E27" i="15"/>
  <c r="E25" i="15"/>
  <c r="F55" i="14"/>
  <c r="D25" i="14"/>
  <c r="E25" i="14"/>
  <c r="E27" i="14"/>
  <c r="F55" i="13"/>
  <c r="D25" i="13"/>
  <c r="E25" i="13"/>
  <c r="D25" i="12"/>
  <c r="E25" i="12"/>
  <c r="D25" i="11"/>
  <c r="E25" i="11"/>
  <c r="E27" i="10"/>
  <c r="E25" i="10"/>
  <c r="D25" i="10"/>
  <c r="E56" i="9"/>
  <c r="D43" i="9"/>
  <c r="F43" i="9"/>
  <c r="H43" i="9" s="1"/>
  <c r="E25" i="9"/>
  <c r="E27" i="9"/>
  <c r="D25" i="9"/>
  <c r="D43" i="8"/>
  <c r="F43" i="8"/>
  <c r="H43" i="8" s="1"/>
  <c r="D43" i="7"/>
  <c r="F43" i="7"/>
  <c r="H43" i="7" s="1"/>
  <c r="D25" i="7"/>
  <c r="E25" i="7"/>
  <c r="D43" i="6"/>
  <c r="F43" i="6"/>
  <c r="H43" i="6" s="1"/>
  <c r="F56" i="5"/>
  <c r="D45" i="4"/>
  <c r="F43" i="5"/>
  <c r="H43" i="5" s="1"/>
  <c r="D41" i="4"/>
  <c r="D13" i="4"/>
  <c r="D25" i="6"/>
  <c r="E25" i="6"/>
  <c r="E27" i="6"/>
  <c r="D43" i="5"/>
  <c r="E56" i="5"/>
  <c r="D56" i="5"/>
  <c r="E25" i="5"/>
  <c r="F25" i="5"/>
  <c r="E27" i="5"/>
  <c r="F27" i="5"/>
  <c r="C56" i="6"/>
  <c r="G56" i="6"/>
  <c r="C56" i="7"/>
  <c r="G56" i="7"/>
  <c r="C56" i="8"/>
  <c r="G56" i="8"/>
  <c r="C56" i="9"/>
  <c r="G56" i="9"/>
  <c r="C56" i="10"/>
  <c r="G56" i="10"/>
  <c r="C56" i="11"/>
  <c r="G56" i="11"/>
  <c r="C56" i="12"/>
  <c r="G56" i="12"/>
  <c r="C56" i="13"/>
  <c r="G56" i="13"/>
  <c r="C56" i="14"/>
  <c r="G56" i="14"/>
  <c r="C56" i="15"/>
  <c r="G56" i="15"/>
  <c r="D56" i="8"/>
  <c r="D56" i="10"/>
  <c r="D56" i="11"/>
  <c r="D56" i="12"/>
  <c r="D56" i="13"/>
  <c r="D56" i="14"/>
  <c r="D56" i="15"/>
  <c r="D56" i="6"/>
  <c r="D56" i="7"/>
  <c r="D56" i="9"/>
  <c r="F55" i="6"/>
  <c r="F55" i="7"/>
  <c r="F55" i="9"/>
  <c r="F55" i="11"/>
  <c r="F55" i="8"/>
  <c r="F55" i="10"/>
  <c r="F55" i="12"/>
  <c r="E55" i="6"/>
  <c r="E55" i="7"/>
  <c r="E55" i="8"/>
  <c r="E55" i="9"/>
  <c r="E55" i="10"/>
  <c r="E55" i="11"/>
  <c r="E55" i="12"/>
  <c r="E55" i="13"/>
  <c r="E55" i="14"/>
  <c r="E55" i="15"/>
  <c r="G56" i="16"/>
  <c r="E55" i="16"/>
  <c r="F55" i="16"/>
  <c r="F54" i="16"/>
  <c r="E54" i="16"/>
  <c r="C56" i="5"/>
  <c r="E56" i="6"/>
  <c r="F56" i="7"/>
  <c r="E54" i="8"/>
  <c r="F54" i="9"/>
  <c r="E56" i="10"/>
  <c r="F56" i="11"/>
  <c r="E54" i="12"/>
  <c r="F54" i="13"/>
  <c r="E56" i="14"/>
  <c r="F56" i="15"/>
  <c r="F54" i="5"/>
  <c r="G56" i="5"/>
  <c r="E54" i="6"/>
  <c r="F54" i="7"/>
  <c r="E56" i="8"/>
  <c r="F56" i="9"/>
  <c r="E54" i="10"/>
  <c r="F54" i="11"/>
  <c r="E56" i="12"/>
  <c r="F56" i="13"/>
  <c r="E54" i="14"/>
  <c r="F54" i="15"/>
  <c r="G54" i="5"/>
  <c r="F54" i="6"/>
  <c r="E56" i="7"/>
  <c r="F56" i="8"/>
  <c r="E54" i="9"/>
  <c r="F54" i="10"/>
  <c r="E56" i="11"/>
  <c r="F56" i="12"/>
  <c r="E54" i="13"/>
  <c r="F54" i="14"/>
  <c r="E56" i="15"/>
  <c r="E56" i="16"/>
  <c r="F56" i="16"/>
  <c r="D25" i="16"/>
  <c r="E25" i="16"/>
  <c r="E27" i="16"/>
  <c r="F27" i="16"/>
  <c r="F25" i="16"/>
  <c r="C27" i="16"/>
  <c r="G27" i="16"/>
  <c r="F26" i="16"/>
  <c r="D27" i="16"/>
  <c r="C55" i="16"/>
  <c r="G55" i="16"/>
  <c r="C26" i="16"/>
  <c r="G26" i="16"/>
  <c r="H52" i="16"/>
  <c r="C50" i="4" s="1"/>
  <c r="D55" i="16"/>
  <c r="H23" i="16"/>
  <c r="C21" i="4" s="1"/>
  <c r="C54" i="16"/>
  <c r="G54" i="16"/>
  <c r="G25" i="16"/>
  <c r="D54" i="16"/>
  <c r="F27" i="15"/>
  <c r="F25" i="15"/>
  <c r="C27" i="15"/>
  <c r="G27" i="15"/>
  <c r="F26" i="15"/>
  <c r="D27" i="15"/>
  <c r="C55" i="15"/>
  <c r="G55" i="15"/>
  <c r="C26" i="15"/>
  <c r="G26" i="15"/>
  <c r="H52" i="15"/>
  <c r="N50" i="4" s="1"/>
  <c r="D55" i="15"/>
  <c r="H23" i="15"/>
  <c r="N21" i="4" s="1"/>
  <c r="C54" i="15"/>
  <c r="G54" i="15"/>
  <c r="C25" i="15"/>
  <c r="G25" i="15"/>
  <c r="D54" i="15"/>
  <c r="F27" i="14"/>
  <c r="F25" i="14"/>
  <c r="C27" i="14"/>
  <c r="G27" i="14"/>
  <c r="F26" i="14"/>
  <c r="D27" i="14"/>
  <c r="C55" i="14"/>
  <c r="G55" i="14"/>
  <c r="C26" i="14"/>
  <c r="G26" i="14"/>
  <c r="H52" i="14"/>
  <c r="M50" i="4" s="1"/>
  <c r="D55" i="14"/>
  <c r="H23" i="14"/>
  <c r="M21" i="4" s="1"/>
  <c r="C54" i="14"/>
  <c r="G54" i="14"/>
  <c r="C25" i="14"/>
  <c r="G25" i="14"/>
  <c r="D54" i="14"/>
  <c r="F27" i="13"/>
  <c r="F25" i="13"/>
  <c r="C27" i="13"/>
  <c r="G27" i="13"/>
  <c r="F26" i="13"/>
  <c r="D27" i="13"/>
  <c r="C55" i="13"/>
  <c r="G55" i="13"/>
  <c r="C26" i="13"/>
  <c r="G26" i="13"/>
  <c r="H52" i="13"/>
  <c r="L50" i="4" s="1"/>
  <c r="D55" i="13"/>
  <c r="H23" i="13"/>
  <c r="L21" i="4" s="1"/>
  <c r="C54" i="13"/>
  <c r="G54" i="13"/>
  <c r="C25" i="13"/>
  <c r="G25" i="13"/>
  <c r="D54" i="13"/>
  <c r="F27" i="12"/>
  <c r="F25" i="12"/>
  <c r="C27" i="12"/>
  <c r="G27" i="12"/>
  <c r="F26" i="12"/>
  <c r="D27" i="12"/>
  <c r="C55" i="12"/>
  <c r="G55" i="12"/>
  <c r="C26" i="12"/>
  <c r="G26" i="12"/>
  <c r="H52" i="12"/>
  <c r="K50" i="4" s="1"/>
  <c r="D55" i="12"/>
  <c r="H23" i="12"/>
  <c r="K21" i="4" s="1"/>
  <c r="C54" i="12"/>
  <c r="G54" i="12"/>
  <c r="C25" i="12"/>
  <c r="G25" i="12"/>
  <c r="D54" i="12"/>
  <c r="F27" i="11"/>
  <c r="F25" i="11"/>
  <c r="C27" i="11"/>
  <c r="G27" i="11"/>
  <c r="F26" i="11"/>
  <c r="D27" i="11"/>
  <c r="C55" i="11"/>
  <c r="G55" i="11"/>
  <c r="C26" i="11"/>
  <c r="G26" i="11"/>
  <c r="H52" i="11"/>
  <c r="J50" i="4" s="1"/>
  <c r="D55" i="11"/>
  <c r="H23" i="11"/>
  <c r="J21" i="4" s="1"/>
  <c r="C54" i="11"/>
  <c r="G54" i="11"/>
  <c r="C25" i="11"/>
  <c r="G25" i="11"/>
  <c r="D54" i="11"/>
  <c r="F27" i="10"/>
  <c r="F25" i="10"/>
  <c r="C27" i="10"/>
  <c r="G27" i="10"/>
  <c r="F26" i="10"/>
  <c r="D27" i="10"/>
  <c r="C55" i="10"/>
  <c r="G55" i="10"/>
  <c r="C26" i="10"/>
  <c r="G26" i="10"/>
  <c r="H52" i="10"/>
  <c r="I50" i="4" s="1"/>
  <c r="D55" i="10"/>
  <c r="H23" i="10"/>
  <c r="I21" i="4" s="1"/>
  <c r="C54" i="10"/>
  <c r="G54" i="10"/>
  <c r="C25" i="10"/>
  <c r="G25" i="10"/>
  <c r="D54" i="10"/>
  <c r="F27" i="9"/>
  <c r="F25" i="9"/>
  <c r="C27" i="9"/>
  <c r="G27" i="9"/>
  <c r="F26" i="9"/>
  <c r="D27" i="9"/>
  <c r="C55" i="9"/>
  <c r="G55" i="9"/>
  <c r="C26" i="9"/>
  <c r="G26" i="9"/>
  <c r="H52" i="9"/>
  <c r="H50" i="4" s="1"/>
  <c r="D55" i="9"/>
  <c r="H23" i="9"/>
  <c r="H21" i="4" s="1"/>
  <c r="C54" i="9"/>
  <c r="G54" i="9"/>
  <c r="C25" i="9"/>
  <c r="G25" i="9"/>
  <c r="D54" i="9"/>
  <c r="C55" i="8"/>
  <c r="G55" i="8"/>
  <c r="H52" i="8"/>
  <c r="G50" i="4" s="1"/>
  <c r="D55" i="8"/>
  <c r="H23" i="8"/>
  <c r="G21" i="4" s="1"/>
  <c r="C54" i="8"/>
  <c r="G54" i="8"/>
  <c r="D54" i="8"/>
  <c r="F27" i="7"/>
  <c r="F25" i="7"/>
  <c r="C27" i="7"/>
  <c r="G27" i="7"/>
  <c r="F26" i="7"/>
  <c r="D27" i="7"/>
  <c r="C55" i="7"/>
  <c r="G55" i="7"/>
  <c r="C26" i="7"/>
  <c r="G26" i="7"/>
  <c r="H52" i="7"/>
  <c r="F50" i="4" s="1"/>
  <c r="D55" i="7"/>
  <c r="H23" i="7"/>
  <c r="F21" i="4" s="1"/>
  <c r="C54" i="7"/>
  <c r="G54" i="7"/>
  <c r="G25" i="7"/>
  <c r="D54" i="7"/>
  <c r="F27" i="6"/>
  <c r="F25" i="6"/>
  <c r="C27" i="6"/>
  <c r="G27" i="6"/>
  <c r="F26" i="6"/>
  <c r="D27" i="6"/>
  <c r="C55" i="6"/>
  <c r="G55" i="6"/>
  <c r="C26" i="6"/>
  <c r="G26" i="6"/>
  <c r="H52" i="6"/>
  <c r="E50" i="4" s="1"/>
  <c r="D55" i="6"/>
  <c r="H23" i="6"/>
  <c r="E21" i="4" s="1"/>
  <c r="C54" i="6"/>
  <c r="G54" i="6"/>
  <c r="C25" i="6"/>
  <c r="G25" i="6"/>
  <c r="D54" i="6"/>
  <c r="C26" i="5"/>
  <c r="G26" i="5"/>
  <c r="H52" i="5"/>
  <c r="D50" i="4" s="1"/>
  <c r="H23" i="5"/>
  <c r="D21" i="4" s="1"/>
  <c r="D26" i="5"/>
  <c r="C25" i="5"/>
  <c r="G25" i="5"/>
  <c r="D54" i="5"/>
  <c r="D25" i="5"/>
  <c r="E54" i="5"/>
  <c r="F57" i="12" l="1"/>
  <c r="F62" i="12" s="1"/>
  <c r="H65" i="5"/>
  <c r="F57" i="6"/>
  <c r="H56" i="6"/>
  <c r="E54" i="4" s="1"/>
  <c r="D43" i="16"/>
  <c r="O21" i="4"/>
  <c r="E57" i="7"/>
  <c r="E62" i="7" s="1"/>
  <c r="O41" i="4"/>
  <c r="H55" i="9"/>
  <c r="H53" i="4" s="1"/>
  <c r="H55" i="15"/>
  <c r="N53" i="4" s="1"/>
  <c r="H56" i="8"/>
  <c r="G54" i="4" s="1"/>
  <c r="F43" i="16"/>
  <c r="H43" i="16" s="1"/>
  <c r="G57" i="7"/>
  <c r="H55" i="7"/>
  <c r="F53" i="4" s="1"/>
  <c r="O13" i="4"/>
  <c r="D57" i="7"/>
  <c r="D62" i="7" s="1"/>
  <c r="F57" i="7"/>
  <c r="H56" i="10"/>
  <c r="I54" i="4" s="1"/>
  <c r="O50" i="4"/>
  <c r="H56" i="14"/>
  <c r="M54" i="4" s="1"/>
  <c r="F57" i="14"/>
  <c r="H56" i="12"/>
  <c r="K54" i="4" s="1"/>
  <c r="D57" i="15"/>
  <c r="E57" i="15"/>
  <c r="H56" i="11"/>
  <c r="J54" i="4" s="1"/>
  <c r="G57" i="15"/>
  <c r="F57" i="15"/>
  <c r="H56" i="13"/>
  <c r="L54" i="4" s="1"/>
  <c r="H55" i="13"/>
  <c r="L53" i="4" s="1"/>
  <c r="E57" i="13"/>
  <c r="H55" i="11"/>
  <c r="J53" i="4" s="1"/>
  <c r="G57" i="11"/>
  <c r="G58" i="11" s="1"/>
  <c r="D57" i="11"/>
  <c r="F57" i="10"/>
  <c r="H56" i="9"/>
  <c r="H54" i="4" s="1"/>
  <c r="E57" i="9"/>
  <c r="D57" i="9"/>
  <c r="D62" i="9" s="1"/>
  <c r="F57" i="8"/>
  <c r="H27" i="5"/>
  <c r="D25" i="4" s="1"/>
  <c r="E30" i="5"/>
  <c r="E29" i="5"/>
  <c r="H26" i="5"/>
  <c r="G57" i="13"/>
  <c r="F57" i="13"/>
  <c r="F57" i="9"/>
  <c r="H56" i="5"/>
  <c r="D54" i="4" s="1"/>
  <c r="E57" i="12"/>
  <c r="E57" i="8"/>
  <c r="E62" i="8" s="1"/>
  <c r="G57" i="9"/>
  <c r="D57" i="13"/>
  <c r="D62" i="13" s="1"/>
  <c r="F57" i="11"/>
  <c r="E57" i="14"/>
  <c r="E62" i="14" s="1"/>
  <c r="E57" i="10"/>
  <c r="E62" i="10" s="1"/>
  <c r="E57" i="6"/>
  <c r="E62" i="6" s="1"/>
  <c r="F57" i="16"/>
  <c r="F58" i="16" s="1"/>
  <c r="H54" i="5"/>
  <c r="D52" i="4" s="1"/>
  <c r="E57" i="16"/>
  <c r="E59" i="16" s="1"/>
  <c r="F59" i="12"/>
  <c r="F58" i="12"/>
  <c r="E59" i="7"/>
  <c r="D57" i="6"/>
  <c r="D57" i="8"/>
  <c r="D57" i="10"/>
  <c r="D62" i="10" s="1"/>
  <c r="D57" i="12"/>
  <c r="D62" i="12" s="1"/>
  <c r="D57" i="14"/>
  <c r="E57" i="11"/>
  <c r="E62" i="11" s="1"/>
  <c r="H56" i="7"/>
  <c r="F54" i="4" s="1"/>
  <c r="H56" i="15"/>
  <c r="N54" i="4" s="1"/>
  <c r="G57" i="6"/>
  <c r="H55" i="6"/>
  <c r="E53" i="4" s="1"/>
  <c r="G57" i="8"/>
  <c r="H55" i="8"/>
  <c r="G53" i="4" s="1"/>
  <c r="G57" i="10"/>
  <c r="H55" i="10"/>
  <c r="I53" i="4" s="1"/>
  <c r="G57" i="12"/>
  <c r="H55" i="12"/>
  <c r="K53" i="4" s="1"/>
  <c r="G57" i="14"/>
  <c r="H55" i="14"/>
  <c r="M53" i="4" s="1"/>
  <c r="D57" i="16"/>
  <c r="D62" i="16" s="1"/>
  <c r="H56" i="16"/>
  <c r="C54" i="4" s="1"/>
  <c r="G57" i="16"/>
  <c r="G59" i="16" s="1"/>
  <c r="H55" i="16"/>
  <c r="C53" i="4" s="1"/>
  <c r="D30" i="16"/>
  <c r="D29" i="16"/>
  <c r="H54" i="16"/>
  <c r="C52" i="4" s="1"/>
  <c r="H26" i="16"/>
  <c r="E30" i="16"/>
  <c r="E29" i="16"/>
  <c r="H27" i="16"/>
  <c r="H25" i="16"/>
  <c r="D30" i="15"/>
  <c r="D29" i="15"/>
  <c r="D59" i="15"/>
  <c r="H54" i="15"/>
  <c r="N52" i="4" s="1"/>
  <c r="C57" i="15"/>
  <c r="C62" i="15" s="1"/>
  <c r="H26" i="15"/>
  <c r="E30" i="15"/>
  <c r="E29" i="15"/>
  <c r="H27" i="15"/>
  <c r="N25" i="4" s="1"/>
  <c r="H25" i="15"/>
  <c r="N23" i="4" s="1"/>
  <c r="D30" i="14"/>
  <c r="D29" i="14"/>
  <c r="H54" i="14"/>
  <c r="M52" i="4" s="1"/>
  <c r="C57" i="14"/>
  <c r="C62" i="14" s="1"/>
  <c r="H26" i="14"/>
  <c r="E30" i="14"/>
  <c r="E29" i="14"/>
  <c r="H27" i="14"/>
  <c r="M25" i="4" s="1"/>
  <c r="H25" i="14"/>
  <c r="M23" i="4" s="1"/>
  <c r="D30" i="13"/>
  <c r="D29" i="13"/>
  <c r="H54" i="13"/>
  <c r="L52" i="4" s="1"/>
  <c r="C57" i="13"/>
  <c r="C62" i="13" s="1"/>
  <c r="H26" i="13"/>
  <c r="E30" i="13"/>
  <c r="E29" i="13"/>
  <c r="H27" i="13"/>
  <c r="L25" i="4" s="1"/>
  <c r="H25" i="13"/>
  <c r="L23" i="4" s="1"/>
  <c r="D30" i="12"/>
  <c r="D29" i="12"/>
  <c r="H54" i="12"/>
  <c r="K52" i="4" s="1"/>
  <c r="C57" i="12"/>
  <c r="C62" i="12" s="1"/>
  <c r="H26" i="12"/>
  <c r="E30" i="12"/>
  <c r="E29" i="12"/>
  <c r="H27" i="12"/>
  <c r="K25" i="4" s="1"/>
  <c r="H25" i="12"/>
  <c r="K23" i="4" s="1"/>
  <c r="D30" i="11"/>
  <c r="D29" i="11"/>
  <c r="H54" i="11"/>
  <c r="J52" i="4" s="1"/>
  <c r="C57" i="11"/>
  <c r="C62" i="11" s="1"/>
  <c r="H26" i="11"/>
  <c r="E30" i="11"/>
  <c r="E29" i="11"/>
  <c r="H27" i="11"/>
  <c r="J25" i="4" s="1"/>
  <c r="H25" i="11"/>
  <c r="J23" i="4" s="1"/>
  <c r="D30" i="10"/>
  <c r="D29" i="10"/>
  <c r="H54" i="10"/>
  <c r="I52" i="4" s="1"/>
  <c r="C57" i="10"/>
  <c r="C62" i="10" s="1"/>
  <c r="H26" i="10"/>
  <c r="I24" i="4" s="1"/>
  <c r="E30" i="10"/>
  <c r="E29" i="10"/>
  <c r="H27" i="10"/>
  <c r="I25" i="4" s="1"/>
  <c r="H25" i="10"/>
  <c r="I23" i="4" s="1"/>
  <c r="D30" i="9"/>
  <c r="D29" i="9"/>
  <c r="H54" i="9"/>
  <c r="H52" i="4" s="1"/>
  <c r="C57" i="9"/>
  <c r="C62" i="9" s="1"/>
  <c r="H26" i="9"/>
  <c r="E30" i="9"/>
  <c r="E29" i="9"/>
  <c r="H27" i="9"/>
  <c r="H25" i="4" s="1"/>
  <c r="H25" i="9"/>
  <c r="H23" i="4" s="1"/>
  <c r="D30" i="8"/>
  <c r="D29" i="8"/>
  <c r="H54" i="8"/>
  <c r="G52" i="4" s="1"/>
  <c r="C57" i="8"/>
  <c r="C62" i="8" s="1"/>
  <c r="H26" i="8"/>
  <c r="E30" i="8"/>
  <c r="E29" i="8"/>
  <c r="H27" i="8"/>
  <c r="G25" i="4" s="1"/>
  <c r="H25" i="8"/>
  <c r="G23" i="4" s="1"/>
  <c r="G59" i="7"/>
  <c r="D30" i="7"/>
  <c r="D29" i="7"/>
  <c r="D58" i="7"/>
  <c r="D59" i="7"/>
  <c r="H54" i="7"/>
  <c r="F52" i="4" s="1"/>
  <c r="C57" i="7"/>
  <c r="C62" i="7" s="1"/>
  <c r="H26" i="7"/>
  <c r="E30" i="7"/>
  <c r="E29" i="7"/>
  <c r="H27" i="7"/>
  <c r="F25" i="4" s="1"/>
  <c r="H25" i="7"/>
  <c r="F23" i="4" s="1"/>
  <c r="D30" i="6"/>
  <c r="D29" i="6"/>
  <c r="H54" i="6"/>
  <c r="E52" i="4" s="1"/>
  <c r="C57" i="6"/>
  <c r="C62" i="6" s="1"/>
  <c r="H26" i="6"/>
  <c r="E30" i="6"/>
  <c r="E29" i="6"/>
  <c r="H27" i="6"/>
  <c r="E25" i="4" s="1"/>
  <c r="H25" i="6"/>
  <c r="E23" i="4" s="1"/>
  <c r="G29" i="5"/>
  <c r="G30" i="5"/>
  <c r="D29" i="5"/>
  <c r="D30" i="5"/>
  <c r="H25" i="5"/>
  <c r="D23" i="4" s="1"/>
  <c r="M24" i="4" l="1"/>
  <c r="N24" i="4"/>
  <c r="L24" i="4"/>
  <c r="K24" i="4"/>
  <c r="J24" i="4"/>
  <c r="H24" i="4"/>
  <c r="G24" i="4"/>
  <c r="F24" i="4"/>
  <c r="E24" i="4"/>
  <c r="D24" i="4"/>
  <c r="C24" i="4"/>
  <c r="C64" i="10"/>
  <c r="C63" i="10"/>
  <c r="C63" i="13"/>
  <c r="C64" i="13"/>
  <c r="G59" i="10"/>
  <c r="G62" i="10"/>
  <c r="G59" i="6"/>
  <c r="G62" i="6"/>
  <c r="E64" i="8"/>
  <c r="E63" i="8"/>
  <c r="E58" i="9"/>
  <c r="E62" i="9"/>
  <c r="E59" i="15"/>
  <c r="E62" i="15"/>
  <c r="F59" i="7"/>
  <c r="F62" i="7"/>
  <c r="G58" i="7"/>
  <c r="G62" i="7"/>
  <c r="C63" i="6"/>
  <c r="C64" i="6"/>
  <c r="C63" i="14"/>
  <c r="C64" i="14"/>
  <c r="D59" i="14"/>
  <c r="D62" i="14"/>
  <c r="D59" i="6"/>
  <c r="D62" i="6"/>
  <c r="E59" i="9"/>
  <c r="G58" i="13"/>
  <c r="G62" i="13"/>
  <c r="F59" i="15"/>
  <c r="F62" i="15"/>
  <c r="C64" i="7"/>
  <c r="C63" i="7"/>
  <c r="C64" i="8"/>
  <c r="C63" i="8"/>
  <c r="C63" i="15"/>
  <c r="H62" i="15"/>
  <c r="C64" i="15"/>
  <c r="G58" i="12"/>
  <c r="G62" i="12"/>
  <c r="H62" i="12" s="1"/>
  <c r="G58" i="8"/>
  <c r="G62" i="8"/>
  <c r="F58" i="7"/>
  <c r="D63" i="12"/>
  <c r="D64" i="12"/>
  <c r="E58" i="15"/>
  <c r="E64" i="6"/>
  <c r="E63" i="6"/>
  <c r="D63" i="13"/>
  <c r="D64" i="13"/>
  <c r="F59" i="8"/>
  <c r="F62" i="8"/>
  <c r="F59" i="10"/>
  <c r="F62" i="10"/>
  <c r="E59" i="13"/>
  <c r="E62" i="13"/>
  <c r="G59" i="15"/>
  <c r="G62" i="15"/>
  <c r="E64" i="7"/>
  <c r="E63" i="7"/>
  <c r="F59" i="6"/>
  <c r="F62" i="6"/>
  <c r="G58" i="14"/>
  <c r="G62" i="14"/>
  <c r="E64" i="11"/>
  <c r="E63" i="11"/>
  <c r="D59" i="8"/>
  <c r="D62" i="8"/>
  <c r="E64" i="14"/>
  <c r="E63" i="14"/>
  <c r="F59" i="13"/>
  <c r="F62" i="13"/>
  <c r="G59" i="11"/>
  <c r="G62" i="11"/>
  <c r="C64" i="11"/>
  <c r="H62" i="11"/>
  <c r="C63" i="11"/>
  <c r="F59" i="11"/>
  <c r="F62" i="11"/>
  <c r="E58" i="12"/>
  <c r="E62" i="12"/>
  <c r="D58" i="15"/>
  <c r="D62" i="15"/>
  <c r="D63" i="7"/>
  <c r="D64" i="7"/>
  <c r="C64" i="9"/>
  <c r="C63" i="9"/>
  <c r="C63" i="12"/>
  <c r="C64" i="12"/>
  <c r="D63" i="10"/>
  <c r="D64" i="10"/>
  <c r="E64" i="10"/>
  <c r="E63" i="10"/>
  <c r="G58" i="9"/>
  <c r="G62" i="9"/>
  <c r="F59" i="9"/>
  <c r="F62" i="9"/>
  <c r="D63" i="9"/>
  <c r="D64" i="9"/>
  <c r="D59" i="11"/>
  <c r="D62" i="11"/>
  <c r="F58" i="14"/>
  <c r="F62" i="14"/>
  <c r="F64" i="12"/>
  <c r="F63" i="12"/>
  <c r="G58" i="15"/>
  <c r="F58" i="6"/>
  <c r="G59" i="9"/>
  <c r="F59" i="16"/>
  <c r="D58" i="9"/>
  <c r="D58" i="13"/>
  <c r="D59" i="13"/>
  <c r="E58" i="7"/>
  <c r="G59" i="8"/>
  <c r="D59" i="9"/>
  <c r="F58" i="11"/>
  <c r="O54" i="4"/>
  <c r="F58" i="15"/>
  <c r="F59" i="14"/>
  <c r="O52" i="4"/>
  <c r="F58" i="13"/>
  <c r="F58" i="10"/>
  <c r="G59" i="13"/>
  <c r="E58" i="13"/>
  <c r="E59" i="12"/>
  <c r="D58" i="11"/>
  <c r="D59" i="10"/>
  <c r="D58" i="10"/>
  <c r="F58" i="9"/>
  <c r="F58" i="8"/>
  <c r="F30" i="5"/>
  <c r="F29" i="5"/>
  <c r="E58" i="8"/>
  <c r="E59" i="8"/>
  <c r="E58" i="6"/>
  <c r="E59" i="6"/>
  <c r="E58" i="10"/>
  <c r="E59" i="10"/>
  <c r="E59" i="14"/>
  <c r="E58" i="14"/>
  <c r="G58" i="10"/>
  <c r="D59" i="12"/>
  <c r="G58" i="6"/>
  <c r="D58" i="8"/>
  <c r="G59" i="12"/>
  <c r="D58" i="12"/>
  <c r="E62" i="16"/>
  <c r="E63" i="16" s="1"/>
  <c r="E58" i="16"/>
  <c r="G59" i="14"/>
  <c r="G58" i="16"/>
  <c r="E64" i="16"/>
  <c r="D59" i="16"/>
  <c r="D58" i="16"/>
  <c r="D58" i="6"/>
  <c r="D58" i="14"/>
  <c r="E58" i="11"/>
  <c r="E59" i="11"/>
  <c r="C58" i="16"/>
  <c r="H57" i="16"/>
  <c r="C55" i="4" s="1"/>
  <c r="C59" i="16"/>
  <c r="D64" i="16"/>
  <c r="D63" i="16"/>
  <c r="C29" i="16"/>
  <c r="H28" i="16"/>
  <c r="C26" i="4" s="1"/>
  <c r="C30" i="16"/>
  <c r="F29" i="16"/>
  <c r="F30" i="16"/>
  <c r="F62" i="16"/>
  <c r="G29" i="16"/>
  <c r="G30" i="16"/>
  <c r="G62" i="16"/>
  <c r="C58" i="15"/>
  <c r="H57" i="15"/>
  <c r="N55" i="4" s="1"/>
  <c r="C59" i="15"/>
  <c r="C29" i="15"/>
  <c r="H28" i="15"/>
  <c r="N26" i="4" s="1"/>
  <c r="C30" i="15"/>
  <c r="F29" i="15"/>
  <c r="F30" i="15"/>
  <c r="G29" i="15"/>
  <c r="G30" i="15"/>
  <c r="C58" i="14"/>
  <c r="H57" i="14"/>
  <c r="M55" i="4" s="1"/>
  <c r="C59" i="14"/>
  <c r="C29" i="14"/>
  <c r="H28" i="14"/>
  <c r="M26" i="4" s="1"/>
  <c r="C30" i="14"/>
  <c r="F29" i="14"/>
  <c r="F30" i="14"/>
  <c r="G29" i="14"/>
  <c r="G30" i="14"/>
  <c r="C58" i="13"/>
  <c r="H57" i="13"/>
  <c r="L55" i="4" s="1"/>
  <c r="C59" i="13"/>
  <c r="C29" i="13"/>
  <c r="H28" i="13"/>
  <c r="L26" i="4" s="1"/>
  <c r="C30" i="13"/>
  <c r="F29" i="13"/>
  <c r="F30" i="13"/>
  <c r="G29" i="13"/>
  <c r="G30" i="13"/>
  <c r="C58" i="12"/>
  <c r="H57" i="12"/>
  <c r="K55" i="4" s="1"/>
  <c r="C59" i="12"/>
  <c r="C29" i="12"/>
  <c r="H28" i="12"/>
  <c r="K26" i="4" s="1"/>
  <c r="C30" i="12"/>
  <c r="F29" i="12"/>
  <c r="F30" i="12"/>
  <c r="G29" i="12"/>
  <c r="G30" i="12"/>
  <c r="C58" i="11"/>
  <c r="H57" i="11"/>
  <c r="J55" i="4" s="1"/>
  <c r="C59" i="11"/>
  <c r="C29" i="11"/>
  <c r="H28" i="11"/>
  <c r="J26" i="4" s="1"/>
  <c r="C30" i="11"/>
  <c r="F29" i="11"/>
  <c r="F30" i="11"/>
  <c r="G29" i="11"/>
  <c r="G30" i="11"/>
  <c r="C58" i="10"/>
  <c r="H57" i="10"/>
  <c r="I55" i="4" s="1"/>
  <c r="C59" i="10"/>
  <c r="C29" i="10"/>
  <c r="H28" i="10"/>
  <c r="I26" i="4" s="1"/>
  <c r="C30" i="10"/>
  <c r="F29" i="10"/>
  <c r="F30" i="10"/>
  <c r="G29" i="10"/>
  <c r="G30" i="10"/>
  <c r="C58" i="9"/>
  <c r="H57" i="9"/>
  <c r="H55" i="4" s="1"/>
  <c r="C59" i="9"/>
  <c r="C29" i="9"/>
  <c r="H28" i="9"/>
  <c r="H26" i="4" s="1"/>
  <c r="C30" i="9"/>
  <c r="F29" i="9"/>
  <c r="F30" i="9"/>
  <c r="G29" i="9"/>
  <c r="G30" i="9"/>
  <c r="C58" i="8"/>
  <c r="H57" i="8"/>
  <c r="G55" i="4" s="1"/>
  <c r="C59" i="8"/>
  <c r="C29" i="8"/>
  <c r="H28" i="8"/>
  <c r="G26" i="4" s="1"/>
  <c r="C30" i="8"/>
  <c r="F29" i="8"/>
  <c r="F30" i="8"/>
  <c r="G29" i="8"/>
  <c r="G30" i="8"/>
  <c r="C58" i="7"/>
  <c r="H58" i="7" s="1"/>
  <c r="F56" i="4" s="1"/>
  <c r="H57" i="7"/>
  <c r="F55" i="4" s="1"/>
  <c r="C59" i="7"/>
  <c r="H59" i="7" s="1"/>
  <c r="F57" i="4" s="1"/>
  <c r="C29" i="7"/>
  <c r="H28" i="7"/>
  <c r="F26" i="4" s="1"/>
  <c r="C30" i="7"/>
  <c r="F29" i="7"/>
  <c r="F30" i="7"/>
  <c r="G29" i="7"/>
  <c r="G30" i="7"/>
  <c r="C58" i="6"/>
  <c r="H57" i="6"/>
  <c r="E55" i="4" s="1"/>
  <c r="C59" i="6"/>
  <c r="C29" i="6"/>
  <c r="H28" i="6"/>
  <c r="E26" i="4" s="1"/>
  <c r="C30" i="6"/>
  <c r="F29" i="6"/>
  <c r="F30" i="6"/>
  <c r="G29" i="6"/>
  <c r="G30" i="6"/>
  <c r="C29" i="5"/>
  <c r="H29" i="5" s="1"/>
  <c r="D27" i="4" s="1"/>
  <c r="H28" i="5"/>
  <c r="D26" i="4" s="1"/>
  <c r="C30" i="5"/>
  <c r="F64" i="13" l="1"/>
  <c r="F63" i="13"/>
  <c r="G63" i="14"/>
  <c r="G64" i="14"/>
  <c r="E64" i="15"/>
  <c r="E63" i="15"/>
  <c r="G63" i="10"/>
  <c r="G64" i="10"/>
  <c r="H59" i="6"/>
  <c r="E57" i="4" s="1"/>
  <c r="F64" i="9"/>
  <c r="F63" i="9"/>
  <c r="H62" i="9"/>
  <c r="G63" i="11"/>
  <c r="G64" i="11"/>
  <c r="D63" i="6"/>
  <c r="D64" i="6"/>
  <c r="H62" i="6"/>
  <c r="E60" i="4" s="1"/>
  <c r="F64" i="7"/>
  <c r="F63" i="7"/>
  <c r="H63" i="7" s="1"/>
  <c r="E64" i="9"/>
  <c r="H64" i="9" s="1"/>
  <c r="E63" i="9"/>
  <c r="H63" i="9" s="1"/>
  <c r="G63" i="6"/>
  <c r="G64" i="6"/>
  <c r="D63" i="8"/>
  <c r="H63" i="8" s="1"/>
  <c r="D64" i="8"/>
  <c r="H64" i="8" s="1"/>
  <c r="D63" i="14"/>
  <c r="H63" i="14" s="1"/>
  <c r="D64" i="14"/>
  <c r="H64" i="14" s="1"/>
  <c r="G63" i="7"/>
  <c r="G64" i="7"/>
  <c r="H58" i="9"/>
  <c r="H56" i="4" s="1"/>
  <c r="D64" i="11"/>
  <c r="H64" i="11" s="1"/>
  <c r="D63" i="11"/>
  <c r="D63" i="15"/>
  <c r="H63" i="15" s="1"/>
  <c r="D64" i="15"/>
  <c r="H64" i="15" s="1"/>
  <c r="F64" i="11"/>
  <c r="F63" i="11"/>
  <c r="E64" i="13"/>
  <c r="H64" i="13" s="1"/>
  <c r="E63" i="13"/>
  <c r="H63" i="13" s="1"/>
  <c r="F64" i="8"/>
  <c r="F63" i="8"/>
  <c r="G63" i="12"/>
  <c r="G64" i="12"/>
  <c r="H62" i="7"/>
  <c r="F64" i="15"/>
  <c r="F63" i="15"/>
  <c r="H59" i="15"/>
  <c r="N57" i="4" s="1"/>
  <c r="F64" i="14"/>
  <c r="F63" i="14"/>
  <c r="G63" i="9"/>
  <c r="G64" i="9"/>
  <c r="E64" i="12"/>
  <c r="H64" i="12" s="1"/>
  <c r="E63" i="12"/>
  <c r="H63" i="12" s="1"/>
  <c r="H63" i="11"/>
  <c r="F64" i="6"/>
  <c r="F63" i="6"/>
  <c r="H63" i="6" s="1"/>
  <c r="E61" i="4" s="1"/>
  <c r="G63" i="15"/>
  <c r="G64" i="15"/>
  <c r="F64" i="10"/>
  <c r="H64" i="10" s="1"/>
  <c r="F63" i="10"/>
  <c r="H63" i="10" s="1"/>
  <c r="G63" i="8"/>
  <c r="G64" i="8"/>
  <c r="H62" i="8"/>
  <c r="H64" i="7"/>
  <c r="G63" i="13"/>
  <c r="G64" i="13"/>
  <c r="H62" i="14"/>
  <c r="H62" i="13"/>
  <c r="H62" i="10"/>
  <c r="H59" i="9"/>
  <c r="H57" i="4" s="1"/>
  <c r="H58" i="13"/>
  <c r="L56" i="4" s="1"/>
  <c r="H58" i="15"/>
  <c r="N56" i="4" s="1"/>
  <c r="H58" i="12"/>
  <c r="K56" i="4" s="1"/>
  <c r="H59" i="14"/>
  <c r="M57" i="4" s="1"/>
  <c r="H59" i="13"/>
  <c r="L57" i="4" s="1"/>
  <c r="H29" i="15"/>
  <c r="N27" i="4" s="1"/>
  <c r="H29" i="14"/>
  <c r="M27" i="4" s="1"/>
  <c r="H29" i="12"/>
  <c r="K27" i="4" s="1"/>
  <c r="H59" i="11"/>
  <c r="J57" i="4" s="1"/>
  <c r="H29" i="11"/>
  <c r="J27" i="4" s="1"/>
  <c r="H58" i="10"/>
  <c r="I56" i="4" s="1"/>
  <c r="H59" i="10"/>
  <c r="I57" i="4" s="1"/>
  <c r="O26" i="4"/>
  <c r="H59" i="8"/>
  <c r="G57" i="4" s="1"/>
  <c r="H58" i="6"/>
  <c r="E56" i="4" s="1"/>
  <c r="H29" i="6"/>
  <c r="E27" i="4" s="1"/>
  <c r="H30" i="5"/>
  <c r="D28" i="4" s="1"/>
  <c r="H58" i="14"/>
  <c r="M56" i="4" s="1"/>
  <c r="H29" i="10"/>
  <c r="I27" i="4" s="1"/>
  <c r="H29" i="9"/>
  <c r="H27" i="4" s="1"/>
  <c r="H29" i="13"/>
  <c r="L27" i="4" s="1"/>
  <c r="H29" i="8"/>
  <c r="G27" i="4" s="1"/>
  <c r="H58" i="8"/>
  <c r="G56" i="4" s="1"/>
  <c r="H29" i="7"/>
  <c r="F27" i="4" s="1"/>
  <c r="H59" i="12"/>
  <c r="K57" i="4" s="1"/>
  <c r="H58" i="16"/>
  <c r="H58" i="11"/>
  <c r="J56" i="4" s="1"/>
  <c r="H59" i="16"/>
  <c r="C57" i="4" s="1"/>
  <c r="H29" i="16"/>
  <c r="C27" i="4" s="1"/>
  <c r="F63" i="16"/>
  <c r="F64" i="16"/>
  <c r="G64" i="16"/>
  <c r="G63" i="16"/>
  <c r="H30" i="16"/>
  <c r="C28" i="4" s="1"/>
  <c r="H62" i="16"/>
  <c r="C60" i="4" s="1"/>
  <c r="C64" i="16"/>
  <c r="C63" i="16"/>
  <c r="H30" i="15"/>
  <c r="N28" i="4" s="1"/>
  <c r="H30" i="14"/>
  <c r="M28" i="4" s="1"/>
  <c r="H30" i="13"/>
  <c r="L28" i="4" s="1"/>
  <c r="H30" i="12"/>
  <c r="K28" i="4" s="1"/>
  <c r="H30" i="11"/>
  <c r="J28" i="4" s="1"/>
  <c r="H30" i="10"/>
  <c r="I28" i="4" s="1"/>
  <c r="H30" i="9"/>
  <c r="H28" i="4" s="1"/>
  <c r="H30" i="8"/>
  <c r="G28" i="4" s="1"/>
  <c r="H30" i="7"/>
  <c r="F28" i="4" s="1"/>
  <c r="H30" i="6"/>
  <c r="E28" i="4" s="1"/>
  <c r="H64" i="6" l="1"/>
  <c r="E62" i="4" s="1"/>
  <c r="O27" i="4"/>
  <c r="O28" i="4"/>
  <c r="H64" i="16"/>
  <c r="C62" i="4" s="1"/>
  <c r="H63" i="16"/>
  <c r="C61" i="4" s="1"/>
  <c r="C44" i="5" l="1"/>
  <c r="E55" i="5" l="1"/>
  <c r="D42" i="4"/>
  <c r="G55" i="5"/>
  <c r="G57" i="5" s="1"/>
  <c r="G62" i="5" s="1"/>
  <c r="F55" i="5"/>
  <c r="F57" i="5" s="1"/>
  <c r="F62" i="5" s="1"/>
  <c r="D55" i="5"/>
  <c r="D57" i="5" s="1"/>
  <c r="D62" i="5" s="1"/>
  <c r="C55" i="5"/>
  <c r="C57" i="5" s="1"/>
  <c r="C62" i="5" s="1"/>
  <c r="C63" i="5" l="1"/>
  <c r="C64" i="5"/>
  <c r="D64" i="5"/>
  <c r="D63" i="5"/>
  <c r="F64" i="5"/>
  <c r="F63" i="5"/>
  <c r="G64" i="5"/>
  <c r="G63" i="5"/>
  <c r="E57" i="5"/>
  <c r="E62" i="5" s="1"/>
  <c r="H62" i="5" s="1"/>
  <c r="D60" i="4" s="1"/>
  <c r="O60" i="4" s="1"/>
  <c r="H55" i="5"/>
  <c r="D53" i="4" s="1"/>
  <c r="O53" i="4" s="1"/>
  <c r="G58" i="5"/>
  <c r="G59" i="5"/>
  <c r="D59" i="5"/>
  <c r="D58" i="5"/>
  <c r="F59" i="5"/>
  <c r="F58" i="5"/>
  <c r="E63" i="5" l="1"/>
  <c r="H63" i="5" s="1"/>
  <c r="D61" i="4" s="1"/>
  <c r="O61" i="4" s="1"/>
  <c r="E64" i="5"/>
  <c r="H64" i="5"/>
  <c r="D62" i="4" s="1"/>
  <c r="O62" i="4" s="1"/>
  <c r="E58" i="5"/>
  <c r="E59" i="5"/>
  <c r="C59" i="5"/>
  <c r="H59" i="5" s="1"/>
  <c r="D57" i="4" s="1"/>
  <c r="O57" i="4" s="1"/>
  <c r="C58" i="5"/>
  <c r="H57" i="5"/>
  <c r="D55" i="4" s="1"/>
  <c r="O55" i="4" s="1"/>
  <c r="H58" i="5" l="1"/>
  <c r="D56" i="4" s="1"/>
  <c r="O56" i="4" s="1"/>
</calcChain>
</file>

<file path=xl/sharedStrings.xml><?xml version="1.0" encoding="utf-8"?>
<sst xmlns="http://schemas.openxmlformats.org/spreadsheetml/2006/main" count="1414" uniqueCount="110">
  <si>
    <t>Average Spot price (CT 101 / kWh)</t>
  </si>
  <si>
    <t>Estimated, as initially submitted:</t>
  </si>
  <si>
    <t xml:space="preserve">Off Peak </t>
  </si>
  <si>
    <t>Mid Peak</t>
  </si>
  <si>
    <t>On Peak</t>
  </si>
  <si>
    <t xml:space="preserve">Month of: </t>
  </si>
  <si>
    <t>Off-Peak Estimate (kWh)</t>
  </si>
  <si>
    <t>Tier 1 Estimate (kWh)</t>
  </si>
  <si>
    <t>Tier 2 Estimate (kWh)</t>
  </si>
  <si>
    <t>Wholesale Class B (kWh)</t>
  </si>
  <si>
    <t>Mid-Peak Estimate (kWh)</t>
  </si>
  <si>
    <t>On-Peak Estimate (kWh)</t>
  </si>
  <si>
    <t>kWhs</t>
  </si>
  <si>
    <t>% of total</t>
  </si>
  <si>
    <t>Tier 1</t>
  </si>
  <si>
    <t>Tier 2</t>
  </si>
  <si>
    <t>RPP Price</t>
  </si>
  <si>
    <t>KWH % by RPP Block</t>
  </si>
  <si>
    <t>Payments TO IESO</t>
  </si>
  <si>
    <t>Payments FROM IESO</t>
  </si>
  <si>
    <t>Variance - (receivable) / payable</t>
  </si>
  <si>
    <t>FA</t>
  </si>
  <si>
    <r>
      <t>FB</t>
    </r>
    <r>
      <rPr>
        <vertAlign val="superscript"/>
        <sz val="11"/>
        <color theme="1"/>
        <rFont val="Calibri"/>
        <family val="2"/>
      </rPr>
      <t>1</t>
    </r>
  </si>
  <si>
    <r>
      <t>FB</t>
    </r>
    <r>
      <rPr>
        <vertAlign val="superscript"/>
        <sz val="11"/>
        <color theme="1"/>
        <rFont val="Calibri"/>
        <family val="2"/>
      </rPr>
      <t>2</t>
    </r>
  </si>
  <si>
    <r>
      <t>FB</t>
    </r>
    <r>
      <rPr>
        <vertAlign val="superscript"/>
        <sz val="11"/>
        <color theme="1"/>
        <rFont val="Calibri"/>
        <family val="2"/>
      </rPr>
      <t>3</t>
    </r>
  </si>
  <si>
    <r>
      <t>FB</t>
    </r>
    <r>
      <rPr>
        <vertAlign val="superscript"/>
        <sz val="11"/>
        <color theme="1"/>
        <rFont val="Calibri"/>
        <family val="2"/>
      </rPr>
      <t>4</t>
    </r>
  </si>
  <si>
    <r>
      <t>FB</t>
    </r>
    <r>
      <rPr>
        <vertAlign val="superscript"/>
        <sz val="11"/>
        <color theme="1"/>
        <rFont val="Calibri"/>
        <family val="2"/>
      </rPr>
      <t>5</t>
    </r>
  </si>
  <si>
    <t>FB</t>
  </si>
  <si>
    <t>FC</t>
  </si>
  <si>
    <r>
      <t>FC</t>
    </r>
    <r>
      <rPr>
        <vertAlign val="superscript"/>
        <sz val="11"/>
        <color theme="1"/>
        <rFont val="Calibri"/>
        <family val="2"/>
      </rPr>
      <t>1</t>
    </r>
  </si>
  <si>
    <r>
      <t>FD</t>
    </r>
    <r>
      <rPr>
        <vertAlign val="superscript"/>
        <sz val="11"/>
        <color theme="1"/>
        <rFont val="Calibri"/>
        <family val="2"/>
      </rPr>
      <t>1</t>
    </r>
  </si>
  <si>
    <t>FD</t>
  </si>
  <si>
    <t>GA Final Rate (MWh)</t>
  </si>
  <si>
    <t>GA Final Rate (kWh)</t>
  </si>
  <si>
    <t>ESTIMATED USAGE SUBMISSION (4TH DAY OF THE MONTH)</t>
  </si>
  <si>
    <t>FINAL SUBMISSION (TRUE-UP)</t>
  </si>
  <si>
    <t>Reconciliation (True-Up)</t>
  </si>
  <si>
    <t>FE</t>
  </si>
  <si>
    <t>FF</t>
  </si>
  <si>
    <t>FG</t>
  </si>
  <si>
    <t>FH=FG*FE</t>
  </si>
  <si>
    <t>FI=FG*FC</t>
  </si>
  <si>
    <t>FJ=FG*FD</t>
  </si>
  <si>
    <t>FH-FI-FJ</t>
  </si>
  <si>
    <t>FK</t>
  </si>
  <si>
    <t>FL</t>
  </si>
  <si>
    <t>EA</t>
  </si>
  <si>
    <r>
      <t>EB</t>
    </r>
    <r>
      <rPr>
        <vertAlign val="superscript"/>
        <sz val="11"/>
        <color theme="1"/>
        <rFont val="Calibri"/>
        <family val="2"/>
      </rPr>
      <t>1</t>
    </r>
  </si>
  <si>
    <r>
      <t>EB</t>
    </r>
    <r>
      <rPr>
        <vertAlign val="superscript"/>
        <sz val="11"/>
        <color theme="1"/>
        <rFont val="Calibri"/>
        <family val="2"/>
      </rPr>
      <t>2</t>
    </r>
  </si>
  <si>
    <r>
      <t>EB</t>
    </r>
    <r>
      <rPr>
        <vertAlign val="superscript"/>
        <sz val="11"/>
        <color theme="1"/>
        <rFont val="Calibri"/>
        <family val="2"/>
      </rPr>
      <t>3</t>
    </r>
  </si>
  <si>
    <r>
      <t>EB</t>
    </r>
    <r>
      <rPr>
        <vertAlign val="superscript"/>
        <sz val="11"/>
        <color theme="1"/>
        <rFont val="Calibri"/>
        <family val="2"/>
      </rPr>
      <t>4</t>
    </r>
  </si>
  <si>
    <r>
      <t>EB</t>
    </r>
    <r>
      <rPr>
        <vertAlign val="superscript"/>
        <sz val="11"/>
        <color theme="1"/>
        <rFont val="Calibri"/>
        <family val="2"/>
      </rPr>
      <t>5</t>
    </r>
  </si>
  <si>
    <t>EB</t>
  </si>
  <si>
    <t>EC</t>
  </si>
  <si>
    <r>
      <t>ED</t>
    </r>
    <r>
      <rPr>
        <vertAlign val="superscript"/>
        <sz val="11"/>
        <color theme="1"/>
        <rFont val="Calibri"/>
        <family val="2"/>
      </rPr>
      <t>1</t>
    </r>
  </si>
  <si>
    <t>ED</t>
  </si>
  <si>
    <t>EE</t>
  </si>
  <si>
    <t>EF</t>
  </si>
  <si>
    <t>EG</t>
  </si>
  <si>
    <t>EH=EG*EE</t>
  </si>
  <si>
    <t>EI=EG*EC</t>
  </si>
  <si>
    <t>EJ=EG*ED</t>
  </si>
  <si>
    <t>EH-EI-EJ</t>
  </si>
  <si>
    <t>EK</t>
  </si>
  <si>
    <t>EL</t>
  </si>
  <si>
    <t>Total</t>
  </si>
  <si>
    <t>RK</t>
  </si>
  <si>
    <t>RL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</si>
  <si>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</si>
  <si>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</si>
  <si>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</si>
  <si>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</si>
  <si>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</si>
  <si>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</si>
  <si>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</si>
  <si>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</si>
  <si>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</si>
  <si>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</si>
  <si>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</si>
  <si>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</si>
  <si>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</si>
  <si>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CT 101 (kWh)</t>
  </si>
  <si>
    <t>2017 RPP SETTLEMENT TRUE UP CALCULATION</t>
  </si>
  <si>
    <t>Variance - kWh</t>
  </si>
  <si>
    <t>Total kWh from Query</t>
  </si>
  <si>
    <t>Average Spot price (NSLS)</t>
  </si>
  <si>
    <t>GA 1st Estimate Rate (MWh)</t>
  </si>
  <si>
    <t>GA 1st Estimate Rate (kWh)</t>
  </si>
  <si>
    <t>Actual Full month calculations</t>
  </si>
  <si>
    <t>Actual Billing @ RPP Price</t>
  </si>
  <si>
    <t>Actual COP Cost @ Actual SPOT Price</t>
  </si>
  <si>
    <t>Actual GA Cost @ GA Final Rate</t>
  </si>
  <si>
    <t>RPP Estimate kWh</t>
  </si>
  <si>
    <t>Estimated Billing @ RPP Price</t>
  </si>
  <si>
    <t>Estimated COP Cost @ NSLS</t>
  </si>
  <si>
    <t>Estimated GA Cost @ GA 1st Estimate</t>
  </si>
  <si>
    <t>Estimated kWhs by RPP Block</t>
  </si>
  <si>
    <t>Estimated Payments TO IESO</t>
  </si>
  <si>
    <t>Estimated Payments FROM IESO</t>
  </si>
  <si>
    <t>Estimated Variance - (receivable) / payable</t>
  </si>
  <si>
    <t>True-up Variance - (receivable) / payable</t>
  </si>
  <si>
    <t>True-up Payments TO IESO</t>
  </si>
  <si>
    <t>True-up Payments FROM IESO</t>
  </si>
  <si>
    <t>Tier 1 Actual (kWh)</t>
  </si>
  <si>
    <t>Tier 2 Actual (kWh)</t>
  </si>
  <si>
    <t>Off-Peak Actual (kWh)</t>
  </si>
  <si>
    <t>Mid-Peak Actual (kWh)</t>
  </si>
  <si>
    <t>On-Peak Actual (kWh)</t>
  </si>
  <si>
    <t>RPP Actual kWh</t>
  </si>
  <si>
    <t>Actual kWhs by RPP Block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</si>
</sst>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??_);_(@_)"/>
    <numFmt numFmtId="165" formatCode="_(&quot;$&quot;* #,##0_);_(&quot;$&quot;* \(#,##0\);_(&quot;$&quot;* &quot;-&quot;??_);_(@_)"/>
    <numFmt numFmtId="166" formatCode="_-* #,##0_-;\-* #,##0_-;_-* &quot;-&quot;??_-;_-@_-"/>
    <numFmt numFmtId="167" formatCode="_-* #,##0.0000_-;\-* #,##0.0000_-;_-* &quot;-&quot;??_-;_-@_-"/>
    <numFmt numFmtId="168" formatCode="_-&quot;$&quot;* #,##0.000_-;\-&quot;$&quot;* #,##0.000_-;_-&quot;$&quot;* &quot;-&quot;??_-;_-@_-"/>
    <numFmt numFmtId="169" formatCode="0.0%"/>
    <numFmt numFmtId="170" formatCode="_-* #,##0.00000_-;\-* #,##0.000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0" fontId="0" fillId="0" borderId="0" xfId="0" applyFill="1" applyBorder="1"/>
    <xf numFmtId="0" fontId="0" fillId="0" borderId="0" xfId="0" applyFill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9" fontId="0" fillId="5" borderId="4" xfId="3" applyFont="1" applyFill="1" applyBorder="1"/>
    <xf numFmtId="0" fontId="2" fillId="0" borderId="0" xfId="0" applyFont="1" applyBorder="1"/>
    <xf numFmtId="9" fontId="0" fillId="5" borderId="14" xfId="3" applyFont="1" applyFill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/>
    <xf numFmtId="165" fontId="0" fillId="0" borderId="0" xfId="0" applyNumberFormat="1"/>
    <xf numFmtId="168" fontId="0" fillId="3" borderId="3" xfId="2" applyNumberFormat="1" applyFont="1" applyFill="1" applyBorder="1"/>
    <xf numFmtId="166" fontId="0" fillId="5" borderId="3" xfId="0" applyNumberFormat="1" applyFill="1" applyBorder="1"/>
    <xf numFmtId="165" fontId="0" fillId="0" borderId="3" xfId="2" applyNumberFormat="1" applyFont="1" applyBorder="1"/>
    <xf numFmtId="0" fontId="2" fillId="0" borderId="1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8" fontId="0" fillId="3" borderId="21" xfId="2" applyNumberFormat="1" applyFont="1" applyFill="1" applyBorder="1"/>
    <xf numFmtId="166" fontId="0" fillId="5" borderId="21" xfId="0" applyNumberFormat="1" applyFill="1" applyBorder="1"/>
    <xf numFmtId="0" fontId="0" fillId="0" borderId="21" xfId="0" applyBorder="1"/>
    <xf numFmtId="165" fontId="0" fillId="0" borderId="21" xfId="2" applyNumberFormat="1" applyFont="1" applyBorder="1"/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/>
    </xf>
    <xf numFmtId="168" fontId="0" fillId="3" borderId="10" xfId="2" applyNumberFormat="1" applyFont="1" applyFill="1" applyBorder="1"/>
    <xf numFmtId="166" fontId="0" fillId="5" borderId="10" xfId="0" applyNumberFormat="1" applyFill="1" applyBorder="1"/>
    <xf numFmtId="165" fontId="0" fillId="0" borderId="10" xfId="2" applyNumberFormat="1" applyFont="1" applyBorder="1"/>
    <xf numFmtId="165" fontId="0" fillId="0" borderId="12" xfId="0" applyNumberFormat="1" applyBorder="1"/>
    <xf numFmtId="165" fontId="0" fillId="0" borderId="4" xfId="0" applyNumberFormat="1" applyBorder="1"/>
    <xf numFmtId="165" fontId="0" fillId="0" borderId="22" xfId="0" applyNumberFormat="1" applyBorder="1"/>
    <xf numFmtId="165" fontId="0" fillId="0" borderId="11" xfId="2" applyNumberFormat="1" applyFont="1" applyBorder="1"/>
    <xf numFmtId="165" fontId="0" fillId="0" borderId="6" xfId="2" applyNumberFormat="1" applyFont="1" applyBorder="1"/>
    <xf numFmtId="165" fontId="0" fillId="0" borderId="23" xfId="2" applyNumberFormat="1" applyFont="1" applyBorder="1"/>
    <xf numFmtId="0" fontId="4" fillId="0" borderId="0" xfId="4" applyFill="1"/>
    <xf numFmtId="0" fontId="2" fillId="0" borderId="0" xfId="0" applyFont="1" applyFill="1" applyBorder="1" applyAlignment="1">
      <alignment horizontal="center"/>
    </xf>
    <xf numFmtId="168" fontId="0" fillId="0" borderId="0" xfId="2" applyNumberFormat="1" applyFont="1" applyFill="1" applyBorder="1"/>
    <xf numFmtId="9" fontId="0" fillId="0" borderId="0" xfId="3" applyFont="1" applyFill="1" applyBorder="1"/>
    <xf numFmtId="166" fontId="0" fillId="0" borderId="0" xfId="0" applyNumberFormat="1" applyFill="1" applyBorder="1"/>
    <xf numFmtId="165" fontId="0" fillId="0" borderId="0" xfId="2" applyNumberFormat="1" applyFont="1" applyFill="1" applyBorder="1"/>
    <xf numFmtId="165" fontId="0" fillId="0" borderId="0" xfId="0" applyNumberFormat="1" applyFill="1" applyBorder="1"/>
    <xf numFmtId="165" fontId="2" fillId="0" borderId="0" xfId="0" applyNumberFormat="1" applyFont="1" applyFill="1" applyBorder="1"/>
    <xf numFmtId="165" fontId="0" fillId="0" borderId="0" xfId="0" applyNumberFormat="1" applyFill="1"/>
    <xf numFmtId="165" fontId="0" fillId="3" borderId="3" xfId="2" applyNumberFormat="1" applyFont="1" applyFill="1" applyBorder="1"/>
    <xf numFmtId="0" fontId="0" fillId="0" borderId="24" xfId="0" applyBorder="1" applyAlignment="1">
      <alignment horizontal="center"/>
    </xf>
    <xf numFmtId="0" fontId="0" fillId="0" borderId="2" xfId="0" applyFill="1" applyBorder="1" applyAlignment="1">
      <alignment horizontal="center"/>
    </xf>
    <xf numFmtId="166" fontId="0" fillId="3" borderId="24" xfId="1" applyNumberFormat="1" applyFont="1" applyFill="1" applyBorder="1"/>
    <xf numFmtId="166" fontId="0" fillId="3" borderId="2" xfId="1" applyNumberFormat="1" applyFont="1" applyFill="1" applyBorder="1"/>
    <xf numFmtId="166" fontId="0" fillId="3" borderId="19" xfId="1" applyNumberFormat="1" applyFont="1" applyFill="1" applyBorder="1"/>
    <xf numFmtId="166" fontId="0" fillId="5" borderId="19" xfId="1" applyNumberFormat="1" applyFont="1" applyFill="1" applyBorder="1"/>
    <xf numFmtId="167" fontId="0" fillId="5" borderId="2" xfId="1" applyNumberFormat="1" applyFont="1" applyFill="1" applyBorder="1"/>
    <xf numFmtId="167" fontId="0" fillId="3" borderId="2" xfId="1" applyNumberFormat="1" applyFont="1" applyFill="1" applyBorder="1"/>
    <xf numFmtId="167" fontId="0" fillId="5" borderId="5" xfId="1" applyNumberFormat="1" applyFont="1" applyFill="1" applyBorder="1"/>
    <xf numFmtId="0" fontId="2" fillId="4" borderId="0" xfId="0" applyFont="1" applyFill="1"/>
    <xf numFmtId="0" fontId="0" fillId="4" borderId="0" xfId="0" applyFill="1"/>
    <xf numFmtId="0" fontId="0" fillId="7" borderId="0" xfId="0" applyFill="1"/>
    <xf numFmtId="0" fontId="0" fillId="7" borderId="0" xfId="0" applyFill="1" applyAlignment="1">
      <alignment horizontal="center"/>
    </xf>
    <xf numFmtId="165" fontId="0" fillId="7" borderId="0" xfId="0" applyNumberFormat="1" applyFill="1"/>
    <xf numFmtId="0" fontId="2" fillId="7" borderId="0" xfId="0" applyFont="1" applyFill="1"/>
    <xf numFmtId="0" fontId="2" fillId="6" borderId="8" xfId="0" applyFont="1" applyFill="1" applyBorder="1"/>
    <xf numFmtId="0" fontId="2" fillId="6" borderId="2" xfId="0" applyFont="1" applyFill="1" applyBorder="1" applyAlignment="1">
      <alignment horizontal="center"/>
    </xf>
    <xf numFmtId="165" fontId="2" fillId="6" borderId="10" xfId="0" applyNumberFormat="1" applyFont="1" applyFill="1" applyBorder="1"/>
    <xf numFmtId="165" fontId="2" fillId="6" borderId="3" xfId="0" applyNumberFormat="1" applyFont="1" applyFill="1" applyBorder="1"/>
    <xf numFmtId="165" fontId="2" fillId="6" borderId="21" xfId="0" applyNumberFormat="1" applyFont="1" applyFill="1" applyBorder="1"/>
    <xf numFmtId="0" fontId="2" fillId="6" borderId="9" xfId="0" applyFont="1" applyFill="1" applyBorder="1"/>
    <xf numFmtId="0" fontId="2" fillId="6" borderId="5" xfId="0" applyFont="1" applyFill="1" applyBorder="1" applyAlignment="1">
      <alignment horizontal="center"/>
    </xf>
    <xf numFmtId="165" fontId="2" fillId="6" borderId="11" xfId="0" applyNumberFormat="1" applyFont="1" applyFill="1" applyBorder="1"/>
    <xf numFmtId="165" fontId="2" fillId="6" borderId="6" xfId="0" applyNumberFormat="1" applyFont="1" applyFill="1" applyBorder="1"/>
    <xf numFmtId="165" fontId="2" fillId="6" borderId="23" xfId="0" applyNumberFormat="1" applyFont="1" applyFill="1" applyBorder="1"/>
    <xf numFmtId="0" fontId="2" fillId="8" borderId="8" xfId="0" applyFont="1" applyFill="1" applyBorder="1"/>
    <xf numFmtId="0" fontId="2" fillId="8" borderId="2" xfId="0" applyFont="1" applyFill="1" applyBorder="1" applyAlignment="1">
      <alignment horizontal="center"/>
    </xf>
    <xf numFmtId="165" fontId="2" fillId="8" borderId="10" xfId="0" applyNumberFormat="1" applyFont="1" applyFill="1" applyBorder="1"/>
    <xf numFmtId="165" fontId="2" fillId="8" borderId="3" xfId="0" applyNumberFormat="1" applyFont="1" applyFill="1" applyBorder="1"/>
    <xf numFmtId="165" fontId="2" fillId="8" borderId="21" xfId="0" applyNumberFormat="1" applyFont="1" applyFill="1" applyBorder="1"/>
    <xf numFmtId="0" fontId="2" fillId="8" borderId="9" xfId="0" applyFont="1" applyFill="1" applyBorder="1"/>
    <xf numFmtId="0" fontId="2" fillId="8" borderId="5" xfId="0" applyFont="1" applyFill="1" applyBorder="1" applyAlignment="1">
      <alignment horizontal="center"/>
    </xf>
    <xf numFmtId="165" fontId="2" fillId="8" borderId="11" xfId="0" applyNumberFormat="1" applyFont="1" applyFill="1" applyBorder="1"/>
    <xf numFmtId="165" fontId="2" fillId="8" borderId="6" xfId="0" applyNumberFormat="1" applyFont="1" applyFill="1" applyBorder="1"/>
    <xf numFmtId="165" fontId="2" fillId="8" borderId="23" xfId="0" applyNumberFormat="1" applyFont="1" applyFill="1" applyBorder="1"/>
    <xf numFmtId="0" fontId="5" fillId="0" borderId="0" xfId="0" applyFont="1"/>
    <xf numFmtId="165" fontId="0" fillId="0" borderId="13" xfId="0" applyNumberFormat="1" applyBorder="1"/>
    <xf numFmtId="165" fontId="0" fillId="0" borderId="14" xfId="0" applyNumberFormat="1" applyBorder="1"/>
    <xf numFmtId="165" fontId="0" fillId="0" borderId="25" xfId="0" applyNumberFormat="1" applyBorder="1"/>
    <xf numFmtId="0" fontId="2" fillId="0" borderId="1" xfId="0" applyFont="1" applyFill="1" applyBorder="1" applyAlignment="1">
      <alignment horizontal="center"/>
    </xf>
    <xf numFmtId="168" fontId="0" fillId="0" borderId="8" xfId="2" applyNumberFormat="1" applyFont="1" applyFill="1" applyBorder="1"/>
    <xf numFmtId="9" fontId="0" fillId="0" borderId="8" xfId="3" applyFont="1" applyFill="1" applyBorder="1"/>
    <xf numFmtId="166" fontId="0" fillId="0" borderId="8" xfId="0" applyNumberFormat="1" applyFill="1" applyBorder="1"/>
    <xf numFmtId="165" fontId="0" fillId="0" borderId="8" xfId="2" applyNumberFormat="1" applyFont="1" applyFill="1" applyBorder="1"/>
    <xf numFmtId="165" fontId="0" fillId="0" borderId="9" xfId="2" applyNumberFormat="1" applyFont="1" applyFill="1" applyBorder="1"/>
    <xf numFmtId="165" fontId="2" fillId="0" borderId="8" xfId="0" applyNumberFormat="1" applyFont="1" applyFill="1" applyBorder="1"/>
    <xf numFmtId="165" fontId="2" fillId="0" borderId="9" xfId="0" applyNumberFormat="1" applyFont="1" applyFill="1" applyBorder="1"/>
    <xf numFmtId="165" fontId="0" fillId="0" borderId="7" xfId="0" applyNumberFormat="1" applyFill="1" applyBorder="1"/>
    <xf numFmtId="0" fontId="2" fillId="3" borderId="0" xfId="0" applyFont="1" applyFill="1" applyAlignment="1">
      <alignment horizontal="center"/>
    </xf>
    <xf numFmtId="169" fontId="0" fillId="0" borderId="0" xfId="3" applyNumberFormat="1" applyFont="1"/>
    <xf numFmtId="166" fontId="0" fillId="3" borderId="0" xfId="1" applyNumberFormat="1" applyFont="1" applyFill="1"/>
    <xf numFmtId="169" fontId="6" fillId="0" borderId="0" xfId="0" applyNumberFormat="1" applyFont="1"/>
    <xf numFmtId="169" fontId="6" fillId="0" borderId="0" xfId="3" applyNumberFormat="1" applyFont="1"/>
    <xf numFmtId="0" fontId="7" fillId="0" borderId="0" xfId="0" applyFont="1"/>
    <xf numFmtId="0" fontId="4" fillId="0" borderId="0" xfId="4"/>
    <xf numFmtId="0" fontId="2" fillId="0" borderId="26" xfId="0" applyFont="1" applyBorder="1" applyAlignment="1">
      <alignment horizontal="center"/>
    </xf>
    <xf numFmtId="166" fontId="0" fillId="5" borderId="8" xfId="0" applyNumberFormat="1" applyFill="1" applyBorder="1"/>
    <xf numFmtId="165" fontId="2" fillId="6" borderId="8" xfId="0" applyNumberFormat="1" applyFont="1" applyFill="1" applyBorder="1"/>
    <xf numFmtId="165" fontId="2" fillId="6" borderId="9" xfId="0" applyNumberFormat="1" applyFont="1" applyFill="1" applyBorder="1"/>
    <xf numFmtId="165" fontId="0" fillId="0" borderId="8" xfId="2" applyNumberFormat="1" applyFont="1" applyBorder="1"/>
    <xf numFmtId="165" fontId="0" fillId="0" borderId="9" xfId="2" applyNumberFormat="1" applyFont="1" applyBorder="1"/>
    <xf numFmtId="165" fontId="2" fillId="8" borderId="8" xfId="0" applyNumberFormat="1" applyFont="1" applyFill="1" applyBorder="1"/>
    <xf numFmtId="165" fontId="2" fillId="8" borderId="9" xfId="0" applyNumberFormat="1" applyFont="1" applyFill="1" applyBorder="1"/>
    <xf numFmtId="168" fontId="0" fillId="5" borderId="10" xfId="2" applyNumberFormat="1" applyFont="1" applyFill="1" applyBorder="1"/>
    <xf numFmtId="168" fontId="0" fillId="5" borderId="3" xfId="2" applyNumberFormat="1" applyFont="1" applyFill="1" applyBorder="1"/>
    <xf numFmtId="168" fontId="0" fillId="5" borderId="21" xfId="2" applyNumberFormat="1" applyFont="1" applyFill="1" applyBorder="1"/>
    <xf numFmtId="170" fontId="0" fillId="5" borderId="5" xfId="1" applyNumberFormat="1" applyFont="1" applyFill="1" applyBorder="1"/>
    <xf numFmtId="0" fontId="2" fillId="0" borderId="0" xfId="0" applyFont="1" applyFill="1" applyAlignment="1">
      <alignment horizontal="center"/>
    </xf>
    <xf numFmtId="17" fontId="2" fillId="3" borderId="0" xfId="0" applyNumberFormat="1" applyFont="1" applyFill="1" applyAlignment="1">
      <alignment horizontal="center"/>
    </xf>
    <xf numFmtId="165" fontId="0" fillId="3" borderId="12" xfId="0" applyNumberFormat="1" applyFill="1" applyBorder="1"/>
    <xf numFmtId="165" fontId="0" fillId="3" borderId="4" xfId="0" applyNumberFormat="1" applyFill="1" applyBorder="1"/>
    <xf numFmtId="165" fontId="0" fillId="3" borderId="22" xfId="0" applyNumberFormat="1" applyFill="1" applyBorder="1"/>
    <xf numFmtId="165" fontId="0" fillId="9" borderId="12" xfId="0" applyNumberFormat="1" applyFill="1" applyBorder="1"/>
    <xf numFmtId="165" fontId="0" fillId="9" borderId="4" xfId="0" applyNumberFormat="1" applyFill="1" applyBorder="1"/>
    <xf numFmtId="165" fontId="0" fillId="9" borderId="22" xfId="0" applyNumberFormat="1" applyFill="1" applyBorder="1"/>
    <xf numFmtId="10" fontId="0" fillId="0" borderId="0" xfId="0" applyNumberFormat="1"/>
    <xf numFmtId="43" fontId="0" fillId="0" borderId="0" xfId="0" applyNumberFormat="1"/>
    <xf numFmtId="43" fontId="0" fillId="0" borderId="0" xfId="1" applyFont="1"/>
    <xf numFmtId="0" fontId="0" fillId="0" borderId="28" xfId="0" applyBorder="1"/>
    <xf numFmtId="43" fontId="0" fillId="3" borderId="2" xfId="1" applyNumberFormat="1" applyFont="1" applyFill="1" applyBorder="1"/>
    <xf numFmtId="166" fontId="0" fillId="0" borderId="8" xfId="1" applyNumberFormat="1" applyFont="1" applyFill="1" applyBorder="1"/>
    <xf numFmtId="167" fontId="0" fillId="0" borderId="8" xfId="1" applyNumberFormat="1" applyFont="1" applyFill="1" applyBorder="1"/>
    <xf numFmtId="166" fontId="0" fillId="2" borderId="18" xfId="1" applyNumberFormat="1" applyFont="1" applyFill="1" applyBorder="1"/>
    <xf numFmtId="166" fontId="8" fillId="2" borderId="18" xfId="1" applyNumberFormat="1" applyFont="1" applyFill="1" applyBorder="1"/>
    <xf numFmtId="0" fontId="0" fillId="4" borderId="18" xfId="0" applyFill="1" applyBorder="1"/>
    <xf numFmtId="0" fontId="0" fillId="4" borderId="19" xfId="0" applyFill="1" applyBorder="1" applyAlignment="1">
      <alignment horizontal="center"/>
    </xf>
    <xf numFmtId="165" fontId="8" fillId="4" borderId="18" xfId="0" applyNumberFormat="1" applyFont="1" applyFill="1" applyBorder="1"/>
    <xf numFmtId="165" fontId="0" fillId="4" borderId="18" xfId="0" applyNumberFormat="1" applyFill="1" applyBorder="1"/>
    <xf numFmtId="0" fontId="0" fillId="7" borderId="18" xfId="0" applyFill="1" applyBorder="1"/>
    <xf numFmtId="0" fontId="0" fillId="7" borderId="19" xfId="0" applyFill="1" applyBorder="1" applyAlignment="1">
      <alignment horizontal="center"/>
    </xf>
    <xf numFmtId="165" fontId="0" fillId="7" borderId="18" xfId="0" applyNumberFormat="1" applyFill="1" applyBorder="1"/>
    <xf numFmtId="0" fontId="2" fillId="10" borderId="7" xfId="0" applyFont="1" applyFill="1" applyBorder="1"/>
    <xf numFmtId="0" fontId="2" fillId="10" borderId="24" xfId="0" applyFont="1" applyFill="1" applyBorder="1" applyAlignment="1">
      <alignment horizontal="center"/>
    </xf>
    <xf numFmtId="165" fontId="2" fillId="10" borderId="7" xfId="0" applyNumberFormat="1" applyFont="1" applyFill="1" applyBorder="1"/>
    <xf numFmtId="0" fontId="0" fillId="11" borderId="8" xfId="0" applyFont="1" applyFill="1" applyBorder="1"/>
    <xf numFmtId="0" fontId="0" fillId="11" borderId="2" xfId="0" applyFont="1" applyFill="1" applyBorder="1" applyAlignment="1">
      <alignment horizontal="center"/>
    </xf>
    <xf numFmtId="165" fontId="0" fillId="11" borderId="8" xfId="0" applyNumberFormat="1" applyFont="1" applyFill="1" applyBorder="1"/>
    <xf numFmtId="0" fontId="0" fillId="11" borderId="9" xfId="0" applyFont="1" applyFill="1" applyBorder="1"/>
    <xf numFmtId="0" fontId="0" fillId="11" borderId="5" xfId="0" applyFont="1" applyFill="1" applyBorder="1" applyAlignment="1">
      <alignment horizontal="center"/>
    </xf>
    <xf numFmtId="165" fontId="0" fillId="11" borderId="9" xfId="0" applyNumberFormat="1" applyFont="1" applyFill="1" applyBorder="1"/>
    <xf numFmtId="0" fontId="2" fillId="0" borderId="1" xfId="0" applyFont="1" applyBorder="1"/>
    <xf numFmtId="164" fontId="2" fillId="0" borderId="17" xfId="0" applyNumberFormat="1" applyFont="1" applyBorder="1"/>
    <xf numFmtId="164" fontId="2" fillId="0" borderId="16" xfId="0" applyNumberFormat="1" applyFont="1" applyBorder="1"/>
    <xf numFmtId="164" fontId="2" fillId="0" borderId="20" xfId="0" applyNumberFormat="1" applyFont="1" applyBorder="1"/>
    <xf numFmtId="164" fontId="2" fillId="0" borderId="1" xfId="0" applyNumberFormat="1" applyFont="1" applyFill="1" applyBorder="1"/>
    <xf numFmtId="9" fontId="0" fillId="3" borderId="3" xfId="3" applyFont="1" applyFill="1" applyBorder="1"/>
    <xf numFmtId="9" fontId="0" fillId="3" borderId="4" xfId="3" applyFont="1" applyFill="1" applyBorder="1"/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0" fillId="12" borderId="8" xfId="0" applyFill="1" applyBorder="1"/>
    <xf numFmtId="0" fontId="0" fillId="12" borderId="2" xfId="0" applyFill="1" applyBorder="1" applyAlignment="1">
      <alignment horizontal="center"/>
    </xf>
    <xf numFmtId="166" fontId="0" fillId="12" borderId="7" xfId="1" applyNumberFormat="1" applyFont="1" applyFill="1" applyBorder="1"/>
    <xf numFmtId="166" fontId="8" fillId="12" borderId="7" xfId="1" applyNumberFormat="1" applyFont="1" applyFill="1" applyBorder="1"/>
    <xf numFmtId="168" fontId="0" fillId="12" borderId="8" xfId="2" applyNumberFormat="1" applyFont="1" applyFill="1" applyBorder="1"/>
    <xf numFmtId="166" fontId="0" fillId="0" borderId="18" xfId="1" applyNumberFormat="1" applyFont="1" applyFill="1" applyBorder="1"/>
    <xf numFmtId="166" fontId="8" fillId="0" borderId="18" xfId="1" applyNumberFormat="1" applyFont="1" applyFill="1" applyBorder="1"/>
    <xf numFmtId="166" fontId="8" fillId="0" borderId="8" xfId="1" applyNumberFormat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65" fontId="0" fillId="0" borderId="0" xfId="0" applyNumberFormat="1" applyBorder="1"/>
    <xf numFmtId="0" fontId="0" fillId="0" borderId="29" xfId="0" applyBorder="1"/>
    <xf numFmtId="0" fontId="0" fillId="0" borderId="30" xfId="0" applyBorder="1"/>
    <xf numFmtId="165" fontId="0" fillId="0" borderId="5" xfId="0" applyNumberFormat="1" applyBorder="1"/>
    <xf numFmtId="165" fontId="0" fillId="0" borderId="31" xfId="0" applyNumberFormat="1" applyBorder="1"/>
    <xf numFmtId="165" fontId="0" fillId="0" borderId="6" xfId="0" applyNumberFormat="1" applyBorder="1"/>
    <xf numFmtId="0" fontId="0" fillId="0" borderId="15" xfId="0" applyBorder="1"/>
    <xf numFmtId="0" fontId="0" fillId="0" borderId="27" xfId="0" applyBorder="1"/>
    <xf numFmtId="0" fontId="0" fillId="0" borderId="16" xfId="0" applyBorder="1"/>
    <xf numFmtId="0" fontId="0" fillId="0" borderId="27" xfId="0" applyBorder="1" applyAlignment="1">
      <alignment horizontal="center"/>
    </xf>
    <xf numFmtId="166" fontId="0" fillId="0" borderId="24" xfId="1" applyNumberFormat="1" applyFont="1" applyFill="1" applyBorder="1"/>
    <xf numFmtId="167" fontId="0" fillId="0" borderId="2" xfId="1" applyNumberFormat="1" applyFont="1" applyFill="1" applyBorder="1"/>
    <xf numFmtId="165" fontId="0" fillId="0" borderId="10" xfId="2" applyNumberFormat="1" applyFont="1" applyFill="1" applyBorder="1"/>
    <xf numFmtId="165" fontId="0" fillId="0" borderId="3" xfId="2" applyNumberFormat="1" applyFont="1" applyFill="1" applyBorder="1"/>
    <xf numFmtId="165" fontId="0" fillId="0" borderId="21" xfId="2" applyNumberFormat="1" applyFont="1" applyFill="1" applyBorder="1"/>
    <xf numFmtId="165" fontId="0" fillId="0" borderId="11" xfId="2" applyNumberFormat="1" applyFont="1" applyFill="1" applyBorder="1"/>
    <xf numFmtId="165" fontId="0" fillId="0" borderId="6" xfId="2" applyNumberFormat="1" applyFont="1" applyFill="1" applyBorder="1"/>
    <xf numFmtId="165" fontId="0" fillId="0" borderId="23" xfId="2" applyNumberFormat="1" applyFont="1" applyFill="1" applyBorder="1"/>
    <xf numFmtId="167" fontId="0" fillId="3" borderId="5" xfId="1" applyNumberFormat="1" applyFont="1" applyFill="1" applyBorder="1"/>
    <xf numFmtId="9" fontId="0" fillId="0" borderId="14" xfId="3" applyFont="1" applyFill="1" applyBorder="1"/>
    <xf numFmtId="9" fontId="0" fillId="0" borderId="3" xfId="3" applyFont="1" applyFill="1" applyBorder="1"/>
    <xf numFmtId="9" fontId="0" fillId="0" borderId="4" xfId="3" applyFont="1" applyFill="1" applyBorder="1"/>
    <xf numFmtId="0" fontId="0" fillId="0" borderId="10" xfId="0" applyFill="1" applyBorder="1"/>
    <xf numFmtId="0" fontId="0" fillId="0" borderId="3" xfId="0" applyFill="1" applyBorder="1"/>
    <xf numFmtId="9" fontId="0" fillId="0" borderId="21" xfId="3" applyFont="1" applyFill="1" applyBorder="1"/>
    <xf numFmtId="167" fontId="0" fillId="0" borderId="9" xfId="1" applyNumberFormat="1" applyFont="1" applyFill="1" applyBorder="1"/>
    <xf numFmtId="170" fontId="0" fillId="0" borderId="9" xfId="1" applyNumberFormat="1" applyFont="1" applyFill="1" applyBorder="1"/>
    <xf numFmtId="0" fontId="7" fillId="4" borderId="15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13" borderId="15" xfId="0" applyFont="1" applyFill="1" applyBorder="1" applyAlignment="1">
      <alignment horizontal="center"/>
    </xf>
    <xf numFmtId="0" fontId="2" fillId="13" borderId="27" xfId="0" applyFont="1" applyFill="1" applyBorder="1" applyAlignment="1">
      <alignment horizontal="center"/>
    </xf>
    <xf numFmtId="0" fontId="2" fillId="13" borderId="16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27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CC"/>
      <color rgb="FFFF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64"/>
  <sheetViews>
    <sheetView tabSelected="1" zoomScale="80" zoomScaleNormal="80" workbookViewId="0">
      <pane ySplit="3" topLeftCell="A4" activePane="bottomLeft" state="frozen"/>
      <selection pane="bottomLeft" activeCell="A13" sqref="A13"/>
    </sheetView>
  </sheetViews>
  <sheetFormatPr defaultRowHeight="15" x14ac:dyDescent="0.25"/>
  <cols>
    <col min="1" max="1" width="41.42578125" customWidth="1"/>
    <col min="2" max="2" width="13.85546875" bestFit="1" customWidth="1"/>
    <col min="3" max="3" width="17.42578125" bestFit="1" customWidth="1"/>
    <col min="4" max="10" width="12.28515625" bestFit="1" customWidth="1"/>
    <col min="11" max="12" width="13" bestFit="1" customWidth="1"/>
    <col min="13" max="14" width="12.28515625" bestFit="1" customWidth="1"/>
    <col min="15" max="15" width="13.42578125" bestFit="1" customWidth="1"/>
    <col min="16" max="16" width="14.140625" customWidth="1"/>
  </cols>
  <sheetData>
    <row r="1" spans="1:15" ht="18.75" x14ac:dyDescent="0.3">
      <c r="A1" s="104" t="s">
        <v>82</v>
      </c>
    </row>
    <row r="2" spans="1:15" ht="15.75" thickBot="1" x14ac:dyDescent="0.3"/>
    <row r="3" spans="1:15" ht="15.75" thickBot="1" x14ac:dyDescent="0.3">
      <c r="A3" s="1" t="s">
        <v>5</v>
      </c>
      <c r="B3" s="1"/>
      <c r="C3" s="106" t="s">
        <v>68</v>
      </c>
      <c r="D3" s="106" t="s">
        <v>69</v>
      </c>
      <c r="E3" s="106" t="s">
        <v>70</v>
      </c>
      <c r="F3" s="106" t="s">
        <v>71</v>
      </c>
      <c r="G3" s="106" t="s">
        <v>72</v>
      </c>
      <c r="H3" s="106" t="s">
        <v>73</v>
      </c>
      <c r="I3" s="106" t="s">
        <v>74</v>
      </c>
      <c r="J3" s="106" t="s">
        <v>75</v>
      </c>
      <c r="K3" s="106" t="s">
        <v>76</v>
      </c>
      <c r="L3" s="106" t="s">
        <v>77</v>
      </c>
      <c r="M3" s="106" t="s">
        <v>78</v>
      </c>
      <c r="N3" s="106" t="s">
        <v>79</v>
      </c>
      <c r="O3" s="106" t="s">
        <v>80</v>
      </c>
    </row>
    <row r="4" spans="1:15" s="158" customFormat="1" ht="27.75" customHeight="1" thickBot="1" x14ac:dyDescent="0.3">
      <c r="A4" s="197" t="s">
        <v>34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9"/>
    </row>
    <row r="5" spans="1:15" ht="6.75" customHeight="1" thickBot="1" x14ac:dyDescent="0.3">
      <c r="A5" s="1"/>
      <c r="B5" s="1"/>
      <c r="C5" s="176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8"/>
    </row>
    <row r="6" spans="1:15" ht="15.75" thickBot="1" x14ac:dyDescent="0.3">
      <c r="A6" s="12"/>
      <c r="B6" s="12"/>
      <c r="C6" s="209" t="s">
        <v>12</v>
      </c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1"/>
    </row>
    <row r="7" spans="1:15" x14ac:dyDescent="0.25">
      <c r="A7" s="6" t="s">
        <v>9</v>
      </c>
      <c r="B7" s="51" t="s">
        <v>46</v>
      </c>
      <c r="C7" s="162">
        <f>'2017 01'!C9</f>
        <v>0</v>
      </c>
      <c r="D7" s="162">
        <f>'2017 02'!C9</f>
        <v>0</v>
      </c>
      <c r="E7" s="162">
        <f>'2017 03'!C9</f>
        <v>0</v>
      </c>
      <c r="F7" s="162">
        <f>'2017 04'!C9</f>
        <v>0</v>
      </c>
      <c r="G7" s="162">
        <f>'2017 05'!C9</f>
        <v>0</v>
      </c>
      <c r="H7" s="162">
        <f>'2017 06'!C9</f>
        <v>0</v>
      </c>
      <c r="I7" s="162">
        <f>'2017 07'!C9</f>
        <v>0</v>
      </c>
      <c r="J7" s="162">
        <f>'2017 08'!C9</f>
        <v>0</v>
      </c>
      <c r="K7" s="162">
        <f>'2017 09'!C9</f>
        <v>0</v>
      </c>
      <c r="L7" s="162">
        <f>'2017 10'!C9</f>
        <v>0</v>
      </c>
      <c r="M7" s="162">
        <f>'2017 11'!C9</f>
        <v>0</v>
      </c>
      <c r="N7" s="162">
        <f>'2017 12'!C9</f>
        <v>0</v>
      </c>
      <c r="O7" s="162"/>
    </row>
    <row r="8" spans="1:15" ht="17.25" x14ac:dyDescent="0.25">
      <c r="A8" s="7" t="s">
        <v>7</v>
      </c>
      <c r="B8" s="52" t="s">
        <v>47</v>
      </c>
      <c r="C8" s="131">
        <f>'2017 01'!C10</f>
        <v>1035356</v>
      </c>
      <c r="D8" s="131">
        <f>'2017 02'!C10</f>
        <v>1188181</v>
      </c>
      <c r="E8" s="131">
        <f>'2017 03'!C10</f>
        <v>988361</v>
      </c>
      <c r="F8" s="131">
        <f>'2017 04'!C10</f>
        <v>1014616</v>
      </c>
      <c r="G8" s="131">
        <f>'2017 05'!C10</f>
        <v>956085</v>
      </c>
      <c r="H8" s="131">
        <f>'2017 06'!C10</f>
        <v>815034</v>
      </c>
      <c r="I8" s="131">
        <f>'2017 07'!C10</f>
        <v>724102</v>
      </c>
      <c r="J8" s="131">
        <f>'2017 08'!C10</f>
        <v>801784</v>
      </c>
      <c r="K8" s="131">
        <f>'2017 09'!C10</f>
        <v>799818</v>
      </c>
      <c r="L8" s="131">
        <f>'2017 10'!C10</f>
        <v>778030</v>
      </c>
      <c r="M8" s="131">
        <f>'2017 11'!C10</f>
        <v>741130</v>
      </c>
      <c r="N8" s="131">
        <f>'2017 12'!C10</f>
        <v>940982</v>
      </c>
      <c r="O8" s="131">
        <f>SUM(C8:N8)</f>
        <v>10783479</v>
      </c>
    </row>
    <row r="9" spans="1:15" ht="17.25" x14ac:dyDescent="0.25">
      <c r="A9" s="7" t="s">
        <v>8</v>
      </c>
      <c r="B9" s="52" t="s">
        <v>48</v>
      </c>
      <c r="C9" s="131">
        <f>'2017 01'!C11</f>
        <v>334209</v>
      </c>
      <c r="D9" s="131">
        <f>'2017 02'!C11</f>
        <v>418751</v>
      </c>
      <c r="E9" s="131">
        <f>'2017 03'!C11</f>
        <v>477778</v>
      </c>
      <c r="F9" s="131">
        <f>'2017 04'!C11</f>
        <v>480764</v>
      </c>
      <c r="G9" s="131">
        <f>'2017 05'!C11</f>
        <v>380359</v>
      </c>
      <c r="H9" s="131">
        <f>'2017 06'!C11</f>
        <v>523693</v>
      </c>
      <c r="I9" s="131">
        <f>'2017 07'!C11</f>
        <v>511747</v>
      </c>
      <c r="J9" s="131">
        <f>'2017 08'!C11</f>
        <v>571418</v>
      </c>
      <c r="K9" s="131">
        <f>'2017 09'!C11</f>
        <v>565423</v>
      </c>
      <c r="L9" s="131">
        <f>'2017 10'!C11</f>
        <v>537074</v>
      </c>
      <c r="M9" s="131">
        <f>'2017 11'!C11</f>
        <v>429174</v>
      </c>
      <c r="N9" s="131">
        <f>'2017 12'!C11</f>
        <v>413979</v>
      </c>
      <c r="O9" s="131">
        <f t="shared" ref="O9:O13" si="0">SUM(C9:N9)</f>
        <v>5644369</v>
      </c>
    </row>
    <row r="10" spans="1:15" ht="17.25" x14ac:dyDescent="0.25">
      <c r="A10" s="7" t="s">
        <v>6</v>
      </c>
      <c r="B10" s="52" t="s">
        <v>49</v>
      </c>
      <c r="C10" s="131">
        <f>'2017 01'!C12</f>
        <v>17150859</v>
      </c>
      <c r="D10" s="131">
        <f>'2017 02'!C12</f>
        <v>12816741</v>
      </c>
      <c r="E10" s="131">
        <f>'2017 03'!C12</f>
        <v>15212364</v>
      </c>
      <c r="F10" s="131">
        <f>'2017 04'!C12</f>
        <v>9874894</v>
      </c>
      <c r="G10" s="131">
        <f>'2017 05'!C12</f>
        <v>13051998</v>
      </c>
      <c r="H10" s="131">
        <f>'2017 06'!C12</f>
        <v>11419155</v>
      </c>
      <c r="I10" s="131">
        <f>'2017 07'!C12</f>
        <v>12354738</v>
      </c>
      <c r="J10" s="131">
        <f>'2017 08'!C12</f>
        <v>13273686</v>
      </c>
      <c r="K10" s="131">
        <f>'2017 09'!C12</f>
        <v>15007826</v>
      </c>
      <c r="L10" s="131">
        <f>'2017 10'!C12</f>
        <v>13684608</v>
      </c>
      <c r="M10" s="131">
        <f>'2017 11'!C12</f>
        <v>12122755</v>
      </c>
      <c r="N10" s="131">
        <f>'2017 12'!C12</f>
        <v>9619780</v>
      </c>
      <c r="O10" s="131">
        <f t="shared" si="0"/>
        <v>155589404</v>
      </c>
    </row>
    <row r="11" spans="1:15" ht="17.25" x14ac:dyDescent="0.25">
      <c r="A11" s="7" t="s">
        <v>10</v>
      </c>
      <c r="B11" s="52" t="s">
        <v>50</v>
      </c>
      <c r="C11" s="131">
        <f>'2017 01'!C13</f>
        <v>3983093</v>
      </c>
      <c r="D11" s="131">
        <f>'2017 02'!C13</f>
        <v>3258981</v>
      </c>
      <c r="E11" s="131">
        <f>'2017 03'!C13</f>
        <v>3711517</v>
      </c>
      <c r="F11" s="131">
        <f>'2017 04'!C13</f>
        <v>2598439</v>
      </c>
      <c r="G11" s="131">
        <f>'2017 05'!C13</f>
        <v>3346356</v>
      </c>
      <c r="H11" s="131">
        <f>'2017 06'!C13</f>
        <v>3109591</v>
      </c>
      <c r="I11" s="131">
        <f>'2017 07'!C13</f>
        <v>3325128</v>
      </c>
      <c r="J11" s="131">
        <f>'2017 08'!C13</f>
        <v>3811642</v>
      </c>
      <c r="K11" s="131">
        <f>'2017 09'!C13</f>
        <v>4174223</v>
      </c>
      <c r="L11" s="131">
        <f>'2017 10'!C13</f>
        <v>3785936</v>
      </c>
      <c r="M11" s="131">
        <f>'2017 11'!C13</f>
        <v>3296376</v>
      </c>
      <c r="N11" s="131">
        <f>'2017 12'!C13</f>
        <v>2586161</v>
      </c>
      <c r="O11" s="131">
        <f t="shared" si="0"/>
        <v>40987443</v>
      </c>
    </row>
    <row r="12" spans="1:15" ht="17.25" x14ac:dyDescent="0.25">
      <c r="A12" s="7" t="s">
        <v>11</v>
      </c>
      <c r="B12" s="52" t="s">
        <v>51</v>
      </c>
      <c r="C12" s="165">
        <f>'2017 01'!C14</f>
        <v>4458469</v>
      </c>
      <c r="D12" s="165">
        <f>'2017 02'!C14</f>
        <v>3567044</v>
      </c>
      <c r="E12" s="165">
        <f>'2017 03'!C14</f>
        <v>4168355</v>
      </c>
      <c r="F12" s="165">
        <f>'2017 04'!C14</f>
        <v>2815099</v>
      </c>
      <c r="G12" s="165">
        <f>'2017 05'!C14</f>
        <v>3486555</v>
      </c>
      <c r="H12" s="165">
        <f>'2017 06'!C14</f>
        <v>2970108</v>
      </c>
      <c r="I12" s="165">
        <f>'2017 07'!C14</f>
        <v>3380856</v>
      </c>
      <c r="J12" s="165">
        <f>'2017 08'!C14</f>
        <v>4151405</v>
      </c>
      <c r="K12" s="165">
        <f>'2017 09'!C14</f>
        <v>4533379</v>
      </c>
      <c r="L12" s="165">
        <f>'2017 10'!C14</f>
        <v>3989140</v>
      </c>
      <c r="M12" s="165">
        <f>'2017 11'!C14</f>
        <v>3263521</v>
      </c>
      <c r="N12" s="165">
        <f>'2017 12'!C14</f>
        <v>2887071</v>
      </c>
      <c r="O12" s="165">
        <f t="shared" si="0"/>
        <v>43671002</v>
      </c>
    </row>
    <row r="13" spans="1:15" x14ac:dyDescent="0.25">
      <c r="A13" s="17" t="s">
        <v>92</v>
      </c>
      <c r="B13" s="30" t="s">
        <v>52</v>
      </c>
      <c r="C13" s="134">
        <f>'2017 01'!C15</f>
        <v>26961986</v>
      </c>
      <c r="D13" s="134">
        <f>'2017 02'!C15</f>
        <v>21249698</v>
      </c>
      <c r="E13" s="134">
        <f>'2017 03'!C15</f>
        <v>24558375</v>
      </c>
      <c r="F13" s="134">
        <f>'2017 04'!C15</f>
        <v>16783812</v>
      </c>
      <c r="G13" s="134">
        <f>'2017 05'!C15</f>
        <v>21221353</v>
      </c>
      <c r="H13" s="134">
        <f>'2017 06'!C15</f>
        <v>18837581</v>
      </c>
      <c r="I13" s="134">
        <f>'2017 07'!C15</f>
        <v>20296571</v>
      </c>
      <c r="J13" s="134">
        <f>'2017 08'!C15</f>
        <v>22609935</v>
      </c>
      <c r="K13" s="134">
        <f>'2017 09'!C15</f>
        <v>25080669</v>
      </c>
      <c r="L13" s="134">
        <f>'2017 10'!C15</f>
        <v>22774788</v>
      </c>
      <c r="M13" s="134">
        <f>'2017 11'!C15</f>
        <v>19852956</v>
      </c>
      <c r="N13" s="134">
        <f>'2017 12'!C15</f>
        <v>16447973</v>
      </c>
      <c r="O13" s="133">
        <f t="shared" si="0"/>
        <v>256675697</v>
      </c>
    </row>
    <row r="14" spans="1:15" x14ac:dyDescent="0.25">
      <c r="A14" s="8" t="s">
        <v>85</v>
      </c>
      <c r="B14" s="29" t="s">
        <v>53</v>
      </c>
      <c r="C14" s="132">
        <f>'2017 01'!C16</f>
        <v>2.1840600000000002E-2</v>
      </c>
      <c r="D14" s="132">
        <f>'2017 02'!C16</f>
        <v>2.13438E-2</v>
      </c>
      <c r="E14" s="132">
        <f>'2017 03'!C16</f>
        <v>2.05592E-2</v>
      </c>
      <c r="F14" s="132">
        <f>'2017 04'!C16</f>
        <v>2.5936299999999999E-2</v>
      </c>
      <c r="G14" s="132">
        <f>'2017 05'!C16</f>
        <v>2.6878000000000002E-3</v>
      </c>
      <c r="H14" s="132">
        <f>'2017 06'!C16</f>
        <v>2.1810000000000002E-3</v>
      </c>
      <c r="I14" s="132">
        <f>'2017 07'!C16</f>
        <v>9.5790000000000007E-3</v>
      </c>
      <c r="J14" s="132">
        <f>'2017 08'!C16</f>
        <v>2.7562320000000001E-2</v>
      </c>
      <c r="K14" s="132">
        <f>'2017 09'!C16</f>
        <v>3.2661099999999998E-2</v>
      </c>
      <c r="L14" s="132">
        <f>'2017 10'!C16</f>
        <v>3.8275400000000001E-2</v>
      </c>
      <c r="M14" s="132">
        <f>'2017 11'!C16</f>
        <v>1.204E-2</v>
      </c>
      <c r="N14" s="132">
        <f>'2017 12'!C16</f>
        <v>1.3981449999999999E-2</v>
      </c>
      <c r="O14" s="132"/>
    </row>
    <row r="15" spans="1:15" ht="17.25" x14ac:dyDescent="0.25">
      <c r="A15" s="8" t="s">
        <v>86</v>
      </c>
      <c r="B15" s="29" t="s">
        <v>54</v>
      </c>
      <c r="C15" s="132">
        <f>'2017 01'!C17</f>
        <v>0</v>
      </c>
      <c r="D15" s="132">
        <f>'2017 02'!C17</f>
        <v>0</v>
      </c>
      <c r="E15" s="132">
        <f>'2017 03'!C17</f>
        <v>0</v>
      </c>
      <c r="F15" s="132">
        <f>'2017 04'!C17</f>
        <v>0</v>
      </c>
      <c r="G15" s="132">
        <f>'2017 05'!C17</f>
        <v>0</v>
      </c>
      <c r="H15" s="132">
        <f>'2017 06'!C17</f>
        <v>0</v>
      </c>
      <c r="I15" s="132">
        <f>'2017 07'!C17</f>
        <v>0</v>
      </c>
      <c r="J15" s="132">
        <f>'2017 08'!C17</f>
        <v>0</v>
      </c>
      <c r="K15" s="132">
        <f>'2017 09'!C17</f>
        <v>0</v>
      </c>
      <c r="L15" s="132">
        <f>'2017 10'!C17</f>
        <v>0</v>
      </c>
      <c r="M15" s="132">
        <f>'2017 11'!C17</f>
        <v>0</v>
      </c>
      <c r="N15" s="132">
        <f>'2017 12'!C17</f>
        <v>0</v>
      </c>
      <c r="O15" s="132"/>
    </row>
    <row r="16" spans="1:15" ht="15.75" thickBot="1" x14ac:dyDescent="0.3">
      <c r="A16" s="9" t="s">
        <v>87</v>
      </c>
      <c r="B16" s="31" t="s">
        <v>55</v>
      </c>
      <c r="C16" s="195">
        <f>'2017 01'!C18</f>
        <v>0.1014</v>
      </c>
      <c r="D16" s="195">
        <f>'2017 02'!C18</f>
        <v>7.6100000000000001E-2</v>
      </c>
      <c r="E16" s="195">
        <f>'2017 03'!C18</f>
        <v>9.7100000000000006E-2</v>
      </c>
      <c r="F16" s="195">
        <f>'2017 04'!C18</f>
        <v>8.3599999999999994E-2</v>
      </c>
      <c r="G16" s="195">
        <f>'2017 05'!C18</f>
        <v>7.6144521588039069E-2</v>
      </c>
      <c r="H16" s="195">
        <f>'2017 06'!C18</f>
        <v>0.10589999999999999</v>
      </c>
      <c r="I16" s="195">
        <f>'2017 07'!C18</f>
        <v>0.11609999999999999</v>
      </c>
      <c r="J16" s="195">
        <f>'2017 08'!C18</f>
        <v>0.10920000000000001</v>
      </c>
      <c r="K16" s="195">
        <f>'2017 09'!C18</f>
        <v>0.115</v>
      </c>
      <c r="L16" s="195">
        <f>'2017 10'!C18</f>
        <v>0.1222</v>
      </c>
      <c r="M16" s="195">
        <f>'2017 11'!C18</f>
        <v>0.1062</v>
      </c>
      <c r="N16" s="195">
        <f>'2017 12'!C18</f>
        <v>0.1082</v>
      </c>
      <c r="O16" s="195"/>
    </row>
    <row r="17" spans="1:16" ht="6.75" customHeight="1" thickBot="1" x14ac:dyDescent="0.3">
      <c r="B17" s="179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8"/>
    </row>
    <row r="18" spans="1:16" ht="15.75" thickBot="1" x14ac:dyDescent="0.3">
      <c r="A18" s="203" t="s">
        <v>1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5"/>
    </row>
    <row r="19" spans="1:16" x14ac:dyDescent="0.25">
      <c r="A19" s="8" t="s">
        <v>16</v>
      </c>
      <c r="B19" s="29" t="s">
        <v>56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</row>
    <row r="20" spans="1:16" x14ac:dyDescent="0.25">
      <c r="A20" s="160" t="s">
        <v>17</v>
      </c>
      <c r="B20" s="161" t="s">
        <v>57</v>
      </c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</row>
    <row r="21" spans="1:16" x14ac:dyDescent="0.25">
      <c r="A21" s="8" t="s">
        <v>96</v>
      </c>
      <c r="B21" s="29" t="s">
        <v>58</v>
      </c>
      <c r="C21" s="107">
        <f>'2017 01'!H23</f>
        <v>26961986</v>
      </c>
      <c r="D21" s="107">
        <f>'2017 02'!H23</f>
        <v>21249698</v>
      </c>
      <c r="E21" s="107">
        <f>'2017 03'!H23</f>
        <v>24558375</v>
      </c>
      <c r="F21" s="107">
        <f>'2017 04'!H23</f>
        <v>16783812</v>
      </c>
      <c r="G21" s="107">
        <f>'2017 05'!H23</f>
        <v>21221353</v>
      </c>
      <c r="H21" s="107">
        <f>'2017 06'!H23</f>
        <v>18837581</v>
      </c>
      <c r="I21" s="107">
        <f>'2017 07'!H23</f>
        <v>20296571</v>
      </c>
      <c r="J21" s="107">
        <f>'2017 08'!H23</f>
        <v>22609935</v>
      </c>
      <c r="K21" s="107">
        <f>'2017 09'!H23</f>
        <v>25080669</v>
      </c>
      <c r="L21" s="107">
        <f>'2017 10'!H23</f>
        <v>22774788</v>
      </c>
      <c r="M21" s="107">
        <f>'2017 11'!H23</f>
        <v>19852956</v>
      </c>
      <c r="N21" s="107">
        <f>'2017 12'!H23</f>
        <v>16447973</v>
      </c>
      <c r="O21" s="107">
        <f t="shared" ref="O21:O28" si="1">SUM(C21:N21)</f>
        <v>256675697</v>
      </c>
    </row>
    <row r="22" spans="1:16" x14ac:dyDescent="0.25">
      <c r="A22" s="8"/>
      <c r="B22" s="29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6" x14ac:dyDescent="0.25">
      <c r="A23" s="8" t="s">
        <v>93</v>
      </c>
      <c r="B23" s="29" t="s">
        <v>59</v>
      </c>
      <c r="C23" s="94">
        <f>'2017 01'!H25</f>
        <v>2967498.3859999999</v>
      </c>
      <c r="D23" s="94">
        <f>'2017 02'!H25</f>
        <v>2360361.3930000002</v>
      </c>
      <c r="E23" s="94">
        <f>'2017 03'!H25</f>
        <v>2723312.1329999999</v>
      </c>
      <c r="F23" s="94">
        <f>'2017 04'!H25</f>
        <v>1871505.4380000001</v>
      </c>
      <c r="G23" s="94">
        <f>'2017 05'!H25</f>
        <v>2057852.9979999999</v>
      </c>
      <c r="H23" s="94">
        <f>'2017 06'!H25</f>
        <v>1826645.226</v>
      </c>
      <c r="I23" s="94">
        <f>'2017 07'!H25</f>
        <v>1977987.1460000002</v>
      </c>
      <c r="J23" s="94">
        <f>'2017 08'!H25</f>
        <v>2238092.605</v>
      </c>
      <c r="K23" s="94">
        <f>'2017 09'!H25</f>
        <v>2471748.58</v>
      </c>
      <c r="L23" s="94">
        <f>'2017 10'!H25</f>
        <v>2235551.1379999998</v>
      </c>
      <c r="M23" s="94">
        <f>'2017 11'!H25</f>
        <v>1627612.2370000002</v>
      </c>
      <c r="N23" s="94">
        <f>'2017 12'!H25</f>
        <v>1361778.0910000002</v>
      </c>
      <c r="O23" s="94"/>
    </row>
    <row r="24" spans="1:16" x14ac:dyDescent="0.25">
      <c r="A24" s="8" t="s">
        <v>94</v>
      </c>
      <c r="B24" s="29" t="s">
        <v>60</v>
      </c>
      <c r="C24" s="94">
        <f>'2017 01'!H26</f>
        <v>588865.95143160003</v>
      </c>
      <c r="D24" s="94">
        <f>'2017 02'!H26</f>
        <v>453549.30417240004</v>
      </c>
      <c r="E24" s="94">
        <f>'2017 03'!H26</f>
        <v>504900.54330000002</v>
      </c>
      <c r="F24" s="94">
        <f>'2017 04'!H26</f>
        <v>435309.98317559995</v>
      </c>
      <c r="G24" s="94">
        <f>'2017 05'!H26</f>
        <v>57038.752593400008</v>
      </c>
      <c r="H24" s="94">
        <f>'2017 06'!H26</f>
        <v>41084.764160999999</v>
      </c>
      <c r="I24" s="94">
        <f>'2017 07'!H26</f>
        <v>194420.85360899998</v>
      </c>
      <c r="J24" s="94">
        <f>'2017 08'!H26</f>
        <v>623182.26364919997</v>
      </c>
      <c r="K24" s="94">
        <f>'2017 09'!H26</f>
        <v>819162.23827590002</v>
      </c>
      <c r="L24" s="94">
        <f>'2017 10'!H26</f>
        <v>871714.12061520002</v>
      </c>
      <c r="M24" s="94">
        <f>'2017 11'!H26</f>
        <v>239029.59024000002</v>
      </c>
      <c r="N24" s="94">
        <f>'2017 12'!H26</f>
        <v>229966.51210084997</v>
      </c>
      <c r="O24" s="94"/>
    </row>
    <row r="25" spans="1:16" ht="15.75" thickBot="1" x14ac:dyDescent="0.3">
      <c r="A25" s="9" t="s">
        <v>95</v>
      </c>
      <c r="B25" s="31" t="s">
        <v>61</v>
      </c>
      <c r="C25" s="95">
        <f>'2017 01'!H27</f>
        <v>2733945.3804000001</v>
      </c>
      <c r="D25" s="95">
        <f>'2017 02'!H27</f>
        <v>1617102.0178</v>
      </c>
      <c r="E25" s="95">
        <f>'2017 03'!H27</f>
        <v>2384618.2124999999</v>
      </c>
      <c r="F25" s="95">
        <f>'2017 04'!H27</f>
        <v>1403126.6831999999</v>
      </c>
      <c r="G25" s="95">
        <f>'2017 05'!H27</f>
        <v>1615889.7716358977</v>
      </c>
      <c r="H25" s="95">
        <f>'2017 06'!H27</f>
        <v>1994899.8278999999</v>
      </c>
      <c r="I25" s="95">
        <f>'2017 07'!H27</f>
        <v>2356431.8931</v>
      </c>
      <c r="J25" s="95">
        <f>'2017 08'!H27</f>
        <v>2469004.9020000002</v>
      </c>
      <c r="K25" s="95">
        <f>'2017 09'!H27</f>
        <v>2884276.9350000001</v>
      </c>
      <c r="L25" s="95">
        <f>'2017 10'!H27</f>
        <v>2783079.0935999998</v>
      </c>
      <c r="M25" s="95">
        <f>'2017 11'!H27</f>
        <v>2108383.9271999998</v>
      </c>
      <c r="N25" s="95">
        <f>'2017 12'!H27</f>
        <v>1779670.6786</v>
      </c>
      <c r="O25" s="95"/>
    </row>
    <row r="26" spans="1:16" x14ac:dyDescent="0.25">
      <c r="A26" s="135" t="s">
        <v>99</v>
      </c>
      <c r="B26" s="136" t="s">
        <v>62</v>
      </c>
      <c r="C26" s="137">
        <f>'2017 01'!H28</f>
        <v>-355312</v>
      </c>
      <c r="D26" s="137">
        <f>'2017 02'!H28</f>
        <v>289710</v>
      </c>
      <c r="E26" s="137">
        <f>'2017 03'!H28</f>
        <v>-166208</v>
      </c>
      <c r="F26" s="137">
        <f>'2017 04'!H28</f>
        <v>33068</v>
      </c>
      <c r="G26" s="137">
        <f>'2017 05'!H28</f>
        <v>384925</v>
      </c>
      <c r="H26" s="137">
        <f>'2017 06'!H28</f>
        <v>-209340</v>
      </c>
      <c r="I26" s="137">
        <f>'2017 07'!H28</f>
        <v>-572865</v>
      </c>
      <c r="J26" s="137">
        <f>'2017 08'!H28</f>
        <v>-854096</v>
      </c>
      <c r="K26" s="137">
        <f>'2017 09'!H28</f>
        <v>-1231691</v>
      </c>
      <c r="L26" s="137">
        <f>'2017 10'!H28</f>
        <v>-1419242</v>
      </c>
      <c r="M26" s="137">
        <f>'2017 11'!H28</f>
        <v>-719802</v>
      </c>
      <c r="N26" s="137">
        <f>'2017 12'!H28</f>
        <v>-647859</v>
      </c>
      <c r="O26" s="138">
        <f t="shared" si="1"/>
        <v>-5468712</v>
      </c>
    </row>
    <row r="27" spans="1:16" x14ac:dyDescent="0.25">
      <c r="A27" s="66" t="s">
        <v>97</v>
      </c>
      <c r="B27" s="67" t="s">
        <v>63</v>
      </c>
      <c r="C27" s="108">
        <f>'2017 01'!H29</f>
        <v>0</v>
      </c>
      <c r="D27" s="108">
        <f>'2017 02'!H29</f>
        <v>289710</v>
      </c>
      <c r="E27" s="108">
        <f>'2017 03'!H29</f>
        <v>0</v>
      </c>
      <c r="F27" s="108">
        <f>'2017 04'!H29</f>
        <v>33068</v>
      </c>
      <c r="G27" s="108">
        <f>'2017 05'!H29</f>
        <v>384925</v>
      </c>
      <c r="H27" s="108">
        <f>'2017 06'!H29</f>
        <v>0</v>
      </c>
      <c r="I27" s="108">
        <f>'2017 07'!H29</f>
        <v>0</v>
      </c>
      <c r="J27" s="108">
        <f>'2017 08'!H29</f>
        <v>0</v>
      </c>
      <c r="K27" s="108">
        <f>'2017 09'!H29</f>
        <v>0</v>
      </c>
      <c r="L27" s="108">
        <f>'2017 10'!H29</f>
        <v>0</v>
      </c>
      <c r="M27" s="108">
        <f>'2017 11'!H29</f>
        <v>0</v>
      </c>
      <c r="N27" s="108">
        <f>'2017 12'!H29</f>
        <v>0</v>
      </c>
      <c r="O27" s="108">
        <f t="shared" si="1"/>
        <v>707703</v>
      </c>
    </row>
    <row r="28" spans="1:16" ht="15.75" thickBot="1" x14ac:dyDescent="0.3">
      <c r="A28" s="71" t="s">
        <v>98</v>
      </c>
      <c r="B28" s="72" t="s">
        <v>64</v>
      </c>
      <c r="C28" s="109">
        <f>'2017 01'!H30</f>
        <v>355312</v>
      </c>
      <c r="D28" s="109">
        <f>'2017 02'!H30</f>
        <v>0</v>
      </c>
      <c r="E28" s="109">
        <f>'2017 03'!H30</f>
        <v>166208</v>
      </c>
      <c r="F28" s="109">
        <f>'2017 04'!H30</f>
        <v>0</v>
      </c>
      <c r="G28" s="109">
        <f>'2017 05'!H30</f>
        <v>0</v>
      </c>
      <c r="H28" s="109">
        <f>'2017 06'!H30</f>
        <v>209340</v>
      </c>
      <c r="I28" s="109">
        <f>'2017 07'!H30</f>
        <v>572865</v>
      </c>
      <c r="J28" s="109">
        <f>'2017 08'!H30</f>
        <v>854096</v>
      </c>
      <c r="K28" s="109">
        <f>'2017 09'!H30</f>
        <v>1231691</v>
      </c>
      <c r="L28" s="109">
        <f>'2017 10'!H30</f>
        <v>1419242</v>
      </c>
      <c r="M28" s="109">
        <f>'2017 11'!H30</f>
        <v>719802</v>
      </c>
      <c r="N28" s="109">
        <f>'2017 12'!H30</f>
        <v>647859</v>
      </c>
      <c r="O28" s="109">
        <f t="shared" si="1"/>
        <v>6176415</v>
      </c>
    </row>
    <row r="29" spans="1:16" ht="6.75" customHeight="1" x14ac:dyDescent="0.25">
      <c r="A29" s="168"/>
      <c r="B29" s="169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68"/>
    </row>
    <row r="30" spans="1:16" ht="4.5" customHeight="1" thickBot="1" x14ac:dyDescent="0.3">
      <c r="A30" s="168"/>
      <c r="B30" s="169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68"/>
    </row>
    <row r="31" spans="1:16" s="158" customFormat="1" ht="29.25" customHeight="1" thickBot="1" x14ac:dyDescent="0.3">
      <c r="A31" s="200" t="s">
        <v>35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2"/>
    </row>
    <row r="32" spans="1:16" ht="6.75" customHeight="1" x14ac:dyDescent="0.25">
      <c r="A32" s="1" t="s">
        <v>5</v>
      </c>
      <c r="B32" s="1"/>
      <c r="C32" s="171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72"/>
    </row>
    <row r="33" spans="1:15" ht="4.5" customHeight="1" thickBot="1" x14ac:dyDescent="0.3">
      <c r="B33" s="16"/>
      <c r="C33" s="173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5"/>
    </row>
    <row r="34" spans="1:15" ht="15.75" thickBot="1" x14ac:dyDescent="0.3">
      <c r="A34" s="12"/>
      <c r="B34" s="12"/>
      <c r="C34" s="206" t="s">
        <v>12</v>
      </c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8"/>
    </row>
    <row r="35" spans="1:15" x14ac:dyDescent="0.25">
      <c r="A35" s="6" t="s">
        <v>9</v>
      </c>
      <c r="B35" s="51" t="s">
        <v>21</v>
      </c>
      <c r="C35" s="163">
        <f>'2017 01'!C37</f>
        <v>43719395</v>
      </c>
      <c r="D35" s="162">
        <f>'2017 02'!C37</f>
        <v>38434825</v>
      </c>
      <c r="E35" s="162">
        <f>'2017 03'!C37</f>
        <v>41773826.639999993</v>
      </c>
      <c r="F35" s="162">
        <f>'2017 04'!C37</f>
        <v>36879706.910000078</v>
      </c>
      <c r="G35" s="162">
        <f>'2017 05'!C37</f>
        <v>38390729.510000028</v>
      </c>
      <c r="H35" s="162">
        <f>'2017 06'!C37</f>
        <v>41172178.64000006</v>
      </c>
      <c r="I35" s="162">
        <f>'2017 07'!C37</f>
        <v>38785383.460000001</v>
      </c>
      <c r="J35" s="162">
        <f>'2017 08'!C37</f>
        <v>36689563.009999909</v>
      </c>
      <c r="K35" s="162">
        <f>'2017 09'!C37</f>
        <v>34800955.980000027</v>
      </c>
      <c r="L35" s="162">
        <f>'2017 10'!C37</f>
        <v>33323620.710000046</v>
      </c>
      <c r="M35" s="162">
        <f>'2017 11'!C37</f>
        <v>33871253.840000018</v>
      </c>
      <c r="N35" s="162">
        <f>'2017 12'!C37</f>
        <v>39617270.329999976</v>
      </c>
      <c r="O35" s="162">
        <f t="shared" ref="O35:O43" si="2">SUM(C35:N35)</f>
        <v>457458709.03000015</v>
      </c>
    </row>
    <row r="36" spans="1:15" ht="17.25" x14ac:dyDescent="0.25">
      <c r="A36" s="7" t="s">
        <v>103</v>
      </c>
      <c r="B36" s="52" t="s">
        <v>22</v>
      </c>
      <c r="C36" s="167">
        <f>'2017 01'!C38</f>
        <v>1000353.9660048016</v>
      </c>
      <c r="D36" s="131">
        <f>'2017 02'!C38</f>
        <v>987588.01456340495</v>
      </c>
      <c r="E36" s="131">
        <f>'2017 03'!C38</f>
        <v>1039530.5176943784</v>
      </c>
      <c r="F36" s="131">
        <f>'2017 04'!C38</f>
        <v>865764.16435980471</v>
      </c>
      <c r="G36" s="131">
        <f>'2017 05'!C38</f>
        <v>863547.83146997751</v>
      </c>
      <c r="H36" s="131">
        <f>'2017 06'!C38</f>
        <v>876822.66788144282</v>
      </c>
      <c r="I36" s="131">
        <f>'2017 07'!C38</f>
        <v>925107.88466342073</v>
      </c>
      <c r="J36" s="131">
        <f>'2017 08'!C38</f>
        <v>896266.71796215489</v>
      </c>
      <c r="K36" s="131">
        <f>'2017 09'!C38</f>
        <v>857130.49558034691</v>
      </c>
      <c r="L36" s="131">
        <f>'2017 10'!C38</f>
        <v>850277.50284515216</v>
      </c>
      <c r="M36" s="131">
        <f>'2017 11'!C38</f>
        <v>953650.64792775072</v>
      </c>
      <c r="N36" s="131">
        <f>'2017 12'!C38</f>
        <v>1151307.8357244649</v>
      </c>
      <c r="O36" s="131">
        <f t="shared" si="2"/>
        <v>11267348.246677101</v>
      </c>
    </row>
    <row r="37" spans="1:15" ht="17.25" x14ac:dyDescent="0.25">
      <c r="A37" s="7" t="s">
        <v>104</v>
      </c>
      <c r="B37" s="52" t="s">
        <v>23</v>
      </c>
      <c r="C37" s="167">
        <f>'2017 01'!C39</f>
        <v>495365.83399519819</v>
      </c>
      <c r="D37" s="131">
        <f>'2017 02'!C39</f>
        <v>489044.25543659501</v>
      </c>
      <c r="E37" s="131">
        <f>'2017 03'!C39</f>
        <v>514765.69230562157</v>
      </c>
      <c r="F37" s="131">
        <f>'2017 04'!C39</f>
        <v>428718.23564019537</v>
      </c>
      <c r="G37" s="131">
        <f>'2017 05'!C39</f>
        <v>427620.72853002214</v>
      </c>
      <c r="H37" s="131">
        <f>'2017 06'!C39</f>
        <v>434194.3021185571</v>
      </c>
      <c r="I37" s="131">
        <f>'2017 07'!C39</f>
        <v>458104.68533657957</v>
      </c>
      <c r="J37" s="131">
        <f>'2017 08'!C39</f>
        <v>443822.81203784514</v>
      </c>
      <c r="K37" s="131">
        <f>'2017 09'!C39</f>
        <v>424442.92441965296</v>
      </c>
      <c r="L37" s="131">
        <f>'2017 10'!C39</f>
        <v>421049.38715484797</v>
      </c>
      <c r="M37" s="131">
        <f>'2017 11'!C39</f>
        <v>472238.79207224923</v>
      </c>
      <c r="N37" s="131">
        <f>'2017 12'!C39</f>
        <v>570116.76427553524</v>
      </c>
      <c r="O37" s="131">
        <f t="shared" si="2"/>
        <v>5579484.4133228995</v>
      </c>
    </row>
    <row r="38" spans="1:15" ht="17.25" x14ac:dyDescent="0.25">
      <c r="A38" s="7" t="s">
        <v>105</v>
      </c>
      <c r="B38" s="52" t="s">
        <v>24</v>
      </c>
      <c r="C38" s="167">
        <f>'2017 01'!C40</f>
        <v>14417918.636773286</v>
      </c>
      <c r="D38" s="131">
        <f>'2017 02'!C40</f>
        <v>12277759.149390006</v>
      </c>
      <c r="E38" s="131">
        <f>'2017 03'!C40</f>
        <v>12975926.132550664</v>
      </c>
      <c r="F38" s="131">
        <f>'2017 04'!C40</f>
        <v>11194396.892287478</v>
      </c>
      <c r="G38" s="131">
        <f>'2017 05'!C40</f>
        <v>11573929.365160177</v>
      </c>
      <c r="H38" s="131">
        <f>'2017 06'!C40</f>
        <v>13074147.295666374</v>
      </c>
      <c r="I38" s="131">
        <f>'2017 07'!C40</f>
        <v>14993911.242344838</v>
      </c>
      <c r="J38" s="131">
        <f>'2017 08'!C40</f>
        <v>13923063.727969464</v>
      </c>
      <c r="K38" s="131">
        <f>'2017 09'!C40</f>
        <v>12854285.019668249</v>
      </c>
      <c r="L38" s="131">
        <f>'2017 10'!C40</f>
        <v>12216389.744333686</v>
      </c>
      <c r="M38" s="131">
        <f>'2017 11'!C40</f>
        <v>12449996.553083612</v>
      </c>
      <c r="N38" s="131">
        <f>'2017 12'!C40</f>
        <v>15524237.08914591</v>
      </c>
      <c r="O38" s="131">
        <f t="shared" si="2"/>
        <v>157475960.84837374</v>
      </c>
    </row>
    <row r="39" spans="1:15" ht="17.25" x14ac:dyDescent="0.25">
      <c r="A39" s="7" t="s">
        <v>106</v>
      </c>
      <c r="B39" s="52" t="s">
        <v>25</v>
      </c>
      <c r="C39" s="167">
        <f>'2017 01'!C41</f>
        <v>3730616.5861299122</v>
      </c>
      <c r="D39" s="131">
        <f>'2017 02'!C41</f>
        <v>3176853.2669063136</v>
      </c>
      <c r="E39" s="131">
        <f>'2017 03'!C41</f>
        <v>3357503.0120522152</v>
      </c>
      <c r="F39" s="131">
        <f>'2017 04'!C41</f>
        <v>2896534.7752465256</v>
      </c>
      <c r="G39" s="131">
        <f>'2017 05'!C41</f>
        <v>2994738.2797844503</v>
      </c>
      <c r="H39" s="131">
        <f>'2017 06'!C41</f>
        <v>3382917.6027056719</v>
      </c>
      <c r="I39" s="131">
        <f>'2017 07'!C41</f>
        <v>3879653.8793736696</v>
      </c>
      <c r="J39" s="131">
        <f>'2017 08'!C41</f>
        <v>3602573.5601550825</v>
      </c>
      <c r="K39" s="131">
        <f>'2017 09'!C41</f>
        <v>3326028.5416583386</v>
      </c>
      <c r="L39" s="131">
        <f>'2017 10'!C41</f>
        <v>3160974.0178862712</v>
      </c>
      <c r="M39" s="131">
        <f>'2017 11'!C41</f>
        <v>3221419.4578496078</v>
      </c>
      <c r="N39" s="131">
        <f>'2017 12'!C41</f>
        <v>4016874.9616929581</v>
      </c>
      <c r="O39" s="131">
        <f t="shared" si="2"/>
        <v>40746687.941441014</v>
      </c>
    </row>
    <row r="40" spans="1:15" ht="17.25" x14ac:dyDescent="0.25">
      <c r="A40" s="7" t="s">
        <v>107</v>
      </c>
      <c r="B40" s="52" t="s">
        <v>26</v>
      </c>
      <c r="C40" s="166">
        <f>'2017 01'!C42</f>
        <v>4037278.5870966921</v>
      </c>
      <c r="D40" s="165">
        <f>'2017 02'!C42</f>
        <v>3437995.1337037222</v>
      </c>
      <c r="E40" s="165">
        <f>'2017 03'!C42</f>
        <v>3633494.5453971182</v>
      </c>
      <c r="F40" s="165">
        <f>'2017 04'!C42</f>
        <v>3134634.0624660752</v>
      </c>
      <c r="G40" s="165">
        <f>'2017 05'!C42</f>
        <v>3240910.0350553985</v>
      </c>
      <c r="H40" s="165">
        <f>'2017 06'!C42</f>
        <v>3660998.2516280152</v>
      </c>
      <c r="I40" s="165">
        <f>'2017 07'!C42</f>
        <v>4198566.9582814863</v>
      </c>
      <c r="J40" s="165">
        <f>'2017 08'!C42</f>
        <v>3898710.2418753682</v>
      </c>
      <c r="K40" s="165">
        <f>'2017 09'!C42</f>
        <v>3599432.8286734419</v>
      </c>
      <c r="L40" s="165">
        <f>'2017 10'!C42</f>
        <v>3420810.5877800956</v>
      </c>
      <c r="M40" s="165">
        <f>'2017 11'!C42</f>
        <v>3486224.729066798</v>
      </c>
      <c r="N40" s="165">
        <f>'2017 12'!C42</f>
        <v>4347067.8091611015</v>
      </c>
      <c r="O40" s="165">
        <f t="shared" si="2"/>
        <v>44096123.770185314</v>
      </c>
    </row>
    <row r="41" spans="1:15" x14ac:dyDescent="0.25">
      <c r="A41" s="17" t="s">
        <v>108</v>
      </c>
      <c r="B41" s="30" t="s">
        <v>27</v>
      </c>
      <c r="C41" s="133">
        <f>'2017 01'!C43</f>
        <v>23681533.609999888</v>
      </c>
      <c r="D41" s="133">
        <f>'2017 02'!C43</f>
        <v>20369239.820000045</v>
      </c>
      <c r="E41" s="133">
        <f>'2017 03'!C43</f>
        <v>21521219.899999999</v>
      </c>
      <c r="F41" s="133">
        <f>'2017 04'!C43</f>
        <v>18520048.130000077</v>
      </c>
      <c r="G41" s="133">
        <f>'2017 05'!C43</f>
        <v>19100746.240000024</v>
      </c>
      <c r="H41" s="133">
        <f>'2017 06'!C43</f>
        <v>21429080.120000061</v>
      </c>
      <c r="I41" s="133">
        <f>'2017 07'!C43</f>
        <v>24455344.649999995</v>
      </c>
      <c r="J41" s="133">
        <f>'2017 08'!C43</f>
        <v>22764437.059999917</v>
      </c>
      <c r="K41" s="133">
        <f>'2017 09'!C43</f>
        <v>21061319.810000028</v>
      </c>
      <c r="L41" s="133">
        <f>'2017 10'!C43</f>
        <v>20069501.240000054</v>
      </c>
      <c r="M41" s="133">
        <f>'2017 11'!C43</f>
        <v>20583530.180000015</v>
      </c>
      <c r="N41" s="133">
        <f>'2017 12'!C43</f>
        <v>25609604.459999971</v>
      </c>
      <c r="O41" s="133">
        <f t="shared" si="2"/>
        <v>259165605.22000009</v>
      </c>
    </row>
    <row r="42" spans="1:15" x14ac:dyDescent="0.25">
      <c r="A42" s="8" t="s">
        <v>0</v>
      </c>
      <c r="B42" s="29" t="s">
        <v>28</v>
      </c>
      <c r="C42" s="132">
        <f>'2017 01'!C44</f>
        <v>2.1836734770413917E-2</v>
      </c>
      <c r="D42" s="132">
        <f>'2017 02'!C44</f>
        <v>2.1155348925366371E-2</v>
      </c>
      <c r="E42" s="132">
        <f>'2017 03'!C44</f>
        <v>2.629698998113765E-2</v>
      </c>
      <c r="F42" s="132">
        <f>'2017 04'!C44</f>
        <v>1.1509408801371988E-2</v>
      </c>
      <c r="G42" s="132">
        <f>'2017 05'!C44</f>
        <v>3.294447114872299E-3</v>
      </c>
      <c r="H42" s="132">
        <f>'2017 06'!C44</f>
        <v>6.3189842183620625E-3</v>
      </c>
      <c r="I42" s="132">
        <f>'2017 07'!C44</f>
        <v>1.437143120646947E-2</v>
      </c>
      <c r="J42" s="132">
        <f>'2017 08'!C44</f>
        <v>1.7972677309372225E-2</v>
      </c>
      <c r="K42" s="132">
        <f>'2017 09'!C44</f>
        <v>2.4152361368205245E-2</v>
      </c>
      <c r="L42" s="132">
        <f>'2017 10'!C44</f>
        <v>8.8418800982150002E-3</v>
      </c>
      <c r="M42" s="132">
        <f>'2017 11'!C44</f>
        <v>1.420720231910509E-2</v>
      </c>
      <c r="N42" s="132">
        <f>'2017 12'!C44</f>
        <v>2.0678072859468485E-2</v>
      </c>
      <c r="O42" s="132"/>
    </row>
    <row r="43" spans="1:15" ht="17.25" x14ac:dyDescent="0.25">
      <c r="A43" s="8" t="s">
        <v>81</v>
      </c>
      <c r="B43" s="29" t="s">
        <v>29</v>
      </c>
      <c r="C43" s="131">
        <f>'2017 01'!C45</f>
        <v>43933204.761904761</v>
      </c>
      <c r="D43" s="131">
        <f>'2017 02'!C45</f>
        <v>38324829</v>
      </c>
      <c r="E43" s="131">
        <f>'2017 03'!C45</f>
        <v>42750762</v>
      </c>
      <c r="F43" s="131">
        <f>'2017 04'!C45</f>
        <v>36992119</v>
      </c>
      <c r="G43" s="131">
        <f>'2017 05'!C45</f>
        <v>37865343</v>
      </c>
      <c r="H43" s="131">
        <f>'2017 06'!C45</f>
        <v>41420162</v>
      </c>
      <c r="I43" s="131">
        <f>'2017 07'!C45</f>
        <v>45550933</v>
      </c>
      <c r="J43" s="131">
        <f>'2017 08'!C45</f>
        <v>43657633</v>
      </c>
      <c r="K43" s="131">
        <f>'2017 09'!C45</f>
        <v>40733567</v>
      </c>
      <c r="L43" s="131">
        <f>'2017 10'!C45</f>
        <v>38181133</v>
      </c>
      <c r="M43" s="131">
        <f>'2017 11'!C45</f>
        <v>40325900</v>
      </c>
      <c r="N43" s="131">
        <f>'2017 12'!C45</f>
        <v>45098133</v>
      </c>
      <c r="O43" s="131">
        <f t="shared" si="2"/>
        <v>494833718.76190478</v>
      </c>
    </row>
    <row r="44" spans="1:15" ht="17.25" x14ac:dyDescent="0.25">
      <c r="A44" s="8" t="s">
        <v>32</v>
      </c>
      <c r="B44" s="29" t="s">
        <v>30</v>
      </c>
      <c r="C44" s="132">
        <f>'2017 01'!C46</f>
        <v>82.27</v>
      </c>
      <c r="D44" s="132">
        <f>'2017 02'!C46</f>
        <v>86.39</v>
      </c>
      <c r="E44" s="132">
        <f>'2017 03'!C46</f>
        <v>71.349999999999994</v>
      </c>
      <c r="F44" s="132">
        <f>'2017 04'!C46</f>
        <v>107.78</v>
      </c>
      <c r="G44" s="132">
        <f>'2017 05'!C46</f>
        <v>123.07</v>
      </c>
      <c r="H44" s="132">
        <f>'2017 06'!C46</f>
        <v>118.48</v>
      </c>
      <c r="I44" s="132">
        <f>'2017 07'!C46</f>
        <v>112.8</v>
      </c>
      <c r="J44" s="132">
        <f>'2017 08'!C46</f>
        <v>101.09</v>
      </c>
      <c r="K44" s="132">
        <v>88.64</v>
      </c>
      <c r="L44" s="132">
        <f>'2017 10'!C46</f>
        <v>125.63</v>
      </c>
      <c r="M44" s="132">
        <f>'2017 11'!C46</f>
        <v>97.04</v>
      </c>
      <c r="N44" s="132">
        <f>'2017 12'!C46</f>
        <v>92.07</v>
      </c>
      <c r="O44" s="132"/>
    </row>
    <row r="45" spans="1:15" ht="15.75" thickBot="1" x14ac:dyDescent="0.3">
      <c r="A45" s="9" t="s">
        <v>33</v>
      </c>
      <c r="B45" s="31" t="s">
        <v>31</v>
      </c>
      <c r="C45" s="196">
        <f>'2017 01'!C47</f>
        <v>8.2269999999999996E-2</v>
      </c>
      <c r="D45" s="196">
        <f>'2017 02'!C47</f>
        <v>8.6389999999999995E-2</v>
      </c>
      <c r="E45" s="196">
        <f>'2017 03'!C47</f>
        <v>7.1349999999999997E-2</v>
      </c>
      <c r="F45" s="196">
        <f>'2017 04'!C47</f>
        <v>0.10778</v>
      </c>
      <c r="G45" s="196">
        <f>'2017 05'!C47</f>
        <v>0.12307</v>
      </c>
      <c r="H45" s="196">
        <f>'2017 06'!C47</f>
        <v>0.11848</v>
      </c>
      <c r="I45" s="196">
        <f>'2017 07'!C47</f>
        <v>0.1128</v>
      </c>
      <c r="J45" s="196">
        <f>'2017 08'!C47</f>
        <v>0.10109</v>
      </c>
      <c r="K45" s="196">
        <f>'2017 09'!C47</f>
        <v>8.9639999999999997E-2</v>
      </c>
      <c r="L45" s="196">
        <f>'2017 10'!C47</f>
        <v>0.12562999999999999</v>
      </c>
      <c r="M45" s="196">
        <f>'2017 11'!C47</f>
        <v>9.7040000000000001E-2</v>
      </c>
      <c r="N45" s="196">
        <f>'2017 12'!C47</f>
        <v>9.2069999999999999E-2</v>
      </c>
      <c r="O45" s="195"/>
    </row>
    <row r="46" spans="1:15" ht="8.25" customHeight="1" thickBot="1" x14ac:dyDescent="0.3">
      <c r="B46" s="179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8"/>
    </row>
    <row r="47" spans="1:15" ht="15.75" thickBot="1" x14ac:dyDescent="0.3">
      <c r="A47" s="203" t="s">
        <v>88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5"/>
    </row>
    <row r="48" spans="1:15" x14ac:dyDescent="0.25">
      <c r="A48" s="8" t="s">
        <v>16</v>
      </c>
      <c r="B48" s="29" t="s">
        <v>37</v>
      </c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</row>
    <row r="49" spans="1:16" x14ac:dyDescent="0.25">
      <c r="A49" s="160" t="s">
        <v>17</v>
      </c>
      <c r="B49" s="161" t="s">
        <v>38</v>
      </c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</row>
    <row r="50" spans="1:16" x14ac:dyDescent="0.25">
      <c r="A50" s="8" t="s">
        <v>109</v>
      </c>
      <c r="B50" s="29" t="s">
        <v>39</v>
      </c>
      <c r="C50" s="107">
        <f>'2017 01'!H52</f>
        <v>23681533.609999888</v>
      </c>
      <c r="D50" s="107">
        <f>'2017 02'!H52</f>
        <v>20369239.820000045</v>
      </c>
      <c r="E50" s="107">
        <f>'2017 03'!H52</f>
        <v>21521219.899999999</v>
      </c>
      <c r="F50" s="107">
        <f>'2017 04'!H52</f>
        <v>18520048.130000077</v>
      </c>
      <c r="G50" s="107">
        <f>'2017 05'!H52</f>
        <v>19100746.240000024</v>
      </c>
      <c r="H50" s="107">
        <f>'2017 06'!H52</f>
        <v>21429080.120000061</v>
      </c>
      <c r="I50" s="107">
        <f>'2017 07'!H52</f>
        <v>24455344.649999995</v>
      </c>
      <c r="J50" s="107">
        <f>'2017 08'!H52</f>
        <v>22764437.059999917</v>
      </c>
      <c r="K50" s="107">
        <f>'2017 09'!H52</f>
        <v>21061319.810000028</v>
      </c>
      <c r="L50" s="107">
        <f>'2017 10'!H52</f>
        <v>20069501.240000054</v>
      </c>
      <c r="M50" s="107">
        <f>'2017 11'!H52</f>
        <v>20583530.180000015</v>
      </c>
      <c r="N50" s="107">
        <f>'2017 12'!H52</f>
        <v>25609604.459999971</v>
      </c>
      <c r="O50" s="107">
        <f t="shared" ref="O50:O57" si="3">SUM(C50:N50)</f>
        <v>259165605.22000009</v>
      </c>
    </row>
    <row r="51" spans="1:16" ht="12" customHeight="1" x14ac:dyDescent="0.25">
      <c r="A51" s="8"/>
      <c r="B51" s="29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6" x14ac:dyDescent="0.25">
      <c r="A52" s="8" t="s">
        <v>89</v>
      </c>
      <c r="B52" s="29" t="s">
        <v>40</v>
      </c>
      <c r="C52" s="110">
        <f>'2017 01'!H54</f>
        <v>2636486.1808577422</v>
      </c>
      <c r="D52" s="110">
        <f>'2017 02'!H54</f>
        <v>2267244.7217030926</v>
      </c>
      <c r="E52" s="110">
        <f>'2017 03'!H54</f>
        <v>2395483.2813857826</v>
      </c>
      <c r="F52" s="110">
        <f>'2017 04'!H54</f>
        <v>2061537.8666469688</v>
      </c>
      <c r="G52" s="110">
        <f>'2017 05'!H54</f>
        <v>1862331.5121246241</v>
      </c>
      <c r="H52" s="110">
        <f>'2017 06'!H54</f>
        <v>2089571.2151794285</v>
      </c>
      <c r="I52" s="110">
        <f>'2017 07'!H54</f>
        <v>2384850.9806300192</v>
      </c>
      <c r="J52" s="110">
        <f>'2017 08'!H54</f>
        <v>2219869.7167361737</v>
      </c>
      <c r="K52" s="110">
        <f>'2017 09'!H54</f>
        <v>2053721.9509098725</v>
      </c>
      <c r="L52" s="110">
        <f>'2017 10'!H54</f>
        <v>1956925.8244136404</v>
      </c>
      <c r="M52" s="110">
        <f>'2017 11'!H54</f>
        <v>1691398.8798599041</v>
      </c>
      <c r="N52" s="110">
        <f>'2017 12'!H54</f>
        <v>2104452.6951001626</v>
      </c>
      <c r="O52" s="110">
        <f t="shared" si="3"/>
        <v>25723874.825547412</v>
      </c>
    </row>
    <row r="53" spans="1:16" x14ac:dyDescent="0.25">
      <c r="A53" s="8" t="s">
        <v>90</v>
      </c>
      <c r="B53" s="29" t="s">
        <v>41</v>
      </c>
      <c r="C53" s="110">
        <f>'2017 01'!H55</f>
        <v>517127.36839821038</v>
      </c>
      <c r="D53" s="110">
        <f>'2017 02'!H55</f>
        <v>430918.37573656777</v>
      </c>
      <c r="E53" s="110">
        <f>'2017 03'!H55</f>
        <v>565943.30409216019</v>
      </c>
      <c r="F53" s="110">
        <f>'2017 04'!H55</f>
        <v>213154.80494925572</v>
      </c>
      <c r="G53" s="110">
        <f>'2017 05'!H55</f>
        <v>62926.398342275992</v>
      </c>
      <c r="H53" s="110">
        <f>'2017 06'!H55</f>
        <v>135410.0190922966</v>
      </c>
      <c r="I53" s="110">
        <f>'2017 07'!H55</f>
        <v>351458.30326797615</v>
      </c>
      <c r="J53" s="110">
        <f>'2017 08'!H55</f>
        <v>409137.88140889263</v>
      </c>
      <c r="K53" s="110">
        <f>'2017 09'!H55</f>
        <v>508680.60694246052</v>
      </c>
      <c r="L53" s="110">
        <f>'2017 10'!H55</f>
        <v>177452.12359505772</v>
      </c>
      <c r="M53" s="110">
        <f>'2017 11'!H55</f>
        <v>292434.37770866585</v>
      </c>
      <c r="N53" s="110">
        <f>'2017 12'!H55</f>
        <v>529557.26692604844</v>
      </c>
      <c r="O53" s="110">
        <f t="shared" si="3"/>
        <v>4194200.8304598676</v>
      </c>
    </row>
    <row r="54" spans="1:16" ht="15.75" thickBot="1" x14ac:dyDescent="0.3">
      <c r="A54" s="9" t="s">
        <v>91</v>
      </c>
      <c r="B54" s="31" t="s">
        <v>42</v>
      </c>
      <c r="C54" s="111">
        <f>'2017 01'!H56</f>
        <v>1948279.7700946911</v>
      </c>
      <c r="D54" s="111">
        <f>'2017 02'!H56</f>
        <v>1759698.6280498034</v>
      </c>
      <c r="E54" s="111">
        <f>'2017 03'!H56</f>
        <v>1535539.0398649997</v>
      </c>
      <c r="F54" s="111">
        <f>'2017 04'!H56</f>
        <v>1996090.7874514083</v>
      </c>
      <c r="G54" s="111">
        <f>'2017 05'!H56</f>
        <v>2350728.8397568031</v>
      </c>
      <c r="H54" s="111">
        <f>'2017 06'!H56</f>
        <v>2538917.412617607</v>
      </c>
      <c r="I54" s="111">
        <f>'2017 07'!H56</f>
        <v>2758562.876519999</v>
      </c>
      <c r="J54" s="111">
        <f>'2017 08'!H56</f>
        <v>2301256.9423953914</v>
      </c>
      <c r="K54" s="111">
        <f>'2017 09'!H56</f>
        <v>1887936.7077684028</v>
      </c>
      <c r="L54" s="111">
        <f>'2017 10'!H56</f>
        <v>2521331.4407812064</v>
      </c>
      <c r="M54" s="111">
        <f>'2017 11'!H56</f>
        <v>1997425.768667202</v>
      </c>
      <c r="N54" s="111">
        <f>'2017 12'!H56</f>
        <v>2357876.2826321973</v>
      </c>
      <c r="O54" s="111">
        <f t="shared" si="3"/>
        <v>25953644.496599715</v>
      </c>
    </row>
    <row r="55" spans="1:16" x14ac:dyDescent="0.25">
      <c r="A55" s="139" t="s">
        <v>20</v>
      </c>
      <c r="B55" s="140" t="s">
        <v>43</v>
      </c>
      <c r="C55" s="141">
        <f>'2017 01'!H57</f>
        <v>171079.04236484109</v>
      </c>
      <c r="D55" s="141">
        <f>'2017 02'!H57</f>
        <v>76627.717916721216</v>
      </c>
      <c r="E55" s="141">
        <f>'2017 03'!H57</f>
        <v>294000.93742862262</v>
      </c>
      <c r="F55" s="141">
        <f>'2017 04'!H57</f>
        <v>-147707.72575369524</v>
      </c>
      <c r="G55" s="141">
        <f>'2017 05'!H57</f>
        <v>-551323.72597445454</v>
      </c>
      <c r="H55" s="141">
        <f>'2017 06'!H57</f>
        <v>-584756.21653047553</v>
      </c>
      <c r="I55" s="141">
        <f>'2017 07'!H57</f>
        <v>-725170.19915795629</v>
      </c>
      <c r="J55" s="141">
        <f>'2017 08'!H57</f>
        <v>-490525.10706811043</v>
      </c>
      <c r="K55" s="141">
        <f>'2017 09'!H57</f>
        <v>-342895.36380099057</v>
      </c>
      <c r="L55" s="141">
        <f>'2017 10'!H57</f>
        <v>-741857.73996262392</v>
      </c>
      <c r="M55" s="141">
        <f>'2017 11'!H57</f>
        <v>-598461.26651596348</v>
      </c>
      <c r="N55" s="141">
        <f>'2017 12'!H57</f>
        <v>-782980.85445808317</v>
      </c>
      <c r="O55" s="141">
        <f t="shared" si="3"/>
        <v>-4423970.5015121689</v>
      </c>
    </row>
    <row r="56" spans="1:16" x14ac:dyDescent="0.25">
      <c r="A56" s="76" t="s">
        <v>18</v>
      </c>
      <c r="B56" s="77" t="s">
        <v>44</v>
      </c>
      <c r="C56" s="112">
        <f>'2017 01'!H58</f>
        <v>418829.67894242855</v>
      </c>
      <c r="D56" s="112">
        <f>'2017 02'!H58</f>
        <v>333367.4957832488</v>
      </c>
      <c r="E56" s="112">
        <f>'2017 03'!H58</f>
        <v>432155.49295787176</v>
      </c>
      <c r="F56" s="112">
        <f>'2017 04'!H58</f>
        <v>227855.51818501839</v>
      </c>
      <c r="G56" s="112">
        <f>'2017 05'!H58</f>
        <v>99287.070774880762</v>
      </c>
      <c r="H56" s="112">
        <f>'2017 06'!H58</f>
        <v>117887.86247722252</v>
      </c>
      <c r="I56" s="112">
        <f>'2017 07'!H58</f>
        <v>125237.2433493436</v>
      </c>
      <c r="J56" s="112">
        <f>'2017 08'!H58</f>
        <v>147906.62852328125</v>
      </c>
      <c r="K56" s="112">
        <f>'2017 09'!H58</f>
        <v>155522.99294074089</v>
      </c>
      <c r="L56" s="112">
        <f>'2017 10'!H58</f>
        <v>77064.431082805619</v>
      </c>
      <c r="M56" s="112">
        <f>'2017 11'!H58</f>
        <v>72348.916472455894</v>
      </c>
      <c r="N56" s="112">
        <f>'2017 12'!H58</f>
        <v>83689.432736919436</v>
      </c>
      <c r="O56" s="112">
        <f t="shared" si="3"/>
        <v>2291152.7642262173</v>
      </c>
    </row>
    <row r="57" spans="1:16" ht="15.75" thickBot="1" x14ac:dyDescent="0.3">
      <c r="A57" s="81" t="s">
        <v>19</v>
      </c>
      <c r="B57" s="82" t="s">
        <v>45</v>
      </c>
      <c r="C57" s="113">
        <f>'2017 01'!H59</f>
        <v>247750.63657758746</v>
      </c>
      <c r="D57" s="113">
        <f>'2017 02'!H59</f>
        <v>256739.77786652755</v>
      </c>
      <c r="E57" s="113">
        <f>'2017 03'!H59</f>
        <v>138154.55552924913</v>
      </c>
      <c r="F57" s="113">
        <f>'2017 04'!H59</f>
        <v>375563.24393871363</v>
      </c>
      <c r="G57" s="113">
        <f>'2017 05'!H59</f>
        <v>650610.79674933536</v>
      </c>
      <c r="H57" s="113">
        <f>'2017 06'!H59</f>
        <v>702644.07900769799</v>
      </c>
      <c r="I57" s="113">
        <f>'2017 07'!H59</f>
        <v>850407.44250729983</v>
      </c>
      <c r="J57" s="113">
        <f>'2017 08'!H59</f>
        <v>638431.73559139168</v>
      </c>
      <c r="K57" s="113">
        <f>'2017 09'!H59</f>
        <v>498418.35674173146</v>
      </c>
      <c r="L57" s="113">
        <f>'2017 10'!H59</f>
        <v>818922.17104542954</v>
      </c>
      <c r="M57" s="113">
        <f>'2017 11'!H59</f>
        <v>670810.18298841943</v>
      </c>
      <c r="N57" s="113">
        <f>'2017 12'!H59</f>
        <v>866670.28719500266</v>
      </c>
      <c r="O57" s="113">
        <f t="shared" si="3"/>
        <v>6715123.2657383857</v>
      </c>
    </row>
    <row r="58" spans="1:16" ht="9" customHeight="1" x14ac:dyDescent="0.25">
      <c r="B58" s="169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68"/>
    </row>
    <row r="59" spans="1:16" ht="15.75" thickBot="1" x14ac:dyDescent="0.3">
      <c r="A59" s="86" t="s">
        <v>36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</row>
    <row r="60" spans="1:16" x14ac:dyDescent="0.25">
      <c r="A60" s="142" t="s">
        <v>100</v>
      </c>
      <c r="B60" s="143"/>
      <c r="C60" s="144">
        <f>'2017 01'!H62</f>
        <v>526391.04236484109</v>
      </c>
      <c r="D60" s="144">
        <f>'2017 02'!H62</f>
        <v>-213082.28208327881</v>
      </c>
      <c r="E60" s="144">
        <f>'2017 03'!H62</f>
        <v>460208.93742862262</v>
      </c>
      <c r="F60" s="144">
        <f>'2017 04'!H62</f>
        <v>-180775.72575369524</v>
      </c>
      <c r="G60" s="144">
        <f>'2017 05'!H62</f>
        <v>-936248.72597445454</v>
      </c>
      <c r="H60" s="144">
        <f>'2017 06'!H62</f>
        <v>-375416.21653047547</v>
      </c>
      <c r="I60" s="144">
        <f>'2017 07'!H62</f>
        <v>-152305.19915795617</v>
      </c>
      <c r="J60" s="144">
        <f>'2017 08'!H62</f>
        <v>363570.89293188957</v>
      </c>
      <c r="K60" s="144">
        <f>'2017 09'!H62</f>
        <v>888795.63619900937</v>
      </c>
      <c r="L60" s="144">
        <f>'2017 10'!H62</f>
        <v>677384.26003737608</v>
      </c>
      <c r="M60" s="144">
        <f>'2017 11'!H62</f>
        <v>121340.73348403641</v>
      </c>
      <c r="N60" s="144">
        <f>'2017 12'!H62</f>
        <v>-135121.85445808317</v>
      </c>
      <c r="O60" s="144">
        <f t="shared" ref="O60:O62" si="4">SUM(C60:N60)</f>
        <v>1044741.4984878318</v>
      </c>
    </row>
    <row r="61" spans="1:16" x14ac:dyDescent="0.25">
      <c r="A61" s="145" t="s">
        <v>101</v>
      </c>
      <c r="B61" s="146" t="s">
        <v>66</v>
      </c>
      <c r="C61" s="147">
        <f>'2017 01'!H63</f>
        <v>547015.55242552957</v>
      </c>
      <c r="D61" s="147">
        <f>'2017 02'!H63</f>
        <v>234594.49578324877</v>
      </c>
      <c r="E61" s="147">
        <f>'2017 03'!H63</f>
        <v>495408.49295787176</v>
      </c>
      <c r="F61" s="147">
        <f>'2017 04'!H63</f>
        <v>216456.15654444095</v>
      </c>
      <c r="G61" s="147">
        <f>'2017 05'!H63</f>
        <v>36046.070774880762</v>
      </c>
      <c r="H61" s="147">
        <f>'2017 06'!H63</f>
        <v>150893.86247722252</v>
      </c>
      <c r="I61" s="147">
        <f>'2017 07'!H63</f>
        <v>264276.26346192253</v>
      </c>
      <c r="J61" s="147">
        <f>'2017 08'!H63</f>
        <v>447795.22967929416</v>
      </c>
      <c r="K61" s="147">
        <f>'2017 09'!H63</f>
        <v>888795.63619900937</v>
      </c>
      <c r="L61" s="147">
        <f>'2017 10'!H63</f>
        <v>677384.26003737608</v>
      </c>
      <c r="M61" s="147">
        <f>'2017 11'!H63</f>
        <v>263376.1096279826</v>
      </c>
      <c r="N61" s="147">
        <f>'2017 12'!H63</f>
        <v>231316.58555727382</v>
      </c>
      <c r="O61" s="147">
        <f t="shared" si="4"/>
        <v>4453358.7155260528</v>
      </c>
    </row>
    <row r="62" spans="1:16" ht="15.75" thickBot="1" x14ac:dyDescent="0.3">
      <c r="A62" s="148" t="s">
        <v>102</v>
      </c>
      <c r="B62" s="149" t="s">
        <v>67</v>
      </c>
      <c r="C62" s="150">
        <f>'2017 01'!H64</f>
        <v>20624.510060688481</v>
      </c>
      <c r="D62" s="150">
        <f>'2017 02'!H64</f>
        <v>447676.77786652755</v>
      </c>
      <c r="E62" s="150">
        <f>'2017 03'!H64</f>
        <v>35199.555529249134</v>
      </c>
      <c r="F62" s="150">
        <f>'2017 04'!H64</f>
        <v>397231.88229813619</v>
      </c>
      <c r="G62" s="150">
        <f>'2017 05'!H64</f>
        <v>972294.79674933536</v>
      </c>
      <c r="H62" s="150">
        <f>'2017 06'!H64</f>
        <v>526310.07900769799</v>
      </c>
      <c r="I62" s="150">
        <f>'2017 07'!H64</f>
        <v>416581.4626198787</v>
      </c>
      <c r="J62" s="150">
        <f>'2017 08'!H64</f>
        <v>84224.336747404537</v>
      </c>
      <c r="K62" s="150">
        <f>'2017 09'!H64</f>
        <v>0</v>
      </c>
      <c r="L62" s="150">
        <f>'2017 10'!H64</f>
        <v>0</v>
      </c>
      <c r="M62" s="150">
        <f>'2017 11'!H64</f>
        <v>142035.3761439462</v>
      </c>
      <c r="N62" s="150">
        <f>'2017 12'!H64</f>
        <v>366438.44001535699</v>
      </c>
      <c r="O62" s="150">
        <f t="shared" si="4"/>
        <v>3408617.2170382217</v>
      </c>
    </row>
    <row r="63" spans="1:16" x14ac:dyDescent="0.25">
      <c r="A63" s="129"/>
      <c r="C63" s="18"/>
    </row>
    <row r="64" spans="1:16" x14ac:dyDescent="0.25">
      <c r="O64" s="18"/>
      <c r="P64" s="126"/>
    </row>
  </sheetData>
  <sheetProtection password="CC7B" sheet="1" objects="1" scenarios="1"/>
  <mergeCells count="6">
    <mergeCell ref="A4:O4"/>
    <mergeCell ref="A31:O31"/>
    <mergeCell ref="A47:O47"/>
    <mergeCell ref="C34:O34"/>
    <mergeCell ref="A18:O18"/>
    <mergeCell ref="C6:O6"/>
  </mergeCells>
  <pageMargins left="0.11811023622047245" right="0.11811023622047245" top="0.35433070866141736" bottom="0.35433070866141736" header="0.11811023622047245" footer="0.11811023622047245"/>
  <pageSetup paperSize="17" scale="75" orientation="landscape" r:id="rId1"/>
  <headerFooter>
    <oddFooter>&amp;L&amp;9&amp;Z&amp;F  &amp;A  &amp;D  &amp;T&amp;R&amp;P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3:L65"/>
  <sheetViews>
    <sheetView zoomScale="80" zoomScaleNormal="80" workbookViewId="0">
      <selection activeCell="L38" sqref="L38"/>
    </sheetView>
  </sheetViews>
  <sheetFormatPr defaultRowHeight="15" x14ac:dyDescent="0.25"/>
  <cols>
    <col min="1" max="1" width="36" customWidth="1"/>
    <col min="2" max="2" width="11.140625" bestFit="1" customWidth="1"/>
    <col min="3" max="3" width="15.28515625" bestFit="1" customWidth="1"/>
    <col min="4" max="4" width="12.5703125" bestFit="1" customWidth="1"/>
    <col min="5" max="5" width="12.85546875" bestFit="1" customWidth="1"/>
    <col min="6" max="7" width="12.140625" bestFit="1" customWidth="1"/>
    <col min="8" max="8" width="13.28515625" bestFit="1" customWidth="1"/>
    <col min="9" max="9" width="5.28515625" customWidth="1"/>
  </cols>
  <sheetData>
    <row r="3" spans="1:11" ht="5.25" customHeight="1" x14ac:dyDescent="0.25">
      <c r="A3" s="1"/>
      <c r="B3" s="1"/>
      <c r="E3" s="3"/>
    </row>
    <row r="4" spans="1:11" x14ac:dyDescent="0.25">
      <c r="A4" s="1"/>
      <c r="B4" s="1"/>
      <c r="E4" s="3"/>
    </row>
    <row r="5" spans="1:11" s="61" customFormat="1" x14ac:dyDescent="0.25">
      <c r="A5" s="60" t="s">
        <v>34</v>
      </c>
      <c r="B5" s="60"/>
    </row>
    <row r="6" spans="1:11" x14ac:dyDescent="0.25">
      <c r="A6" s="1" t="s">
        <v>5</v>
      </c>
      <c r="B6" s="1"/>
      <c r="E6" s="99" t="s">
        <v>76</v>
      </c>
      <c r="F6" s="99">
        <v>2017</v>
      </c>
    </row>
    <row r="7" spans="1:11" ht="15.75" thickBot="1" x14ac:dyDescent="0.3">
      <c r="A7" s="1"/>
      <c r="B7" s="1"/>
      <c r="E7" s="3"/>
      <c r="J7" s="3"/>
      <c r="K7" s="3"/>
    </row>
    <row r="8" spans="1:11" ht="15.75" thickBot="1" x14ac:dyDescent="0.3">
      <c r="A8" s="12"/>
      <c r="B8" s="12"/>
      <c r="C8" s="14" t="s">
        <v>12</v>
      </c>
      <c r="D8" s="15" t="s">
        <v>13</v>
      </c>
      <c r="E8" s="3"/>
      <c r="J8" s="3"/>
      <c r="K8" s="3"/>
    </row>
    <row r="9" spans="1:11" x14ac:dyDescent="0.25">
      <c r="A9" s="6" t="s">
        <v>9</v>
      </c>
      <c r="B9" s="51" t="s">
        <v>46</v>
      </c>
      <c r="C9" s="180"/>
      <c r="D9" s="189"/>
      <c r="J9" s="3"/>
      <c r="K9" s="3"/>
    </row>
    <row r="10" spans="1:11" ht="17.25" x14ac:dyDescent="0.25">
      <c r="A10" s="7" t="s">
        <v>7</v>
      </c>
      <c r="B10" s="52" t="s">
        <v>47</v>
      </c>
      <c r="C10" s="54">
        <v>799818</v>
      </c>
      <c r="D10" s="190"/>
      <c r="E10" s="100"/>
      <c r="G10" s="100"/>
      <c r="J10" s="3"/>
      <c r="K10" s="3"/>
    </row>
    <row r="11" spans="1:11" ht="17.25" x14ac:dyDescent="0.25">
      <c r="A11" s="7" t="s">
        <v>8</v>
      </c>
      <c r="B11" s="52" t="s">
        <v>48</v>
      </c>
      <c r="C11" s="54">
        <v>565423</v>
      </c>
      <c r="D11" s="190"/>
      <c r="E11" s="100"/>
      <c r="F11" s="102"/>
      <c r="G11" s="100"/>
      <c r="J11" s="3"/>
      <c r="K11" s="3"/>
    </row>
    <row r="12" spans="1:11" ht="17.25" x14ac:dyDescent="0.25">
      <c r="A12" s="7" t="s">
        <v>6</v>
      </c>
      <c r="B12" s="52" t="s">
        <v>49</v>
      </c>
      <c r="C12" s="54">
        <v>15007826</v>
      </c>
      <c r="D12" s="190"/>
      <c r="G12" s="100"/>
      <c r="J12" s="3"/>
      <c r="K12" s="3"/>
    </row>
    <row r="13" spans="1:11" ht="17.25" x14ac:dyDescent="0.25">
      <c r="A13" s="7" t="s">
        <v>10</v>
      </c>
      <c r="B13" s="52" t="s">
        <v>50</v>
      </c>
      <c r="C13" s="54">
        <v>4174223</v>
      </c>
      <c r="D13" s="190"/>
      <c r="G13" s="100"/>
      <c r="J13" s="3"/>
      <c r="K13" s="3"/>
    </row>
    <row r="14" spans="1:11" ht="17.25" x14ac:dyDescent="0.25">
      <c r="A14" s="7" t="s">
        <v>11</v>
      </c>
      <c r="B14" s="52" t="s">
        <v>51</v>
      </c>
      <c r="C14" s="55">
        <v>4533379</v>
      </c>
      <c r="D14" s="191"/>
      <c r="F14" s="102"/>
      <c r="G14" s="100"/>
      <c r="J14" s="3"/>
      <c r="K14" s="3"/>
    </row>
    <row r="15" spans="1:11" x14ac:dyDescent="0.25">
      <c r="A15" s="17" t="s">
        <v>92</v>
      </c>
      <c r="B15" s="30" t="s">
        <v>52</v>
      </c>
      <c r="C15" s="56">
        <f>SUM(C10:C14)</f>
        <v>25080669</v>
      </c>
      <c r="D15" s="191"/>
      <c r="J15" s="3"/>
      <c r="K15" s="3"/>
    </row>
    <row r="16" spans="1:11" x14ac:dyDescent="0.25">
      <c r="A16" s="8" t="s">
        <v>85</v>
      </c>
      <c r="B16" s="29" t="s">
        <v>53</v>
      </c>
      <c r="C16" s="58">
        <v>3.2661099999999998E-2</v>
      </c>
      <c r="D16" s="4"/>
      <c r="J16" s="3"/>
      <c r="K16" s="3"/>
    </row>
    <row r="17" spans="1:12" ht="17.25" x14ac:dyDescent="0.25">
      <c r="A17" s="8" t="s">
        <v>86</v>
      </c>
      <c r="B17" s="29" t="s">
        <v>54</v>
      </c>
      <c r="C17" s="181"/>
      <c r="D17" s="4"/>
      <c r="I17" s="3"/>
      <c r="J17" s="41"/>
      <c r="K17" s="3"/>
    </row>
    <row r="18" spans="1:12" ht="15.75" thickBot="1" x14ac:dyDescent="0.3">
      <c r="A18" s="9" t="s">
        <v>87</v>
      </c>
      <c r="B18" s="31" t="s">
        <v>55</v>
      </c>
      <c r="C18" s="188">
        <v>0.115</v>
      </c>
      <c r="D18" s="5"/>
      <c r="I18" s="3"/>
      <c r="J18" s="3"/>
      <c r="K18" s="3"/>
    </row>
    <row r="19" spans="1:12" ht="8.25" customHeight="1" thickBot="1" x14ac:dyDescent="0.3">
      <c r="B19" s="16"/>
      <c r="I19" s="3"/>
      <c r="J19" s="3"/>
      <c r="K19" s="3"/>
    </row>
    <row r="20" spans="1:12" ht="15.75" thickBot="1" x14ac:dyDescent="0.3">
      <c r="A20" s="22" t="s">
        <v>1</v>
      </c>
      <c r="B20" s="14"/>
      <c r="C20" s="23" t="s">
        <v>14</v>
      </c>
      <c r="D20" s="15" t="s">
        <v>15</v>
      </c>
      <c r="E20" s="24" t="s">
        <v>2</v>
      </c>
      <c r="F20" s="24" t="s">
        <v>3</v>
      </c>
      <c r="G20" s="15" t="s">
        <v>4</v>
      </c>
      <c r="H20" s="90" t="s">
        <v>65</v>
      </c>
      <c r="I20" s="42"/>
      <c r="J20" s="3"/>
      <c r="K20" s="3"/>
    </row>
    <row r="21" spans="1:12" x14ac:dyDescent="0.25">
      <c r="A21" s="8" t="s">
        <v>16</v>
      </c>
      <c r="B21" s="29" t="s">
        <v>56</v>
      </c>
      <c r="C21" s="32">
        <v>9.0999999999999998E-2</v>
      </c>
      <c r="D21" s="19">
        <v>0.106</v>
      </c>
      <c r="E21" s="25">
        <v>7.6999999999999999E-2</v>
      </c>
      <c r="F21" s="25">
        <v>0.113</v>
      </c>
      <c r="G21" s="19">
        <v>0.157</v>
      </c>
      <c r="H21" s="91"/>
      <c r="I21" s="43"/>
      <c r="J21" s="3"/>
      <c r="K21" s="3"/>
    </row>
    <row r="22" spans="1:12" x14ac:dyDescent="0.25">
      <c r="A22" s="7" t="s">
        <v>17</v>
      </c>
      <c r="B22" s="52" t="s">
        <v>57</v>
      </c>
      <c r="C22" s="192"/>
      <c r="D22" s="193"/>
      <c r="E22" s="194"/>
      <c r="F22" s="194"/>
      <c r="G22" s="190"/>
      <c r="H22" s="92"/>
      <c r="I22" s="44"/>
      <c r="J22" s="3"/>
      <c r="K22" s="3"/>
    </row>
    <row r="23" spans="1:12" x14ac:dyDescent="0.25">
      <c r="A23" s="8" t="s">
        <v>96</v>
      </c>
      <c r="B23" s="29" t="s">
        <v>58</v>
      </c>
      <c r="C23" s="33">
        <f>C10</f>
        <v>799818</v>
      </c>
      <c r="D23" s="20">
        <f>C11</f>
        <v>565423</v>
      </c>
      <c r="E23" s="26">
        <f>C12</f>
        <v>15007826</v>
      </c>
      <c r="F23" s="26">
        <f>C13</f>
        <v>4174223</v>
      </c>
      <c r="G23" s="20">
        <f>C14</f>
        <v>4533379</v>
      </c>
      <c r="H23" s="93">
        <f>SUM(C23:G23)</f>
        <v>25080669</v>
      </c>
      <c r="I23" s="45"/>
      <c r="J23" s="3"/>
      <c r="K23" s="3"/>
    </row>
    <row r="24" spans="1:12" ht="9.75" customHeight="1" x14ac:dyDescent="0.25">
      <c r="A24" s="8"/>
      <c r="B24" s="29"/>
      <c r="C24" s="10"/>
      <c r="D24" s="4"/>
      <c r="E24" s="27"/>
      <c r="F24" s="27"/>
      <c r="G24" s="4"/>
      <c r="H24" s="7"/>
      <c r="I24" s="2"/>
      <c r="J24" s="3"/>
    </row>
    <row r="25" spans="1:12" x14ac:dyDescent="0.25">
      <c r="A25" s="8" t="s">
        <v>93</v>
      </c>
      <c r="B25" s="29" t="s">
        <v>59</v>
      </c>
      <c r="C25" s="182">
        <f t="shared" ref="C25:D25" si="0">C23*C21</f>
        <v>72783.437999999995</v>
      </c>
      <c r="D25" s="183">
        <f t="shared" si="0"/>
        <v>59934.837999999996</v>
      </c>
      <c r="E25" s="184">
        <f>E23*E21</f>
        <v>1155602.602</v>
      </c>
      <c r="F25" s="184">
        <f t="shared" ref="F25:G25" si="1">F23*F21</f>
        <v>471687.19900000002</v>
      </c>
      <c r="G25" s="183">
        <f t="shared" si="1"/>
        <v>711740.50300000003</v>
      </c>
      <c r="H25" s="94">
        <f t="shared" ref="H25:H30" si="2">SUM(C25:G25)</f>
        <v>2471748.58</v>
      </c>
      <c r="I25" s="46"/>
      <c r="J25" s="3"/>
    </row>
    <row r="26" spans="1:12" x14ac:dyDescent="0.25">
      <c r="A26" s="8" t="s">
        <v>94</v>
      </c>
      <c r="B26" s="29" t="s">
        <v>60</v>
      </c>
      <c r="C26" s="182">
        <f t="shared" ref="C26:D26" si="3">C23*$C$16</f>
        <v>26122.935679799997</v>
      </c>
      <c r="D26" s="183">
        <f t="shared" si="3"/>
        <v>18467.3371453</v>
      </c>
      <c r="E26" s="184">
        <f>E23*$C$16</f>
        <v>490172.10576859995</v>
      </c>
      <c r="F26" s="184">
        <f t="shared" ref="F26:G26" si="4">F23*$C$16</f>
        <v>136334.71482530001</v>
      </c>
      <c r="G26" s="183">
        <f t="shared" si="4"/>
        <v>148065.14485690001</v>
      </c>
      <c r="H26" s="94">
        <f t="shared" si="2"/>
        <v>819162.23827590002</v>
      </c>
      <c r="I26" s="46"/>
      <c r="J26" s="3"/>
    </row>
    <row r="27" spans="1:12" ht="15.75" thickBot="1" x14ac:dyDescent="0.3">
      <c r="A27" s="9" t="s">
        <v>95</v>
      </c>
      <c r="B27" s="31" t="s">
        <v>61</v>
      </c>
      <c r="C27" s="185">
        <f>C23*$C$18</f>
        <v>91979.07</v>
      </c>
      <c r="D27" s="186">
        <f t="shared" ref="D27:G27" si="5">D23*$C$18</f>
        <v>65023.645000000004</v>
      </c>
      <c r="E27" s="187">
        <f t="shared" si="5"/>
        <v>1725899.99</v>
      </c>
      <c r="F27" s="187">
        <f t="shared" si="5"/>
        <v>480035.64500000002</v>
      </c>
      <c r="G27" s="186">
        <f t="shared" si="5"/>
        <v>521338.58500000002</v>
      </c>
      <c r="H27" s="95">
        <f t="shared" si="2"/>
        <v>2884276.9350000001</v>
      </c>
      <c r="I27" s="46"/>
      <c r="J27" s="3"/>
    </row>
    <row r="28" spans="1:12" x14ac:dyDescent="0.25">
      <c r="A28" s="17" t="s">
        <v>99</v>
      </c>
      <c r="B28" s="30" t="s">
        <v>62</v>
      </c>
      <c r="C28" s="120">
        <f>52672-91950</f>
        <v>-39278</v>
      </c>
      <c r="D28" s="121">
        <f>37236-65003</f>
        <v>-27767</v>
      </c>
      <c r="E28" s="122">
        <f>988341-1725363</f>
        <v>-737022</v>
      </c>
      <c r="F28" s="122">
        <f>274894-479886-1</f>
        <v>-204993</v>
      </c>
      <c r="G28" s="121">
        <f>298546-521176-1</f>
        <v>-222631</v>
      </c>
      <c r="H28" s="98">
        <f t="shared" si="2"/>
        <v>-1231691</v>
      </c>
      <c r="I28" s="47"/>
      <c r="J28" s="49"/>
      <c r="L28" s="18"/>
    </row>
    <row r="29" spans="1:12" x14ac:dyDescent="0.25">
      <c r="A29" s="66" t="s">
        <v>97</v>
      </c>
      <c r="B29" s="67" t="s">
        <v>63</v>
      </c>
      <c r="C29" s="68">
        <f>IF(C28&gt;0,C28,0)</f>
        <v>0</v>
      </c>
      <c r="D29" s="69">
        <f t="shared" ref="D29:G29" si="6">IF(D28&gt;0,D28,0)</f>
        <v>0</v>
      </c>
      <c r="E29" s="70">
        <f t="shared" si="6"/>
        <v>0</v>
      </c>
      <c r="F29" s="70">
        <f t="shared" si="6"/>
        <v>0</v>
      </c>
      <c r="G29" s="69">
        <f t="shared" si="6"/>
        <v>0</v>
      </c>
      <c r="H29" s="96">
        <f t="shared" si="2"/>
        <v>0</v>
      </c>
      <c r="I29" s="48"/>
      <c r="J29" s="49"/>
      <c r="K29" s="18"/>
    </row>
    <row r="30" spans="1:12" ht="15.75" thickBot="1" x14ac:dyDescent="0.3">
      <c r="A30" s="71" t="s">
        <v>98</v>
      </c>
      <c r="B30" s="72" t="s">
        <v>64</v>
      </c>
      <c r="C30" s="73">
        <f>IF(C28&lt;0,C28*-1,0)</f>
        <v>39278</v>
      </c>
      <c r="D30" s="74">
        <f t="shared" ref="D30:G30" si="7">IF(D28&lt;0,D28*-1,0)</f>
        <v>27767</v>
      </c>
      <c r="E30" s="75">
        <f t="shared" si="7"/>
        <v>737022</v>
      </c>
      <c r="F30" s="75">
        <f t="shared" si="7"/>
        <v>204993</v>
      </c>
      <c r="G30" s="74">
        <f t="shared" si="7"/>
        <v>222631</v>
      </c>
      <c r="H30" s="97">
        <f t="shared" si="2"/>
        <v>1231691</v>
      </c>
      <c r="I30" s="48"/>
      <c r="J30" s="49"/>
      <c r="K30" s="18"/>
    </row>
    <row r="31" spans="1:12" x14ac:dyDescent="0.25">
      <c r="B31" s="16"/>
      <c r="C31" s="18"/>
      <c r="D31" s="18"/>
      <c r="E31" s="18"/>
      <c r="F31" s="18"/>
      <c r="G31" s="18"/>
      <c r="H31" s="49"/>
      <c r="I31" s="49"/>
      <c r="J31" s="49"/>
      <c r="K31" s="18"/>
    </row>
    <row r="32" spans="1:12" x14ac:dyDescent="0.25">
      <c r="B32" s="16"/>
      <c r="C32" s="18"/>
      <c r="D32" s="18"/>
      <c r="E32" s="18"/>
      <c r="F32" s="18"/>
      <c r="G32" s="18"/>
      <c r="H32" s="18"/>
      <c r="I32" s="49"/>
      <c r="J32" s="49"/>
      <c r="K32" s="18"/>
    </row>
    <row r="33" spans="1:12" s="62" customFormat="1" x14ac:dyDescent="0.25">
      <c r="A33" s="65" t="s">
        <v>35</v>
      </c>
      <c r="B33" s="63"/>
      <c r="C33" s="64"/>
      <c r="D33" s="64"/>
      <c r="E33" s="64"/>
      <c r="F33" s="64"/>
      <c r="G33" s="64"/>
      <c r="H33" s="64"/>
      <c r="I33" s="64"/>
      <c r="J33" s="64"/>
      <c r="K33" s="64"/>
    </row>
    <row r="34" spans="1:12" x14ac:dyDescent="0.25">
      <c r="A34" s="1" t="s">
        <v>5</v>
      </c>
      <c r="B34" s="1"/>
      <c r="E34" s="3"/>
      <c r="F34" s="118"/>
    </row>
    <row r="35" spans="1:12" ht="15.75" thickBot="1" x14ac:dyDescent="0.3">
      <c r="B35" s="16"/>
      <c r="C35" s="18"/>
      <c r="D35" s="18"/>
      <c r="E35" s="18"/>
      <c r="F35" s="18"/>
      <c r="G35" s="18"/>
      <c r="H35" s="18"/>
      <c r="I35" s="49"/>
      <c r="J35" s="49"/>
      <c r="K35" s="18"/>
    </row>
    <row r="36" spans="1:12" ht="30.75" thickBot="1" x14ac:dyDescent="0.3">
      <c r="A36" s="12"/>
      <c r="B36" s="12"/>
      <c r="C36" s="14" t="s">
        <v>12</v>
      </c>
      <c r="D36" s="15" t="s">
        <v>13</v>
      </c>
      <c r="E36" s="3"/>
      <c r="G36" s="159" t="s">
        <v>84</v>
      </c>
      <c r="J36" s="105"/>
    </row>
    <row r="37" spans="1:12" x14ac:dyDescent="0.25">
      <c r="A37" s="6" t="s">
        <v>9</v>
      </c>
      <c r="B37" s="51" t="s">
        <v>21</v>
      </c>
      <c r="C37" s="53">
        <v>34800955.980000027</v>
      </c>
      <c r="D37" s="13">
        <f>C37/C37</f>
        <v>1</v>
      </c>
    </row>
    <row r="38" spans="1:12" ht="17.25" x14ac:dyDescent="0.25">
      <c r="A38" s="7" t="s">
        <v>103</v>
      </c>
      <c r="B38" s="52" t="s">
        <v>22</v>
      </c>
      <c r="C38" s="54">
        <f>G38*D38</f>
        <v>857130.49558034691</v>
      </c>
      <c r="D38" s="156">
        <v>0.66881107410947005</v>
      </c>
      <c r="F38" s="100">
        <f>G38/G43</f>
        <v>6.0849625358782203E-2</v>
      </c>
      <c r="G38" s="101">
        <v>1281573.42</v>
      </c>
    </row>
    <row r="39" spans="1:12" ht="17.25" x14ac:dyDescent="0.25">
      <c r="A39" s="7" t="s">
        <v>104</v>
      </c>
      <c r="B39" s="52" t="s">
        <v>23</v>
      </c>
      <c r="C39" s="54">
        <f>G38*D39</f>
        <v>424442.92441965296</v>
      </c>
      <c r="D39" s="156">
        <v>0.33118892589052995</v>
      </c>
      <c r="F39" s="100"/>
    </row>
    <row r="40" spans="1:12" ht="17.25" x14ac:dyDescent="0.25">
      <c r="A40" s="7" t="s">
        <v>105</v>
      </c>
      <c r="B40" s="52" t="s">
        <v>24</v>
      </c>
      <c r="C40" s="54">
        <f>G40*D40</f>
        <v>12854285.019668249</v>
      </c>
      <c r="D40" s="156">
        <v>0.64987107348185924</v>
      </c>
      <c r="F40" s="100">
        <f>G40/G43</f>
        <v>0.93915037464121776</v>
      </c>
      <c r="G40" s="101">
        <v>19779746.39000003</v>
      </c>
    </row>
    <row r="41" spans="1:12" ht="17.25" x14ac:dyDescent="0.25">
      <c r="A41" s="7" t="s">
        <v>106</v>
      </c>
      <c r="B41" s="52" t="s">
        <v>25</v>
      </c>
      <c r="C41" s="54">
        <f>G40*D41</f>
        <v>3326028.5416583386</v>
      </c>
      <c r="D41" s="156">
        <v>0.16815324504564255</v>
      </c>
      <c r="F41" s="100"/>
    </row>
    <row r="42" spans="1:12" ht="17.25" x14ac:dyDescent="0.25">
      <c r="A42" s="7" t="s">
        <v>107</v>
      </c>
      <c r="B42" s="52" t="s">
        <v>26</v>
      </c>
      <c r="C42" s="55">
        <f>G40*D42</f>
        <v>3599432.8286734419</v>
      </c>
      <c r="D42" s="157">
        <v>0.18197568147249821</v>
      </c>
      <c r="F42" s="100"/>
    </row>
    <row r="43" spans="1:12" x14ac:dyDescent="0.25">
      <c r="A43" s="17" t="s">
        <v>108</v>
      </c>
      <c r="B43" s="30" t="s">
        <v>27</v>
      </c>
      <c r="C43" s="56">
        <f>SUM(C38:C42)</f>
        <v>21061319.810000028</v>
      </c>
      <c r="D43" s="11">
        <f>C43/C37</f>
        <v>0.60519371427911017</v>
      </c>
      <c r="F43" s="100">
        <f>C43/G43</f>
        <v>0.99999999999999978</v>
      </c>
      <c r="G43" s="101">
        <v>21061319.810000032</v>
      </c>
      <c r="H43" s="102">
        <f>F38+F40-F43</f>
        <v>0</v>
      </c>
    </row>
    <row r="44" spans="1:12" x14ac:dyDescent="0.25">
      <c r="A44" s="8" t="s">
        <v>0</v>
      </c>
      <c r="B44" s="29" t="s">
        <v>28</v>
      </c>
      <c r="C44" s="57">
        <f>D45/C45</f>
        <v>2.4152361368205245E-2</v>
      </c>
      <c r="D44" s="4"/>
      <c r="J44" s="3"/>
    </row>
    <row r="45" spans="1:12" ht="17.25" x14ac:dyDescent="0.25">
      <c r="A45" s="8" t="s">
        <v>81</v>
      </c>
      <c r="B45" s="29" t="s">
        <v>29</v>
      </c>
      <c r="C45" s="54">
        <v>40733567</v>
      </c>
      <c r="D45" s="50">
        <v>983811.83</v>
      </c>
      <c r="J45" s="3"/>
      <c r="L45" s="105"/>
    </row>
    <row r="46" spans="1:12" ht="17.25" x14ac:dyDescent="0.25">
      <c r="A46" s="8" t="s">
        <v>32</v>
      </c>
      <c r="B46" s="29" t="s">
        <v>30</v>
      </c>
      <c r="C46" s="58">
        <v>89.64</v>
      </c>
      <c r="D46" s="4"/>
      <c r="I46" s="3"/>
      <c r="J46" s="41"/>
    </row>
    <row r="47" spans="1:12" ht="15.75" thickBot="1" x14ac:dyDescent="0.3">
      <c r="A47" s="9" t="s">
        <v>33</v>
      </c>
      <c r="B47" s="31" t="s">
        <v>31</v>
      </c>
      <c r="C47" s="59">
        <f>C46/1000</f>
        <v>8.9639999999999997E-2</v>
      </c>
      <c r="D47" s="5"/>
      <c r="H47" s="3"/>
      <c r="I47" s="3"/>
      <c r="J47" s="3"/>
    </row>
    <row r="48" spans="1:12" ht="15.75" thickBot="1" x14ac:dyDescent="0.3">
      <c r="B48" s="16"/>
      <c r="H48" s="3"/>
      <c r="I48" s="3"/>
      <c r="J48" s="3"/>
    </row>
    <row r="49" spans="1:11" ht="15.75" thickBot="1" x14ac:dyDescent="0.3">
      <c r="A49" s="22" t="s">
        <v>88</v>
      </c>
      <c r="B49" s="14"/>
      <c r="C49" s="23" t="s">
        <v>14</v>
      </c>
      <c r="D49" s="15" t="s">
        <v>15</v>
      </c>
      <c r="E49" s="24" t="s">
        <v>2</v>
      </c>
      <c r="F49" s="24" t="s">
        <v>3</v>
      </c>
      <c r="G49" s="15" t="s">
        <v>4</v>
      </c>
      <c r="H49" s="90" t="s">
        <v>65</v>
      </c>
      <c r="I49" s="42"/>
      <c r="J49" s="3"/>
    </row>
    <row r="50" spans="1:11" x14ac:dyDescent="0.25">
      <c r="A50" s="8" t="s">
        <v>16</v>
      </c>
      <c r="B50" s="29" t="s">
        <v>37</v>
      </c>
      <c r="C50" s="114">
        <f>C21</f>
        <v>9.0999999999999998E-2</v>
      </c>
      <c r="D50" s="115">
        <f t="shared" ref="D50:G50" si="8">D21</f>
        <v>0.106</v>
      </c>
      <c r="E50" s="116">
        <f t="shared" si="8"/>
        <v>7.6999999999999999E-2</v>
      </c>
      <c r="F50" s="116">
        <f t="shared" si="8"/>
        <v>0.113</v>
      </c>
      <c r="G50" s="115">
        <f t="shared" si="8"/>
        <v>0.157</v>
      </c>
      <c r="H50" s="91"/>
      <c r="I50" s="43"/>
      <c r="J50" s="3"/>
    </row>
    <row r="51" spans="1:11" x14ac:dyDescent="0.25">
      <c r="A51" s="7" t="s">
        <v>17</v>
      </c>
      <c r="B51" s="52" t="s">
        <v>38</v>
      </c>
      <c r="C51" s="192"/>
      <c r="D51" s="193"/>
      <c r="E51" s="194"/>
      <c r="F51" s="194"/>
      <c r="G51" s="190"/>
      <c r="H51" s="92"/>
      <c r="I51" s="44"/>
      <c r="J51" s="3"/>
    </row>
    <row r="52" spans="1:11" x14ac:dyDescent="0.25">
      <c r="A52" s="8" t="s">
        <v>109</v>
      </c>
      <c r="B52" s="29" t="s">
        <v>39</v>
      </c>
      <c r="C52" s="33">
        <f>C38</f>
        <v>857130.49558034691</v>
      </c>
      <c r="D52" s="20">
        <f>C39</f>
        <v>424442.92441965296</v>
      </c>
      <c r="E52" s="26">
        <f>C40</f>
        <v>12854285.019668249</v>
      </c>
      <c r="F52" s="26">
        <f>C41</f>
        <v>3326028.5416583386</v>
      </c>
      <c r="G52" s="20">
        <f>C42</f>
        <v>3599432.8286734419</v>
      </c>
      <c r="H52" s="93">
        <f>SUM(C52:G52)</f>
        <v>21061319.810000028</v>
      </c>
      <c r="I52" s="45"/>
      <c r="J52" s="3"/>
    </row>
    <row r="53" spans="1:11" x14ac:dyDescent="0.25">
      <c r="A53" s="8"/>
      <c r="B53" s="29"/>
      <c r="C53" s="10"/>
      <c r="D53" s="4"/>
      <c r="E53" s="27"/>
      <c r="F53" s="27"/>
      <c r="G53" s="4"/>
      <c r="H53" s="7"/>
      <c r="I53" s="2"/>
      <c r="J53" s="3"/>
    </row>
    <row r="54" spans="1:11" x14ac:dyDescent="0.25">
      <c r="A54" s="8" t="s">
        <v>89</v>
      </c>
      <c r="B54" s="29" t="s">
        <v>40</v>
      </c>
      <c r="C54" s="34">
        <f>C52*C50</f>
        <v>77998.875097811571</v>
      </c>
      <c r="D54" s="21">
        <f t="shared" ref="D54" si="9">D52*D50</f>
        <v>44990.949988483211</v>
      </c>
      <c r="E54" s="28">
        <f>E52*E50</f>
        <v>989779.94651445514</v>
      </c>
      <c r="F54" s="28">
        <f t="shared" ref="F54:G54" si="10">F52*F50</f>
        <v>375841.2252073923</v>
      </c>
      <c r="G54" s="21">
        <f t="shared" si="10"/>
        <v>565110.95410173037</v>
      </c>
      <c r="H54" s="94">
        <f t="shared" ref="H54:H59" si="11">SUM(C54:G54)</f>
        <v>2053721.9509098725</v>
      </c>
      <c r="I54" s="46"/>
      <c r="J54" s="3"/>
    </row>
    <row r="55" spans="1:11" x14ac:dyDescent="0.25">
      <c r="A55" s="8" t="s">
        <v>90</v>
      </c>
      <c r="B55" s="29" t="s">
        <v>41</v>
      </c>
      <c r="C55" s="34">
        <f>C52*$C$44</f>
        <v>20701.725468965386</v>
      </c>
      <c r="D55" s="21">
        <f t="shared" ref="D55:G55" si="12">D52*$C$44</f>
        <v>10251.298890761285</v>
      </c>
      <c r="E55" s="28">
        <f t="shared" si="12"/>
        <v>310461.33692493482</v>
      </c>
      <c r="F55" s="28">
        <f t="shared" si="12"/>
        <v>80331.443259096879</v>
      </c>
      <c r="G55" s="21">
        <f t="shared" si="12"/>
        <v>86934.802398702159</v>
      </c>
      <c r="H55" s="94">
        <f t="shared" si="11"/>
        <v>508680.60694246052</v>
      </c>
      <c r="I55" s="46"/>
      <c r="J55" s="3"/>
    </row>
    <row r="56" spans="1:11" ht="15.75" thickBot="1" x14ac:dyDescent="0.3">
      <c r="A56" s="9" t="s">
        <v>91</v>
      </c>
      <c r="B56" s="31" t="s">
        <v>42</v>
      </c>
      <c r="C56" s="38">
        <f>C52*$C$47</f>
        <v>76833.177623822296</v>
      </c>
      <c r="D56" s="39">
        <f t="shared" ref="D56:G56" si="13">D52*$C$47</f>
        <v>38047.063744977691</v>
      </c>
      <c r="E56" s="40">
        <f t="shared" si="13"/>
        <v>1152258.1091630619</v>
      </c>
      <c r="F56" s="40">
        <f t="shared" si="13"/>
        <v>298145.19847425347</v>
      </c>
      <c r="G56" s="39">
        <f t="shared" si="13"/>
        <v>322653.15876228735</v>
      </c>
      <c r="H56" s="95">
        <f t="shared" si="11"/>
        <v>1887936.7077684028</v>
      </c>
      <c r="I56" s="46"/>
      <c r="J56" s="3"/>
    </row>
    <row r="57" spans="1:11" x14ac:dyDescent="0.25">
      <c r="A57" s="17" t="s">
        <v>20</v>
      </c>
      <c r="B57" s="30" t="s">
        <v>43</v>
      </c>
      <c r="C57" s="35">
        <f>C54-C55-C56</f>
        <v>-19536.02799497611</v>
      </c>
      <c r="D57" s="36">
        <f t="shared" ref="D57:G57" si="14">D54-D55-D56</f>
        <v>-3307.4126472557618</v>
      </c>
      <c r="E57" s="37">
        <f t="shared" si="14"/>
        <v>-472939.49957354157</v>
      </c>
      <c r="F57" s="37">
        <f t="shared" si="14"/>
        <v>-2635.4165259580477</v>
      </c>
      <c r="G57" s="36">
        <f t="shared" si="14"/>
        <v>155522.99294074089</v>
      </c>
      <c r="H57" s="98">
        <f t="shared" si="11"/>
        <v>-342895.36380099057</v>
      </c>
      <c r="I57" s="47"/>
      <c r="J57" s="3"/>
    </row>
    <row r="58" spans="1:11" x14ac:dyDescent="0.25">
      <c r="A58" s="76" t="s">
        <v>18</v>
      </c>
      <c r="B58" s="77" t="s">
        <v>44</v>
      </c>
      <c r="C58" s="78">
        <f>IF(C57&gt;0,C57,0)</f>
        <v>0</v>
      </c>
      <c r="D58" s="79">
        <f t="shared" ref="D58:G58" si="15">IF(D57&gt;0,D57,0)</f>
        <v>0</v>
      </c>
      <c r="E58" s="80">
        <f t="shared" si="15"/>
        <v>0</v>
      </c>
      <c r="F58" s="80">
        <f t="shared" si="15"/>
        <v>0</v>
      </c>
      <c r="G58" s="79">
        <f t="shared" si="15"/>
        <v>155522.99294074089</v>
      </c>
      <c r="H58" s="96">
        <f t="shared" si="11"/>
        <v>155522.99294074089</v>
      </c>
      <c r="I58" s="48"/>
      <c r="J58" s="49"/>
      <c r="K58" s="18"/>
    </row>
    <row r="59" spans="1:11" ht="15.75" thickBot="1" x14ac:dyDescent="0.3">
      <c r="A59" s="81" t="s">
        <v>19</v>
      </c>
      <c r="B59" s="82" t="s">
        <v>45</v>
      </c>
      <c r="C59" s="83">
        <f>IF(C57&lt;0,C57*-1,0)</f>
        <v>19536.02799497611</v>
      </c>
      <c r="D59" s="84">
        <f t="shared" ref="D59:G59" si="16">IF(D57&lt;0,D57*-1,0)</f>
        <v>3307.4126472557618</v>
      </c>
      <c r="E59" s="85">
        <f t="shared" si="16"/>
        <v>472939.49957354157</v>
      </c>
      <c r="F59" s="85">
        <f t="shared" si="16"/>
        <v>2635.4165259580477</v>
      </c>
      <c r="G59" s="84">
        <f t="shared" si="16"/>
        <v>0</v>
      </c>
      <c r="H59" s="97">
        <f t="shared" si="11"/>
        <v>498418.35674173146</v>
      </c>
      <c r="I59" s="48"/>
      <c r="J59" s="49"/>
      <c r="K59" s="18"/>
    </row>
    <row r="60" spans="1:11" x14ac:dyDescent="0.25">
      <c r="B60" s="16"/>
      <c r="C60" s="18"/>
      <c r="D60" s="18"/>
      <c r="E60" s="18"/>
      <c r="F60" s="18"/>
      <c r="G60" s="18"/>
      <c r="H60" s="49"/>
      <c r="I60" s="49"/>
      <c r="J60" s="49"/>
      <c r="K60" s="18"/>
    </row>
    <row r="61" spans="1:11" ht="15.75" thickBot="1" x14ac:dyDescent="0.3">
      <c r="A61" s="86" t="s">
        <v>36</v>
      </c>
      <c r="H61" s="3"/>
      <c r="I61" s="3"/>
    </row>
    <row r="62" spans="1:11" x14ac:dyDescent="0.25">
      <c r="A62" s="6" t="s">
        <v>100</v>
      </c>
      <c r="B62" s="51"/>
      <c r="C62" s="87">
        <f>C57-C28</f>
        <v>19741.97200502389</v>
      </c>
      <c r="D62" s="88">
        <f t="shared" ref="D62:G62" si="17">D57-D28</f>
        <v>24459.587352744238</v>
      </c>
      <c r="E62" s="89">
        <f t="shared" si="17"/>
        <v>264082.50042645843</v>
      </c>
      <c r="F62" s="89">
        <f t="shared" si="17"/>
        <v>202357.58347404195</v>
      </c>
      <c r="G62" s="88">
        <f t="shared" si="17"/>
        <v>378153.99294074089</v>
      </c>
      <c r="H62" s="98">
        <f t="shared" ref="H62:H64" si="18">SUM(C62:G62)</f>
        <v>888795.63619900937</v>
      </c>
    </row>
    <row r="63" spans="1:11" x14ac:dyDescent="0.25">
      <c r="A63" s="76" t="s">
        <v>101</v>
      </c>
      <c r="B63" s="77" t="s">
        <v>66</v>
      </c>
      <c r="C63" s="78">
        <f>IF(C62&gt;0,C62,0)</f>
        <v>19741.97200502389</v>
      </c>
      <c r="D63" s="79">
        <f t="shared" ref="D63:G63" si="19">IF(D62&gt;0,D62,0)</f>
        <v>24459.587352744238</v>
      </c>
      <c r="E63" s="80">
        <f t="shared" si="19"/>
        <v>264082.50042645843</v>
      </c>
      <c r="F63" s="80">
        <f t="shared" si="19"/>
        <v>202357.58347404195</v>
      </c>
      <c r="G63" s="79">
        <f t="shared" si="19"/>
        <v>378153.99294074089</v>
      </c>
      <c r="H63" s="96">
        <f t="shared" si="18"/>
        <v>888795.63619900937</v>
      </c>
    </row>
    <row r="64" spans="1:11" ht="15.75" thickBot="1" x14ac:dyDescent="0.3">
      <c r="A64" s="81" t="s">
        <v>102</v>
      </c>
      <c r="B64" s="82" t="s">
        <v>67</v>
      </c>
      <c r="C64" s="83">
        <f>IF(C62&lt;0,C62*-1,0)</f>
        <v>0</v>
      </c>
      <c r="D64" s="84">
        <f t="shared" ref="D64:G64" si="20">IF(D62&lt;0,D62*-1,0)</f>
        <v>0</v>
      </c>
      <c r="E64" s="85">
        <f t="shared" si="20"/>
        <v>0</v>
      </c>
      <c r="F64" s="85">
        <f t="shared" si="20"/>
        <v>0</v>
      </c>
      <c r="G64" s="84">
        <f t="shared" si="20"/>
        <v>0</v>
      </c>
      <c r="H64" s="97">
        <f t="shared" si="18"/>
        <v>0</v>
      </c>
    </row>
    <row r="65" spans="1:8" ht="15.75" thickBot="1" x14ac:dyDescent="0.3">
      <c r="A65" s="151" t="s">
        <v>83</v>
      </c>
      <c r="B65" s="14"/>
      <c r="C65" s="152">
        <f>C52-C23</f>
        <v>57312.495580346906</v>
      </c>
      <c r="D65" s="153">
        <f t="shared" ref="D65:G65" si="21">D52-D23</f>
        <v>-140980.07558034704</v>
      </c>
      <c r="E65" s="154">
        <f t="shared" si="21"/>
        <v>-2153540.9803317506</v>
      </c>
      <c r="F65" s="154">
        <f t="shared" si="21"/>
        <v>-848194.45834166138</v>
      </c>
      <c r="G65" s="153">
        <f t="shared" si="21"/>
        <v>-933946.17132655811</v>
      </c>
      <c r="H65" s="155">
        <f>SUM(C65:G65)</f>
        <v>-4019349.1899999701</v>
      </c>
    </row>
  </sheetData>
  <sheetProtection password="CC7B" sheet="1" objects="1" scenarios="1"/>
  <pageMargins left="0.11811023622047245" right="0.11811023622047245" top="0.35433070866141736" bottom="0.35433070866141736" header="0.11811023622047245" footer="0.11811023622047245"/>
  <pageSetup scale="75" orientation="portrait" verticalDpi="0" r:id="rId1"/>
  <headerFooter>
    <oddFooter>&amp;L&amp;9&amp;Z&amp;F  &amp;A  &amp;D  &amp;T&amp;R&amp;P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3:L65"/>
  <sheetViews>
    <sheetView zoomScale="80" zoomScaleNormal="80" workbookViewId="0">
      <selection activeCell="L38" sqref="L38"/>
    </sheetView>
  </sheetViews>
  <sheetFormatPr defaultRowHeight="15" x14ac:dyDescent="0.25"/>
  <cols>
    <col min="1" max="1" width="36" customWidth="1"/>
    <col min="2" max="2" width="11.140625" bestFit="1" customWidth="1"/>
    <col min="3" max="3" width="15.28515625" bestFit="1" customWidth="1"/>
    <col min="4" max="4" width="12.5703125" bestFit="1" customWidth="1"/>
    <col min="5" max="5" width="14" customWidth="1"/>
    <col min="6" max="7" width="12.140625" bestFit="1" customWidth="1"/>
    <col min="8" max="8" width="13.28515625" bestFit="1" customWidth="1"/>
    <col min="9" max="9" width="5.28515625" customWidth="1"/>
  </cols>
  <sheetData>
    <row r="3" spans="1:11" ht="5.25" customHeight="1" x14ac:dyDescent="0.25">
      <c r="A3" s="1"/>
      <c r="B3" s="1"/>
      <c r="E3" s="3"/>
    </row>
    <row r="4" spans="1:11" x14ac:dyDescent="0.25">
      <c r="A4" s="1"/>
      <c r="B4" s="1"/>
      <c r="E4" s="3"/>
    </row>
    <row r="5" spans="1:11" s="61" customFormat="1" x14ac:dyDescent="0.25">
      <c r="A5" s="60" t="s">
        <v>34</v>
      </c>
      <c r="B5" s="60"/>
    </row>
    <row r="6" spans="1:11" x14ac:dyDescent="0.25">
      <c r="A6" s="1" t="s">
        <v>5</v>
      </c>
      <c r="B6" s="1"/>
      <c r="E6" s="99" t="s">
        <v>77</v>
      </c>
      <c r="F6" s="99">
        <v>2017</v>
      </c>
    </row>
    <row r="7" spans="1:11" ht="15.75" thickBot="1" x14ac:dyDescent="0.3">
      <c r="A7" s="1"/>
      <c r="B7" s="1"/>
      <c r="E7" s="3"/>
      <c r="J7" s="3"/>
      <c r="K7" s="3"/>
    </row>
    <row r="8" spans="1:11" ht="15.75" thickBot="1" x14ac:dyDescent="0.3">
      <c r="A8" s="12"/>
      <c r="B8" s="12"/>
      <c r="C8" s="14" t="s">
        <v>12</v>
      </c>
      <c r="D8" s="15" t="s">
        <v>13</v>
      </c>
      <c r="E8" s="3"/>
      <c r="J8" s="3"/>
      <c r="K8" s="3"/>
    </row>
    <row r="9" spans="1:11" x14ac:dyDescent="0.25">
      <c r="A9" s="6" t="s">
        <v>9</v>
      </c>
      <c r="B9" s="51" t="s">
        <v>46</v>
      </c>
      <c r="C9" s="180"/>
      <c r="D9" s="189"/>
      <c r="J9" s="3"/>
      <c r="K9" s="3"/>
    </row>
    <row r="10" spans="1:11" ht="17.25" x14ac:dyDescent="0.25">
      <c r="A10" s="7" t="s">
        <v>7</v>
      </c>
      <c r="B10" s="52" t="s">
        <v>47</v>
      </c>
      <c r="C10" s="54">
        <v>778030</v>
      </c>
      <c r="D10" s="190"/>
      <c r="E10" s="100"/>
      <c r="G10" s="100"/>
      <c r="J10" s="3"/>
      <c r="K10" s="3"/>
    </row>
    <row r="11" spans="1:11" ht="17.25" x14ac:dyDescent="0.25">
      <c r="A11" s="7" t="s">
        <v>8</v>
      </c>
      <c r="B11" s="52" t="s">
        <v>48</v>
      </c>
      <c r="C11" s="54">
        <v>537074</v>
      </c>
      <c r="D11" s="190"/>
      <c r="E11" s="100"/>
      <c r="F11" s="102"/>
      <c r="G11" s="100"/>
      <c r="J11" s="3"/>
      <c r="K11" s="3"/>
    </row>
    <row r="12" spans="1:11" ht="17.25" x14ac:dyDescent="0.25">
      <c r="A12" s="7" t="s">
        <v>6</v>
      </c>
      <c r="B12" s="52" t="s">
        <v>49</v>
      </c>
      <c r="C12" s="54">
        <v>13684608</v>
      </c>
      <c r="D12" s="190"/>
      <c r="G12" s="100"/>
      <c r="J12" s="3"/>
      <c r="K12" s="3"/>
    </row>
    <row r="13" spans="1:11" ht="17.25" x14ac:dyDescent="0.25">
      <c r="A13" s="7" t="s">
        <v>10</v>
      </c>
      <c r="B13" s="52" t="s">
        <v>50</v>
      </c>
      <c r="C13" s="54">
        <v>3785936</v>
      </c>
      <c r="D13" s="190"/>
      <c r="G13" s="100"/>
      <c r="J13" s="3"/>
      <c r="K13" s="3"/>
    </row>
    <row r="14" spans="1:11" ht="17.25" x14ac:dyDescent="0.25">
      <c r="A14" s="7" t="s">
        <v>11</v>
      </c>
      <c r="B14" s="52" t="s">
        <v>51</v>
      </c>
      <c r="C14" s="55">
        <v>3989140</v>
      </c>
      <c r="D14" s="191"/>
      <c r="F14" s="102"/>
      <c r="G14" s="100"/>
      <c r="J14" s="3"/>
      <c r="K14" s="3"/>
    </row>
    <row r="15" spans="1:11" x14ac:dyDescent="0.25">
      <c r="A15" s="17" t="s">
        <v>92</v>
      </c>
      <c r="B15" s="30" t="s">
        <v>52</v>
      </c>
      <c r="C15" s="56">
        <f>SUM(C10:C14)</f>
        <v>22774788</v>
      </c>
      <c r="D15" s="191"/>
      <c r="J15" s="3"/>
      <c r="K15" s="3"/>
    </row>
    <row r="16" spans="1:11" x14ac:dyDescent="0.25">
      <c r="A16" s="8" t="s">
        <v>85</v>
      </c>
      <c r="B16" s="29" t="s">
        <v>53</v>
      </c>
      <c r="C16" s="58">
        <v>3.8275400000000001E-2</v>
      </c>
      <c r="D16" s="4"/>
      <c r="J16" s="3"/>
      <c r="K16" s="3"/>
    </row>
    <row r="17" spans="1:12" ht="17.25" x14ac:dyDescent="0.25">
      <c r="A17" s="8" t="s">
        <v>86</v>
      </c>
      <c r="B17" s="29" t="s">
        <v>54</v>
      </c>
      <c r="C17" s="181"/>
      <c r="D17" s="4"/>
      <c r="I17" s="3"/>
      <c r="J17" s="41"/>
      <c r="K17" s="3"/>
    </row>
    <row r="18" spans="1:12" ht="15.75" thickBot="1" x14ac:dyDescent="0.3">
      <c r="A18" s="9" t="s">
        <v>87</v>
      </c>
      <c r="B18" s="31" t="s">
        <v>55</v>
      </c>
      <c r="C18" s="188">
        <v>0.1222</v>
      </c>
      <c r="D18" s="5"/>
      <c r="I18" s="3"/>
      <c r="J18" s="3"/>
      <c r="K18" s="3"/>
    </row>
    <row r="19" spans="1:12" ht="8.25" customHeight="1" thickBot="1" x14ac:dyDescent="0.3">
      <c r="B19" s="16"/>
      <c r="I19" s="3"/>
      <c r="J19" s="3"/>
      <c r="K19" s="3"/>
    </row>
    <row r="20" spans="1:12" ht="15.75" thickBot="1" x14ac:dyDescent="0.3">
      <c r="A20" s="22" t="s">
        <v>1</v>
      </c>
      <c r="B20" s="14"/>
      <c r="C20" s="23" t="s">
        <v>14</v>
      </c>
      <c r="D20" s="15" t="s">
        <v>15</v>
      </c>
      <c r="E20" s="24" t="s">
        <v>2</v>
      </c>
      <c r="F20" s="24" t="s">
        <v>3</v>
      </c>
      <c r="G20" s="15" t="s">
        <v>4</v>
      </c>
      <c r="H20" s="90" t="s">
        <v>65</v>
      </c>
      <c r="I20" s="42"/>
      <c r="J20" s="3"/>
      <c r="K20" s="3"/>
    </row>
    <row r="21" spans="1:12" x14ac:dyDescent="0.25">
      <c r="A21" s="8" t="s">
        <v>16</v>
      </c>
      <c r="B21" s="29" t="s">
        <v>56</v>
      </c>
      <c r="C21" s="32">
        <v>9.0999999999999998E-2</v>
      </c>
      <c r="D21" s="19">
        <v>0.106</v>
      </c>
      <c r="E21" s="25">
        <v>7.6999999999999999E-2</v>
      </c>
      <c r="F21" s="25">
        <v>0.113</v>
      </c>
      <c r="G21" s="19">
        <v>0.157</v>
      </c>
      <c r="H21" s="91"/>
      <c r="I21" s="43"/>
      <c r="J21" s="3"/>
      <c r="K21" s="3"/>
    </row>
    <row r="22" spans="1:12" x14ac:dyDescent="0.25">
      <c r="A22" s="7" t="s">
        <v>17</v>
      </c>
      <c r="B22" s="52" t="s">
        <v>57</v>
      </c>
      <c r="C22" s="192"/>
      <c r="D22" s="193"/>
      <c r="E22" s="194"/>
      <c r="F22" s="194"/>
      <c r="G22" s="190"/>
      <c r="H22" s="92"/>
      <c r="I22" s="44"/>
      <c r="J22" s="3"/>
      <c r="K22" s="3"/>
    </row>
    <row r="23" spans="1:12" x14ac:dyDescent="0.25">
      <c r="A23" s="8" t="s">
        <v>96</v>
      </c>
      <c r="B23" s="29" t="s">
        <v>58</v>
      </c>
      <c r="C23" s="33">
        <f>C10</f>
        <v>778030</v>
      </c>
      <c r="D23" s="20">
        <f>C11</f>
        <v>537074</v>
      </c>
      <c r="E23" s="26">
        <f>C12</f>
        <v>13684608</v>
      </c>
      <c r="F23" s="26">
        <f>C13</f>
        <v>3785936</v>
      </c>
      <c r="G23" s="20">
        <f>C14</f>
        <v>3989140</v>
      </c>
      <c r="H23" s="93">
        <f>SUM(C23:G23)</f>
        <v>22774788</v>
      </c>
      <c r="I23" s="45"/>
      <c r="J23" s="3"/>
      <c r="K23" s="3"/>
    </row>
    <row r="24" spans="1:12" ht="9.75" customHeight="1" x14ac:dyDescent="0.25">
      <c r="A24" s="8"/>
      <c r="B24" s="29"/>
      <c r="C24" s="10"/>
      <c r="D24" s="4"/>
      <c r="E24" s="27"/>
      <c r="F24" s="27"/>
      <c r="G24" s="4"/>
      <c r="H24" s="7"/>
      <c r="I24" s="2"/>
      <c r="J24" s="3"/>
    </row>
    <row r="25" spans="1:12" x14ac:dyDescent="0.25">
      <c r="A25" s="8" t="s">
        <v>93</v>
      </c>
      <c r="B25" s="29" t="s">
        <v>59</v>
      </c>
      <c r="C25" s="182">
        <f t="shared" ref="C25:D25" si="0">C23*C21</f>
        <v>70800.73</v>
      </c>
      <c r="D25" s="183">
        <f t="shared" si="0"/>
        <v>56929.843999999997</v>
      </c>
      <c r="E25" s="184">
        <f>E23*E21</f>
        <v>1053714.8159999999</v>
      </c>
      <c r="F25" s="184">
        <f t="shared" ref="F25:G25" si="1">F23*F21</f>
        <v>427810.76800000004</v>
      </c>
      <c r="G25" s="183">
        <f t="shared" si="1"/>
        <v>626294.98</v>
      </c>
      <c r="H25" s="94">
        <f t="shared" ref="H25:H30" si="2">SUM(C25:G25)</f>
        <v>2235551.1379999998</v>
      </c>
      <c r="I25" s="46"/>
      <c r="J25" s="3"/>
    </row>
    <row r="26" spans="1:12" x14ac:dyDescent="0.25">
      <c r="A26" s="8" t="s">
        <v>94</v>
      </c>
      <c r="B26" s="29" t="s">
        <v>60</v>
      </c>
      <c r="C26" s="182">
        <f t="shared" ref="C26:D26" si="3">C23*$C$16</f>
        <v>29779.409462</v>
      </c>
      <c r="D26" s="183">
        <f t="shared" si="3"/>
        <v>20556.722179600001</v>
      </c>
      <c r="E26" s="184">
        <f>E23*$C$16</f>
        <v>523783.84504320001</v>
      </c>
      <c r="F26" s="184">
        <f t="shared" ref="F26:G26" si="4">F23*$C$16</f>
        <v>144908.2147744</v>
      </c>
      <c r="G26" s="183">
        <f t="shared" si="4"/>
        <v>152685.929156</v>
      </c>
      <c r="H26" s="94">
        <f t="shared" si="2"/>
        <v>871714.12061520002</v>
      </c>
      <c r="I26" s="46"/>
      <c r="J26" s="3"/>
    </row>
    <row r="27" spans="1:12" ht="15.75" thickBot="1" x14ac:dyDescent="0.3">
      <c r="A27" s="9" t="s">
        <v>95</v>
      </c>
      <c r="B27" s="31" t="s">
        <v>61</v>
      </c>
      <c r="C27" s="185">
        <f>C23*$C$18</f>
        <v>95075.266000000003</v>
      </c>
      <c r="D27" s="186">
        <f t="shared" ref="D27:G27" si="5">D23*$C$18</f>
        <v>65630.442800000004</v>
      </c>
      <c r="E27" s="187">
        <f t="shared" si="5"/>
        <v>1672259.0976</v>
      </c>
      <c r="F27" s="187">
        <f t="shared" si="5"/>
        <v>462641.37920000002</v>
      </c>
      <c r="G27" s="186">
        <f t="shared" si="5"/>
        <v>487472.908</v>
      </c>
      <c r="H27" s="95">
        <f t="shared" si="2"/>
        <v>2783079.0935999998</v>
      </c>
      <c r="I27" s="46"/>
      <c r="J27" s="3"/>
    </row>
    <row r="28" spans="1:12" x14ac:dyDescent="0.25">
      <c r="A28" s="17" t="s">
        <v>99</v>
      </c>
      <c r="B28" s="30" t="s">
        <v>62</v>
      </c>
      <c r="C28" s="120">
        <f>46629-95113</f>
        <v>-48484</v>
      </c>
      <c r="D28" s="121">
        <f>32188-65656</f>
        <v>-33468</v>
      </c>
      <c r="E28" s="122">
        <f>820145-1672920</f>
        <v>-852775</v>
      </c>
      <c r="F28" s="122">
        <f>226898-462824</f>
        <v>-235926</v>
      </c>
      <c r="G28" s="121">
        <f>239077-487666</f>
        <v>-248589</v>
      </c>
      <c r="H28" s="98">
        <f t="shared" si="2"/>
        <v>-1419242</v>
      </c>
      <c r="I28" s="47"/>
      <c r="J28" s="49"/>
      <c r="L28" s="18"/>
    </row>
    <row r="29" spans="1:12" x14ac:dyDescent="0.25">
      <c r="A29" s="66" t="s">
        <v>97</v>
      </c>
      <c r="B29" s="67" t="s">
        <v>63</v>
      </c>
      <c r="C29" s="68">
        <f>IF(C28&gt;0,C28,0)</f>
        <v>0</v>
      </c>
      <c r="D29" s="69">
        <f t="shared" ref="D29:G29" si="6">IF(D28&gt;0,D28,0)</f>
        <v>0</v>
      </c>
      <c r="E29" s="70">
        <f t="shared" si="6"/>
        <v>0</v>
      </c>
      <c r="F29" s="70">
        <f t="shared" si="6"/>
        <v>0</v>
      </c>
      <c r="G29" s="69">
        <f t="shared" si="6"/>
        <v>0</v>
      </c>
      <c r="H29" s="96">
        <f t="shared" si="2"/>
        <v>0</v>
      </c>
      <c r="I29" s="48"/>
      <c r="J29" s="49"/>
      <c r="K29" s="18"/>
    </row>
    <row r="30" spans="1:12" ht="15.75" thickBot="1" x14ac:dyDescent="0.3">
      <c r="A30" s="71" t="s">
        <v>98</v>
      </c>
      <c r="B30" s="72" t="s">
        <v>64</v>
      </c>
      <c r="C30" s="73">
        <f>IF(C28&lt;0,C28*-1,0)</f>
        <v>48484</v>
      </c>
      <c r="D30" s="74">
        <f t="shared" ref="D30:G30" si="7">IF(D28&lt;0,D28*-1,0)</f>
        <v>33468</v>
      </c>
      <c r="E30" s="75">
        <f t="shared" si="7"/>
        <v>852775</v>
      </c>
      <c r="F30" s="75">
        <f t="shared" si="7"/>
        <v>235926</v>
      </c>
      <c r="G30" s="74">
        <f t="shared" si="7"/>
        <v>248589</v>
      </c>
      <c r="H30" s="97">
        <f t="shared" si="2"/>
        <v>1419242</v>
      </c>
      <c r="I30" s="48"/>
      <c r="J30" s="49"/>
      <c r="K30" s="18"/>
    </row>
    <row r="31" spans="1:12" x14ac:dyDescent="0.25">
      <c r="B31" s="16"/>
      <c r="C31" s="18"/>
      <c r="D31" s="18"/>
      <c r="E31" s="18"/>
      <c r="F31" s="18"/>
      <c r="G31" s="18"/>
      <c r="H31" s="49"/>
      <c r="I31" s="49"/>
      <c r="J31" s="49"/>
      <c r="K31" s="18"/>
    </row>
    <row r="32" spans="1:12" x14ac:dyDescent="0.25">
      <c r="B32" s="16"/>
      <c r="C32" s="18"/>
      <c r="D32" s="18"/>
      <c r="E32" s="18"/>
      <c r="F32" s="18"/>
      <c r="G32" s="18"/>
      <c r="H32" s="18"/>
      <c r="I32" s="49"/>
      <c r="J32" s="49"/>
      <c r="K32" s="18"/>
    </row>
    <row r="33" spans="1:12" s="62" customFormat="1" x14ac:dyDescent="0.25">
      <c r="A33" s="65" t="s">
        <v>35</v>
      </c>
      <c r="B33" s="63"/>
      <c r="C33" s="64"/>
      <c r="D33" s="64"/>
      <c r="E33" s="64"/>
      <c r="F33" s="64"/>
      <c r="G33" s="64"/>
      <c r="H33" s="64"/>
      <c r="I33" s="64"/>
      <c r="J33" s="64"/>
      <c r="K33" s="64"/>
    </row>
    <row r="34" spans="1:12" x14ac:dyDescent="0.25">
      <c r="A34" s="1" t="s">
        <v>5</v>
      </c>
      <c r="B34" s="1"/>
      <c r="E34" s="3"/>
      <c r="F34" s="118"/>
    </row>
    <row r="35" spans="1:12" ht="15.75" thickBot="1" x14ac:dyDescent="0.3">
      <c r="B35" s="16"/>
      <c r="C35" s="18"/>
      <c r="D35" s="18"/>
      <c r="E35" s="18"/>
      <c r="F35" s="18"/>
      <c r="G35" s="18"/>
      <c r="H35" s="18"/>
      <c r="I35" s="49"/>
      <c r="J35" s="49"/>
      <c r="K35" s="18"/>
    </row>
    <row r="36" spans="1:12" ht="30.75" thickBot="1" x14ac:dyDescent="0.3">
      <c r="A36" s="12"/>
      <c r="B36" s="12"/>
      <c r="C36" s="14" t="s">
        <v>12</v>
      </c>
      <c r="D36" s="15" t="s">
        <v>13</v>
      </c>
      <c r="E36" s="3"/>
      <c r="G36" s="159" t="s">
        <v>84</v>
      </c>
      <c r="J36" s="105"/>
    </row>
    <row r="37" spans="1:12" x14ac:dyDescent="0.25">
      <c r="A37" s="6" t="s">
        <v>9</v>
      </c>
      <c r="B37" s="51" t="s">
        <v>21</v>
      </c>
      <c r="C37" s="53">
        <v>33323620.710000046</v>
      </c>
      <c r="D37" s="13">
        <f>C37/C37</f>
        <v>1</v>
      </c>
    </row>
    <row r="38" spans="1:12" ht="17.25" x14ac:dyDescent="0.25">
      <c r="A38" s="7" t="s">
        <v>103</v>
      </c>
      <c r="B38" s="52" t="s">
        <v>22</v>
      </c>
      <c r="C38" s="54">
        <f>G38*D38</f>
        <v>850277.50284515216</v>
      </c>
      <c r="D38" s="156">
        <v>0.66881107410947005</v>
      </c>
      <c r="F38" s="100">
        <f>G38/G43</f>
        <v>6.3346212484152231E-2</v>
      </c>
      <c r="G38" s="101">
        <v>1271326.8900000001</v>
      </c>
    </row>
    <row r="39" spans="1:12" ht="17.25" x14ac:dyDescent="0.25">
      <c r="A39" s="7" t="s">
        <v>104</v>
      </c>
      <c r="B39" s="52" t="s">
        <v>23</v>
      </c>
      <c r="C39" s="54">
        <f>G38*D39</f>
        <v>421049.38715484797</v>
      </c>
      <c r="D39" s="156">
        <v>0.33118892589052995</v>
      </c>
      <c r="F39" s="100"/>
    </row>
    <row r="40" spans="1:12" ht="17.25" x14ac:dyDescent="0.25">
      <c r="A40" s="7" t="s">
        <v>105</v>
      </c>
      <c r="B40" s="52" t="s">
        <v>24</v>
      </c>
      <c r="C40" s="54">
        <f>G40*D40</f>
        <v>12216389.744333686</v>
      </c>
      <c r="D40" s="156">
        <v>0.64987107348185924</v>
      </c>
      <c r="F40" s="100">
        <f>G40/G43</f>
        <v>0.93665378751584771</v>
      </c>
      <c r="G40" s="101">
        <v>18798174.350000054</v>
      </c>
    </row>
    <row r="41" spans="1:12" ht="17.25" x14ac:dyDescent="0.25">
      <c r="A41" s="7" t="s">
        <v>106</v>
      </c>
      <c r="B41" s="52" t="s">
        <v>25</v>
      </c>
      <c r="C41" s="54">
        <f>G40*D41</f>
        <v>3160974.0178862712</v>
      </c>
      <c r="D41" s="156">
        <v>0.16815324504564255</v>
      </c>
      <c r="F41" s="100"/>
    </row>
    <row r="42" spans="1:12" ht="17.25" x14ac:dyDescent="0.25">
      <c r="A42" s="7" t="s">
        <v>107</v>
      </c>
      <c r="B42" s="52" t="s">
        <v>26</v>
      </c>
      <c r="C42" s="55">
        <f>G40*D42</f>
        <v>3420810.5877800956</v>
      </c>
      <c r="D42" s="157">
        <v>0.18197568147249821</v>
      </c>
      <c r="F42" s="100"/>
    </row>
    <row r="43" spans="1:12" x14ac:dyDescent="0.25">
      <c r="A43" s="17" t="s">
        <v>108</v>
      </c>
      <c r="B43" s="30" t="s">
        <v>27</v>
      </c>
      <c r="C43" s="56">
        <f>SUM(C38:C42)</f>
        <v>20069501.240000054</v>
      </c>
      <c r="D43" s="11">
        <f>C43/C37</f>
        <v>0.6022605230882796</v>
      </c>
      <c r="F43" s="100">
        <f>C43/G43</f>
        <v>1</v>
      </c>
      <c r="G43" s="101">
        <v>20069501.240000054</v>
      </c>
      <c r="H43" s="102">
        <f>F38+F40-F43</f>
        <v>0</v>
      </c>
    </row>
    <row r="44" spans="1:12" x14ac:dyDescent="0.25">
      <c r="A44" s="8" t="s">
        <v>0</v>
      </c>
      <c r="B44" s="29" t="s">
        <v>28</v>
      </c>
      <c r="C44" s="57">
        <f>D45/C45</f>
        <v>8.8418800982150002E-3</v>
      </c>
      <c r="D44" s="4"/>
      <c r="J44" s="3"/>
    </row>
    <row r="45" spans="1:12" ht="17.25" x14ac:dyDescent="0.25">
      <c r="A45" s="8" t="s">
        <v>81</v>
      </c>
      <c r="B45" s="29" t="s">
        <v>29</v>
      </c>
      <c r="C45" s="54">
        <v>38181133</v>
      </c>
      <c r="D45" s="50">
        <v>337593</v>
      </c>
      <c r="J45" s="3"/>
      <c r="L45" s="105"/>
    </row>
    <row r="46" spans="1:12" ht="17.25" x14ac:dyDescent="0.25">
      <c r="A46" s="8" t="s">
        <v>32</v>
      </c>
      <c r="B46" s="29" t="s">
        <v>30</v>
      </c>
      <c r="C46" s="58">
        <v>125.63</v>
      </c>
      <c r="D46" s="4"/>
      <c r="I46" s="3"/>
      <c r="J46" s="41"/>
    </row>
    <row r="47" spans="1:12" ht="15.75" thickBot="1" x14ac:dyDescent="0.3">
      <c r="A47" s="9" t="s">
        <v>33</v>
      </c>
      <c r="B47" s="31" t="s">
        <v>31</v>
      </c>
      <c r="C47" s="59">
        <f>C46/1000</f>
        <v>0.12562999999999999</v>
      </c>
      <c r="D47" s="5"/>
      <c r="H47" s="3"/>
      <c r="I47" s="3"/>
      <c r="J47" s="3"/>
    </row>
    <row r="48" spans="1:12" ht="15.75" thickBot="1" x14ac:dyDescent="0.3">
      <c r="B48" s="16"/>
      <c r="H48" s="3"/>
      <c r="I48" s="3"/>
      <c r="J48" s="3"/>
    </row>
    <row r="49" spans="1:11" ht="15.75" thickBot="1" x14ac:dyDescent="0.3">
      <c r="A49" s="22" t="s">
        <v>88</v>
      </c>
      <c r="B49" s="14"/>
      <c r="C49" s="23" t="s">
        <v>14</v>
      </c>
      <c r="D49" s="15" t="s">
        <v>15</v>
      </c>
      <c r="E49" s="24" t="s">
        <v>2</v>
      </c>
      <c r="F49" s="24" t="s">
        <v>3</v>
      </c>
      <c r="G49" s="15" t="s">
        <v>4</v>
      </c>
      <c r="H49" s="90" t="s">
        <v>65</v>
      </c>
      <c r="I49" s="42"/>
      <c r="J49" s="3"/>
    </row>
    <row r="50" spans="1:11" x14ac:dyDescent="0.25">
      <c r="A50" s="8" t="s">
        <v>16</v>
      </c>
      <c r="B50" s="29" t="s">
        <v>37</v>
      </c>
      <c r="C50" s="114">
        <f>C21</f>
        <v>9.0999999999999998E-2</v>
      </c>
      <c r="D50" s="115">
        <f t="shared" ref="D50:G50" si="8">D21</f>
        <v>0.106</v>
      </c>
      <c r="E50" s="116">
        <f t="shared" si="8"/>
        <v>7.6999999999999999E-2</v>
      </c>
      <c r="F50" s="116">
        <f t="shared" si="8"/>
        <v>0.113</v>
      </c>
      <c r="G50" s="115">
        <f t="shared" si="8"/>
        <v>0.157</v>
      </c>
      <c r="H50" s="91"/>
      <c r="I50" s="43"/>
      <c r="J50" s="3"/>
    </row>
    <row r="51" spans="1:11" x14ac:dyDescent="0.25">
      <c r="A51" s="7" t="s">
        <v>17</v>
      </c>
      <c r="B51" s="52" t="s">
        <v>38</v>
      </c>
      <c r="C51" s="192"/>
      <c r="D51" s="193"/>
      <c r="E51" s="194"/>
      <c r="F51" s="194"/>
      <c r="G51" s="190"/>
      <c r="H51" s="92"/>
      <c r="I51" s="44"/>
      <c r="J51" s="3"/>
    </row>
    <row r="52" spans="1:11" x14ac:dyDescent="0.25">
      <c r="A52" s="8" t="s">
        <v>109</v>
      </c>
      <c r="B52" s="29" t="s">
        <v>39</v>
      </c>
      <c r="C52" s="33">
        <f>C38</f>
        <v>850277.50284515216</v>
      </c>
      <c r="D52" s="20">
        <f>C39</f>
        <v>421049.38715484797</v>
      </c>
      <c r="E52" s="26">
        <f>C40</f>
        <v>12216389.744333686</v>
      </c>
      <c r="F52" s="26">
        <f>C41</f>
        <v>3160974.0178862712</v>
      </c>
      <c r="G52" s="20">
        <f>C42</f>
        <v>3420810.5877800956</v>
      </c>
      <c r="H52" s="93">
        <f>SUM(C52:G52)</f>
        <v>20069501.240000054</v>
      </c>
      <c r="I52" s="45"/>
      <c r="J52" s="3"/>
    </row>
    <row r="53" spans="1:11" x14ac:dyDescent="0.25">
      <c r="A53" s="8"/>
      <c r="B53" s="29"/>
      <c r="C53" s="10"/>
      <c r="D53" s="4"/>
      <c r="E53" s="27"/>
      <c r="F53" s="27"/>
      <c r="G53" s="4"/>
      <c r="H53" s="7"/>
      <c r="I53" s="2"/>
      <c r="J53" s="3"/>
    </row>
    <row r="54" spans="1:11" x14ac:dyDescent="0.25">
      <c r="A54" s="8" t="s">
        <v>89</v>
      </c>
      <c r="B54" s="29" t="s">
        <v>40</v>
      </c>
      <c r="C54" s="34">
        <f>C52*C50</f>
        <v>77375.252758908842</v>
      </c>
      <c r="D54" s="21">
        <f t="shared" ref="D54" si="9">D52*D50</f>
        <v>44631.235038413884</v>
      </c>
      <c r="E54" s="28">
        <f>E52*E50</f>
        <v>940662.01031369378</v>
      </c>
      <c r="F54" s="28">
        <f t="shared" ref="F54:G54" si="10">F52*F50</f>
        <v>357190.06402114866</v>
      </c>
      <c r="G54" s="21">
        <f t="shared" si="10"/>
        <v>537067.26228147501</v>
      </c>
      <c r="H54" s="94">
        <f t="shared" ref="H54:H59" si="11">SUM(C54:G54)</f>
        <v>1956925.8244136404</v>
      </c>
      <c r="I54" s="46"/>
      <c r="J54" s="3"/>
    </row>
    <row r="55" spans="1:11" x14ac:dyDescent="0.25">
      <c r="A55" s="8" t="s">
        <v>90</v>
      </c>
      <c r="B55" s="29" t="s">
        <v>41</v>
      </c>
      <c r="C55" s="34">
        <f>C52*$C$44</f>
        <v>7518.0517303664992</v>
      </c>
      <c r="D55" s="21">
        <f t="shared" ref="D55:G55" si="12">D52*$C$44</f>
        <v>3722.8681966500726</v>
      </c>
      <c r="E55" s="28">
        <f t="shared" si="12"/>
        <v>108015.85335246185</v>
      </c>
      <c r="F55" s="28">
        <f t="shared" si="12"/>
        <v>27948.953259723326</v>
      </c>
      <c r="G55" s="21">
        <f t="shared" si="12"/>
        <v>30246.397055855985</v>
      </c>
      <c r="H55" s="94">
        <f t="shared" si="11"/>
        <v>177452.12359505772</v>
      </c>
      <c r="I55" s="46"/>
      <c r="J55" s="3"/>
    </row>
    <row r="56" spans="1:11" ht="15.75" thickBot="1" x14ac:dyDescent="0.3">
      <c r="A56" s="9" t="s">
        <v>91</v>
      </c>
      <c r="B56" s="31" t="s">
        <v>42</v>
      </c>
      <c r="C56" s="38">
        <f>C52*$C$47</f>
        <v>106820.36268243646</v>
      </c>
      <c r="D56" s="39">
        <f t="shared" ref="D56:G56" si="13">D52*$C$47</f>
        <v>52896.434508263548</v>
      </c>
      <c r="E56" s="40">
        <f t="shared" si="13"/>
        <v>1534745.0435806408</v>
      </c>
      <c r="F56" s="40">
        <f t="shared" si="13"/>
        <v>397113.16586705222</v>
      </c>
      <c r="G56" s="39">
        <f t="shared" si="13"/>
        <v>429756.43414281338</v>
      </c>
      <c r="H56" s="95">
        <f t="shared" si="11"/>
        <v>2521331.4407812064</v>
      </c>
      <c r="I56" s="46"/>
      <c r="J56" s="3"/>
    </row>
    <row r="57" spans="1:11" x14ac:dyDescent="0.25">
      <c r="A57" s="17" t="s">
        <v>20</v>
      </c>
      <c r="B57" s="30" t="s">
        <v>43</v>
      </c>
      <c r="C57" s="35">
        <f>C54-C55-C56</f>
        <v>-36963.161653894116</v>
      </c>
      <c r="D57" s="36">
        <f t="shared" ref="D57:G57" si="14">D54-D55-D56</f>
        <v>-11988.067666499737</v>
      </c>
      <c r="E57" s="37">
        <f t="shared" si="14"/>
        <v>-702098.88661940885</v>
      </c>
      <c r="F57" s="37">
        <f t="shared" si="14"/>
        <v>-67872.055105626874</v>
      </c>
      <c r="G57" s="36">
        <f t="shared" si="14"/>
        <v>77064.431082805619</v>
      </c>
      <c r="H57" s="98">
        <f t="shared" si="11"/>
        <v>-741857.73996262392</v>
      </c>
      <c r="I57" s="47"/>
      <c r="J57" s="3"/>
    </row>
    <row r="58" spans="1:11" x14ac:dyDescent="0.25">
      <c r="A58" s="76" t="s">
        <v>18</v>
      </c>
      <c r="B58" s="77" t="s">
        <v>44</v>
      </c>
      <c r="C58" s="78">
        <f>IF(C57&gt;0,C57,0)</f>
        <v>0</v>
      </c>
      <c r="D58" s="79">
        <f t="shared" ref="D58:G58" si="15">IF(D57&gt;0,D57,0)</f>
        <v>0</v>
      </c>
      <c r="E58" s="80">
        <f t="shared" si="15"/>
        <v>0</v>
      </c>
      <c r="F58" s="80">
        <f t="shared" si="15"/>
        <v>0</v>
      </c>
      <c r="G58" s="79">
        <f t="shared" si="15"/>
        <v>77064.431082805619</v>
      </c>
      <c r="H58" s="96">
        <f t="shared" si="11"/>
        <v>77064.431082805619</v>
      </c>
      <c r="I58" s="48"/>
      <c r="J58" s="49"/>
      <c r="K58" s="18"/>
    </row>
    <row r="59" spans="1:11" ht="15.75" thickBot="1" x14ac:dyDescent="0.3">
      <c r="A59" s="81" t="s">
        <v>19</v>
      </c>
      <c r="B59" s="82" t="s">
        <v>45</v>
      </c>
      <c r="C59" s="83">
        <f>IF(C57&lt;0,C57*-1,0)</f>
        <v>36963.161653894116</v>
      </c>
      <c r="D59" s="84">
        <f t="shared" ref="D59:G59" si="16">IF(D57&lt;0,D57*-1,0)</f>
        <v>11988.067666499737</v>
      </c>
      <c r="E59" s="85">
        <f t="shared" si="16"/>
        <v>702098.88661940885</v>
      </c>
      <c r="F59" s="85">
        <f t="shared" si="16"/>
        <v>67872.055105626874</v>
      </c>
      <c r="G59" s="84">
        <f t="shared" si="16"/>
        <v>0</v>
      </c>
      <c r="H59" s="97">
        <f t="shared" si="11"/>
        <v>818922.17104542954</v>
      </c>
      <c r="I59" s="48"/>
      <c r="J59" s="49"/>
      <c r="K59" s="18"/>
    </row>
    <row r="60" spans="1:11" x14ac:dyDescent="0.25">
      <c r="B60" s="16"/>
      <c r="C60" s="18"/>
      <c r="D60" s="18"/>
      <c r="E60" s="18"/>
      <c r="F60" s="18"/>
      <c r="G60" s="18"/>
      <c r="H60" s="49"/>
      <c r="I60" s="49"/>
      <c r="J60" s="49"/>
      <c r="K60" s="18"/>
    </row>
    <row r="61" spans="1:11" ht="15.75" thickBot="1" x14ac:dyDescent="0.3">
      <c r="A61" s="86" t="s">
        <v>36</v>
      </c>
      <c r="H61" s="3"/>
      <c r="I61" s="3"/>
    </row>
    <row r="62" spans="1:11" x14ac:dyDescent="0.25">
      <c r="A62" s="6" t="s">
        <v>100</v>
      </c>
      <c r="B62" s="51"/>
      <c r="C62" s="87">
        <f>C57-C28</f>
        <v>11520.838346105884</v>
      </c>
      <c r="D62" s="88">
        <f t="shared" ref="D62:G62" si="17">D57-D28</f>
        <v>21479.932333500263</v>
      </c>
      <c r="E62" s="89">
        <f t="shared" si="17"/>
        <v>150676.11338059115</v>
      </c>
      <c r="F62" s="89">
        <f t="shared" si="17"/>
        <v>168053.94489437313</v>
      </c>
      <c r="G62" s="88">
        <f t="shared" si="17"/>
        <v>325653.43108280562</v>
      </c>
      <c r="H62" s="98">
        <f t="shared" ref="H62:H64" si="18">SUM(C62:G62)</f>
        <v>677384.26003737608</v>
      </c>
    </row>
    <row r="63" spans="1:11" x14ac:dyDescent="0.25">
      <c r="A63" s="76" t="s">
        <v>101</v>
      </c>
      <c r="B63" s="77" t="s">
        <v>66</v>
      </c>
      <c r="C63" s="78">
        <f>IF(C62&gt;0,C62,0)</f>
        <v>11520.838346105884</v>
      </c>
      <c r="D63" s="79">
        <f t="shared" ref="D63:G63" si="19">IF(D62&gt;0,D62,0)</f>
        <v>21479.932333500263</v>
      </c>
      <c r="E63" s="80">
        <f t="shared" si="19"/>
        <v>150676.11338059115</v>
      </c>
      <c r="F63" s="80">
        <f t="shared" si="19"/>
        <v>168053.94489437313</v>
      </c>
      <c r="G63" s="79">
        <f t="shared" si="19"/>
        <v>325653.43108280562</v>
      </c>
      <c r="H63" s="96">
        <f t="shared" si="18"/>
        <v>677384.26003737608</v>
      </c>
    </row>
    <row r="64" spans="1:11" ht="15.75" thickBot="1" x14ac:dyDescent="0.3">
      <c r="A64" s="81" t="s">
        <v>102</v>
      </c>
      <c r="B64" s="82" t="s">
        <v>67</v>
      </c>
      <c r="C64" s="83">
        <f>IF(C62&lt;0,C62*-1,0)</f>
        <v>0</v>
      </c>
      <c r="D64" s="84">
        <f t="shared" ref="D64:G64" si="20">IF(D62&lt;0,D62*-1,0)</f>
        <v>0</v>
      </c>
      <c r="E64" s="85">
        <f t="shared" si="20"/>
        <v>0</v>
      </c>
      <c r="F64" s="85">
        <f t="shared" si="20"/>
        <v>0</v>
      </c>
      <c r="G64" s="84">
        <f t="shared" si="20"/>
        <v>0</v>
      </c>
      <c r="H64" s="97">
        <f t="shared" si="18"/>
        <v>0</v>
      </c>
    </row>
    <row r="65" spans="1:8" ht="15.75" thickBot="1" x14ac:dyDescent="0.3">
      <c r="A65" s="151" t="s">
        <v>83</v>
      </c>
      <c r="B65" s="14"/>
      <c r="C65" s="152">
        <f>C52-C23</f>
        <v>72247.502845152165</v>
      </c>
      <c r="D65" s="153">
        <f t="shared" ref="D65:G65" si="21">D52-D23</f>
        <v>-116024.61284515203</v>
      </c>
      <c r="E65" s="154">
        <f t="shared" si="21"/>
        <v>-1468218.2556663137</v>
      </c>
      <c r="F65" s="154">
        <f t="shared" si="21"/>
        <v>-624961.98211372877</v>
      </c>
      <c r="G65" s="153">
        <f t="shared" si="21"/>
        <v>-568329.41221990436</v>
      </c>
      <c r="H65" s="155">
        <f>SUM(C65:G65)</f>
        <v>-2705286.7599999467</v>
      </c>
    </row>
  </sheetData>
  <sheetProtection password="CC7B" sheet="1" objects="1" scenarios="1"/>
  <pageMargins left="0.11811023622047245" right="0.11811023622047245" top="0.35433070866141736" bottom="0.35433070866141736" header="0.11811023622047245" footer="0.11811023622047245"/>
  <pageSetup scale="75" orientation="portrait" verticalDpi="0" r:id="rId1"/>
  <headerFooter>
    <oddFooter>&amp;L&amp;9&amp;Z&amp;F  &amp;A  &amp;D  &amp;T&amp;R&amp;P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3:L65"/>
  <sheetViews>
    <sheetView zoomScale="80" zoomScaleNormal="80" workbookViewId="0">
      <selection activeCell="L38" sqref="L38"/>
    </sheetView>
  </sheetViews>
  <sheetFormatPr defaultRowHeight="15" x14ac:dyDescent="0.25"/>
  <cols>
    <col min="1" max="1" width="36" customWidth="1"/>
    <col min="2" max="2" width="11.140625" bestFit="1" customWidth="1"/>
    <col min="3" max="3" width="15.28515625" bestFit="1" customWidth="1"/>
    <col min="4" max="4" width="12.5703125" bestFit="1" customWidth="1"/>
    <col min="5" max="5" width="12.85546875" bestFit="1" customWidth="1"/>
    <col min="6" max="7" width="12.140625" bestFit="1" customWidth="1"/>
    <col min="8" max="8" width="13.28515625" bestFit="1" customWidth="1"/>
    <col min="9" max="9" width="5.28515625" customWidth="1"/>
  </cols>
  <sheetData>
    <row r="3" spans="1:11" ht="5.25" customHeight="1" x14ac:dyDescent="0.25">
      <c r="A3" s="1"/>
      <c r="B3" s="1"/>
      <c r="E3" s="3"/>
    </row>
    <row r="4" spans="1:11" x14ac:dyDescent="0.25">
      <c r="A4" s="1"/>
      <c r="B4" s="1"/>
      <c r="E4" s="3"/>
    </row>
    <row r="5" spans="1:11" s="61" customFormat="1" x14ac:dyDescent="0.25">
      <c r="A5" s="60" t="s">
        <v>34</v>
      </c>
      <c r="B5" s="60"/>
    </row>
    <row r="6" spans="1:11" x14ac:dyDescent="0.25">
      <c r="A6" s="1" t="s">
        <v>5</v>
      </c>
      <c r="B6" s="1"/>
      <c r="E6" s="99" t="s">
        <v>78</v>
      </c>
      <c r="F6" s="99">
        <v>2017</v>
      </c>
    </row>
    <row r="7" spans="1:11" ht="15.75" thickBot="1" x14ac:dyDescent="0.3">
      <c r="A7" s="1"/>
      <c r="B7" s="1"/>
      <c r="E7" s="3"/>
      <c r="J7" s="3"/>
      <c r="K7" s="3"/>
    </row>
    <row r="8" spans="1:11" ht="15.75" thickBot="1" x14ac:dyDescent="0.3">
      <c r="A8" s="12"/>
      <c r="B8" s="12"/>
      <c r="C8" s="14" t="s">
        <v>12</v>
      </c>
      <c r="D8" s="15" t="s">
        <v>13</v>
      </c>
      <c r="E8" s="3"/>
      <c r="J8" s="3"/>
      <c r="K8" s="3"/>
    </row>
    <row r="9" spans="1:11" x14ac:dyDescent="0.25">
      <c r="A9" s="6" t="s">
        <v>9</v>
      </c>
      <c r="B9" s="51" t="s">
        <v>46</v>
      </c>
      <c r="C9" s="180"/>
      <c r="D9" s="189"/>
      <c r="J9" s="3"/>
      <c r="K9" s="3"/>
    </row>
    <row r="10" spans="1:11" ht="17.25" x14ac:dyDescent="0.25">
      <c r="A10" s="7" t="s">
        <v>7</v>
      </c>
      <c r="B10" s="52" t="s">
        <v>47</v>
      </c>
      <c r="C10" s="54">
        <v>741130</v>
      </c>
      <c r="D10" s="190"/>
      <c r="E10" s="100"/>
      <c r="G10" s="100"/>
      <c r="J10" s="3"/>
      <c r="K10" s="3"/>
    </row>
    <row r="11" spans="1:11" ht="17.25" x14ac:dyDescent="0.25">
      <c r="A11" s="7" t="s">
        <v>8</v>
      </c>
      <c r="B11" s="52" t="s">
        <v>48</v>
      </c>
      <c r="C11" s="54">
        <v>429174</v>
      </c>
      <c r="D11" s="190"/>
      <c r="E11" s="100"/>
      <c r="F11" s="102"/>
      <c r="G11" s="100"/>
      <c r="J11" s="3"/>
      <c r="K11" s="3"/>
    </row>
    <row r="12" spans="1:11" ht="17.25" x14ac:dyDescent="0.25">
      <c r="A12" s="7" t="s">
        <v>6</v>
      </c>
      <c r="B12" s="52" t="s">
        <v>49</v>
      </c>
      <c r="C12" s="54">
        <v>12122755</v>
      </c>
      <c r="D12" s="190"/>
      <c r="G12" s="100"/>
      <c r="J12" s="3"/>
      <c r="K12" s="3"/>
    </row>
    <row r="13" spans="1:11" ht="17.25" x14ac:dyDescent="0.25">
      <c r="A13" s="7" t="s">
        <v>10</v>
      </c>
      <c r="B13" s="52" t="s">
        <v>50</v>
      </c>
      <c r="C13" s="54">
        <v>3296376</v>
      </c>
      <c r="D13" s="190"/>
      <c r="G13" s="100"/>
      <c r="J13" s="3"/>
      <c r="K13" s="3"/>
    </row>
    <row r="14" spans="1:11" ht="17.25" x14ac:dyDescent="0.25">
      <c r="A14" s="7" t="s">
        <v>11</v>
      </c>
      <c r="B14" s="52" t="s">
        <v>51</v>
      </c>
      <c r="C14" s="55">
        <v>3263521</v>
      </c>
      <c r="D14" s="191"/>
      <c r="F14" s="102"/>
      <c r="G14" s="100"/>
      <c r="J14" s="3"/>
      <c r="K14" s="3"/>
    </row>
    <row r="15" spans="1:11" x14ac:dyDescent="0.25">
      <c r="A15" s="17" t="s">
        <v>92</v>
      </c>
      <c r="B15" s="30" t="s">
        <v>52</v>
      </c>
      <c r="C15" s="56">
        <f>SUM(C10:C14)</f>
        <v>19852956</v>
      </c>
      <c r="D15" s="191"/>
      <c r="J15" s="3"/>
      <c r="K15" s="3"/>
    </row>
    <row r="16" spans="1:11" x14ac:dyDescent="0.25">
      <c r="A16" s="8" t="s">
        <v>85</v>
      </c>
      <c r="B16" s="29" t="s">
        <v>53</v>
      </c>
      <c r="C16" s="58">
        <v>1.204E-2</v>
      </c>
      <c r="D16" s="4"/>
      <c r="J16" s="3"/>
      <c r="K16" s="3"/>
    </row>
    <row r="17" spans="1:12" ht="17.25" x14ac:dyDescent="0.25">
      <c r="A17" s="8" t="s">
        <v>86</v>
      </c>
      <c r="B17" s="29" t="s">
        <v>54</v>
      </c>
      <c r="C17" s="181"/>
      <c r="D17" s="4"/>
      <c r="I17" s="3"/>
      <c r="J17" s="41"/>
      <c r="K17" s="3"/>
    </row>
    <row r="18" spans="1:12" ht="15.75" thickBot="1" x14ac:dyDescent="0.3">
      <c r="A18" s="9" t="s">
        <v>87</v>
      </c>
      <c r="B18" s="31" t="s">
        <v>55</v>
      </c>
      <c r="C18" s="188">
        <v>0.1062</v>
      </c>
      <c r="D18" s="5"/>
      <c r="I18" s="3"/>
      <c r="J18" s="3"/>
      <c r="K18" s="3"/>
    </row>
    <row r="19" spans="1:12" ht="8.25" customHeight="1" thickBot="1" x14ac:dyDescent="0.3">
      <c r="B19" s="16"/>
      <c r="I19" s="3"/>
      <c r="J19" s="3"/>
      <c r="K19" s="3"/>
    </row>
    <row r="20" spans="1:12" ht="15.75" thickBot="1" x14ac:dyDescent="0.3">
      <c r="A20" s="22" t="s">
        <v>1</v>
      </c>
      <c r="B20" s="14"/>
      <c r="C20" s="23" t="s">
        <v>14</v>
      </c>
      <c r="D20" s="15" t="s">
        <v>15</v>
      </c>
      <c r="E20" s="24" t="s">
        <v>2</v>
      </c>
      <c r="F20" s="24" t="s">
        <v>3</v>
      </c>
      <c r="G20" s="15" t="s">
        <v>4</v>
      </c>
      <c r="H20" s="90" t="s">
        <v>65</v>
      </c>
      <c r="I20" s="42"/>
      <c r="J20" s="3"/>
      <c r="K20" s="3"/>
    </row>
    <row r="21" spans="1:12" x14ac:dyDescent="0.25">
      <c r="A21" s="8" t="s">
        <v>16</v>
      </c>
      <c r="B21" s="29" t="s">
        <v>56</v>
      </c>
      <c r="C21" s="32">
        <v>7.6999999999999999E-2</v>
      </c>
      <c r="D21" s="19">
        <v>0.09</v>
      </c>
      <c r="E21" s="25">
        <v>6.5000000000000002E-2</v>
      </c>
      <c r="F21" s="25">
        <v>9.5000000000000001E-2</v>
      </c>
      <c r="G21" s="19">
        <v>0.13200000000000001</v>
      </c>
      <c r="H21" s="91"/>
      <c r="I21" s="43"/>
      <c r="J21" s="3"/>
      <c r="K21" s="3"/>
    </row>
    <row r="22" spans="1:12" x14ac:dyDescent="0.25">
      <c r="A22" s="7" t="s">
        <v>17</v>
      </c>
      <c r="B22" s="52" t="s">
        <v>57</v>
      </c>
      <c r="C22" s="192"/>
      <c r="D22" s="193"/>
      <c r="E22" s="194"/>
      <c r="F22" s="194"/>
      <c r="G22" s="190"/>
      <c r="H22" s="92"/>
      <c r="I22" s="44"/>
      <c r="J22" s="3"/>
      <c r="K22" s="3"/>
    </row>
    <row r="23" spans="1:12" x14ac:dyDescent="0.25">
      <c r="A23" s="8" t="s">
        <v>96</v>
      </c>
      <c r="B23" s="29" t="s">
        <v>58</v>
      </c>
      <c r="C23" s="33">
        <f>C10</f>
        <v>741130</v>
      </c>
      <c r="D23" s="20">
        <f>C11</f>
        <v>429174</v>
      </c>
      <c r="E23" s="26">
        <f>C12</f>
        <v>12122755</v>
      </c>
      <c r="F23" s="26">
        <f>C13</f>
        <v>3296376</v>
      </c>
      <c r="G23" s="20">
        <f>C14</f>
        <v>3263521</v>
      </c>
      <c r="H23" s="93">
        <f>SUM(C23:G23)</f>
        <v>19852956</v>
      </c>
      <c r="I23" s="45"/>
      <c r="J23" s="3"/>
      <c r="K23" s="3"/>
    </row>
    <row r="24" spans="1:12" ht="9.75" customHeight="1" x14ac:dyDescent="0.25">
      <c r="A24" s="8"/>
      <c r="B24" s="29"/>
      <c r="C24" s="10"/>
      <c r="D24" s="4"/>
      <c r="E24" s="27"/>
      <c r="F24" s="27"/>
      <c r="G24" s="4"/>
      <c r="H24" s="7"/>
      <c r="I24" s="2"/>
      <c r="J24" s="3"/>
    </row>
    <row r="25" spans="1:12" x14ac:dyDescent="0.25">
      <c r="A25" s="8" t="s">
        <v>93</v>
      </c>
      <c r="B25" s="29" t="s">
        <v>59</v>
      </c>
      <c r="C25" s="182">
        <f t="shared" ref="C25:D25" si="0">C23*C21</f>
        <v>57067.01</v>
      </c>
      <c r="D25" s="183">
        <f t="shared" si="0"/>
        <v>38625.659999999996</v>
      </c>
      <c r="E25" s="184">
        <f>E23*E21</f>
        <v>787979.07500000007</v>
      </c>
      <c r="F25" s="184">
        <f t="shared" ref="F25:G25" si="1">F23*F21</f>
        <v>313155.72000000003</v>
      </c>
      <c r="G25" s="183">
        <f t="shared" si="1"/>
        <v>430784.772</v>
      </c>
      <c r="H25" s="94">
        <f t="shared" ref="H25:H30" si="2">SUM(C25:G25)</f>
        <v>1627612.2370000002</v>
      </c>
      <c r="I25" s="46"/>
      <c r="J25" s="3"/>
    </row>
    <row r="26" spans="1:12" x14ac:dyDescent="0.25">
      <c r="A26" s="8" t="s">
        <v>94</v>
      </c>
      <c r="B26" s="29" t="s">
        <v>60</v>
      </c>
      <c r="C26" s="182">
        <f t="shared" ref="C26:D26" si="3">C23*$C$16</f>
        <v>8923.2052000000003</v>
      </c>
      <c r="D26" s="183">
        <f t="shared" si="3"/>
        <v>5167.2549600000002</v>
      </c>
      <c r="E26" s="184">
        <f>E23*$C$16</f>
        <v>145957.97020000001</v>
      </c>
      <c r="F26" s="184">
        <f t="shared" ref="F26:G26" si="4">F23*$C$16</f>
        <v>39688.367040000005</v>
      </c>
      <c r="G26" s="183">
        <f t="shared" si="4"/>
        <v>39292.792840000002</v>
      </c>
      <c r="H26" s="94">
        <f t="shared" si="2"/>
        <v>239029.59024000002</v>
      </c>
      <c r="I26" s="46"/>
      <c r="J26" s="3"/>
    </row>
    <row r="27" spans="1:12" ht="15.75" thickBot="1" x14ac:dyDescent="0.3">
      <c r="A27" s="9" t="s">
        <v>95</v>
      </c>
      <c r="B27" s="31" t="s">
        <v>61</v>
      </c>
      <c r="C27" s="185">
        <f>C23*$C$18</f>
        <v>78708.006000000008</v>
      </c>
      <c r="D27" s="186">
        <f t="shared" ref="D27:G27" si="5">D23*$C$18</f>
        <v>45578.2788</v>
      </c>
      <c r="E27" s="187">
        <f t="shared" si="5"/>
        <v>1287436.581</v>
      </c>
      <c r="F27" s="187">
        <f t="shared" si="5"/>
        <v>350075.1312</v>
      </c>
      <c r="G27" s="186">
        <f t="shared" si="5"/>
        <v>346585.9302</v>
      </c>
      <c r="H27" s="95">
        <f t="shared" si="2"/>
        <v>2108383.9271999998</v>
      </c>
      <c r="I27" s="46"/>
      <c r="J27" s="3"/>
    </row>
    <row r="28" spans="1:12" x14ac:dyDescent="0.25">
      <c r="A28" s="17" t="s">
        <v>99</v>
      </c>
      <c r="B28" s="30" t="s">
        <v>62</v>
      </c>
      <c r="C28" s="120">
        <f>51835-78706</f>
        <v>-26871</v>
      </c>
      <c r="D28" s="121">
        <f>30017-45577</f>
        <v>-15560</v>
      </c>
      <c r="E28" s="122">
        <f>847873-1287404</f>
        <v>-439531</v>
      </c>
      <c r="F28" s="122">
        <f>230551-350066-1</f>
        <v>-119516</v>
      </c>
      <c r="G28" s="121">
        <f>228253-346577</f>
        <v>-118324</v>
      </c>
      <c r="H28" s="98">
        <f t="shared" si="2"/>
        <v>-719802</v>
      </c>
      <c r="I28" s="47"/>
      <c r="J28" s="49"/>
      <c r="L28" s="18"/>
    </row>
    <row r="29" spans="1:12" x14ac:dyDescent="0.25">
      <c r="A29" s="66" t="s">
        <v>97</v>
      </c>
      <c r="B29" s="67" t="s">
        <v>63</v>
      </c>
      <c r="C29" s="68">
        <f>IF(C28&gt;0,C28,0)</f>
        <v>0</v>
      </c>
      <c r="D29" s="69">
        <f t="shared" ref="D29:G29" si="6">IF(D28&gt;0,D28,0)</f>
        <v>0</v>
      </c>
      <c r="E29" s="70">
        <f t="shared" si="6"/>
        <v>0</v>
      </c>
      <c r="F29" s="70">
        <f t="shared" si="6"/>
        <v>0</v>
      </c>
      <c r="G29" s="69">
        <f t="shared" si="6"/>
        <v>0</v>
      </c>
      <c r="H29" s="96">
        <f t="shared" si="2"/>
        <v>0</v>
      </c>
      <c r="I29" s="48"/>
      <c r="J29" s="49"/>
      <c r="K29" s="18"/>
    </row>
    <row r="30" spans="1:12" ht="15.75" thickBot="1" x14ac:dyDescent="0.3">
      <c r="A30" s="71" t="s">
        <v>98</v>
      </c>
      <c r="B30" s="72" t="s">
        <v>64</v>
      </c>
      <c r="C30" s="73">
        <f>IF(C28&lt;0,C28*-1,0)</f>
        <v>26871</v>
      </c>
      <c r="D30" s="74">
        <f t="shared" ref="D30:G30" si="7">IF(D28&lt;0,D28*-1,0)</f>
        <v>15560</v>
      </c>
      <c r="E30" s="75">
        <f t="shared" si="7"/>
        <v>439531</v>
      </c>
      <c r="F30" s="75">
        <f t="shared" si="7"/>
        <v>119516</v>
      </c>
      <c r="G30" s="74">
        <f t="shared" si="7"/>
        <v>118324</v>
      </c>
      <c r="H30" s="97">
        <f t="shared" si="2"/>
        <v>719802</v>
      </c>
      <c r="I30" s="48"/>
      <c r="J30" s="49"/>
      <c r="K30" s="18"/>
    </row>
    <row r="31" spans="1:12" x14ac:dyDescent="0.25">
      <c r="B31" s="16"/>
      <c r="C31" s="18"/>
      <c r="D31" s="18"/>
      <c r="E31" s="18"/>
      <c r="F31" s="18"/>
      <c r="G31" s="18"/>
      <c r="H31" s="49"/>
      <c r="I31" s="49"/>
      <c r="J31" s="49"/>
      <c r="K31" s="18"/>
    </row>
    <row r="32" spans="1:12" x14ac:dyDescent="0.25">
      <c r="B32" s="16"/>
      <c r="C32" s="18"/>
      <c r="D32" s="18"/>
      <c r="E32" s="18"/>
      <c r="F32" s="18"/>
      <c r="G32" s="18"/>
      <c r="H32" s="18"/>
      <c r="I32" s="49"/>
      <c r="J32" s="49"/>
      <c r="K32" s="18"/>
    </row>
    <row r="33" spans="1:12" s="62" customFormat="1" x14ac:dyDescent="0.25">
      <c r="A33" s="65" t="s">
        <v>35</v>
      </c>
      <c r="B33" s="63"/>
      <c r="C33" s="64"/>
      <c r="D33" s="64"/>
      <c r="E33" s="64"/>
      <c r="F33" s="64"/>
      <c r="G33" s="64"/>
      <c r="H33" s="64"/>
      <c r="I33" s="64"/>
      <c r="J33" s="64"/>
      <c r="K33" s="64"/>
    </row>
    <row r="34" spans="1:12" x14ac:dyDescent="0.25">
      <c r="A34" s="1" t="s">
        <v>5</v>
      </c>
      <c r="B34" s="1"/>
      <c r="E34" s="3"/>
      <c r="F34" s="118"/>
    </row>
    <row r="35" spans="1:12" ht="15.75" thickBot="1" x14ac:dyDescent="0.3">
      <c r="B35" s="16"/>
      <c r="C35" s="18"/>
      <c r="D35" s="18"/>
      <c r="E35" s="18"/>
      <c r="F35" s="18"/>
      <c r="G35" s="18"/>
      <c r="H35" s="18"/>
      <c r="I35" s="49"/>
      <c r="J35" s="49"/>
      <c r="K35" s="18"/>
    </row>
    <row r="36" spans="1:12" ht="30.75" thickBot="1" x14ac:dyDescent="0.3">
      <c r="A36" s="12"/>
      <c r="B36" s="12"/>
      <c r="C36" s="14" t="s">
        <v>12</v>
      </c>
      <c r="D36" s="15" t="s">
        <v>13</v>
      </c>
      <c r="E36" s="3"/>
      <c r="G36" s="159" t="s">
        <v>84</v>
      </c>
      <c r="J36" s="105"/>
    </row>
    <row r="37" spans="1:12" x14ac:dyDescent="0.25">
      <c r="A37" s="6" t="s">
        <v>9</v>
      </c>
      <c r="B37" s="51" t="s">
        <v>21</v>
      </c>
      <c r="C37" s="53">
        <v>33871253.840000018</v>
      </c>
      <c r="D37" s="13">
        <f>C37/C37</f>
        <v>1</v>
      </c>
    </row>
    <row r="38" spans="1:12" ht="17.25" x14ac:dyDescent="0.25">
      <c r="A38" s="7" t="s">
        <v>103</v>
      </c>
      <c r="B38" s="52" t="s">
        <v>22</v>
      </c>
      <c r="C38" s="54">
        <f>G38*D38</f>
        <v>953650.64792775072</v>
      </c>
      <c r="D38" s="156">
        <v>0.66881107410947005</v>
      </c>
      <c r="F38" s="100">
        <f>G38/G43</f>
        <v>6.9273318402178902E-2</v>
      </c>
      <c r="G38" s="101">
        <v>1425889.44</v>
      </c>
    </row>
    <row r="39" spans="1:12" ht="17.25" x14ac:dyDescent="0.25">
      <c r="A39" s="7" t="s">
        <v>104</v>
      </c>
      <c r="B39" s="52" t="s">
        <v>23</v>
      </c>
      <c r="C39" s="54">
        <f>G38*D39</f>
        <v>472238.79207224923</v>
      </c>
      <c r="D39" s="156">
        <v>0.33118892589052995</v>
      </c>
      <c r="F39" s="100"/>
    </row>
    <row r="40" spans="1:12" ht="17.25" x14ac:dyDescent="0.25">
      <c r="A40" s="7" t="s">
        <v>105</v>
      </c>
      <c r="B40" s="52" t="s">
        <v>24</v>
      </c>
      <c r="C40" s="54">
        <f>G40*D40</f>
        <v>12449996.553083612</v>
      </c>
      <c r="D40" s="156">
        <v>0.64987107348185924</v>
      </c>
      <c r="F40" s="100">
        <f>G40/G43</f>
        <v>0.93072668159782102</v>
      </c>
      <c r="G40" s="101">
        <v>19157640.740000017</v>
      </c>
    </row>
    <row r="41" spans="1:12" ht="17.25" x14ac:dyDescent="0.25">
      <c r="A41" s="7" t="s">
        <v>106</v>
      </c>
      <c r="B41" s="52" t="s">
        <v>25</v>
      </c>
      <c r="C41" s="54">
        <f>G40*D41</f>
        <v>3221419.4578496078</v>
      </c>
      <c r="D41" s="156">
        <v>0.16815324504564255</v>
      </c>
      <c r="F41" s="100"/>
    </row>
    <row r="42" spans="1:12" ht="17.25" x14ac:dyDescent="0.25">
      <c r="A42" s="7" t="s">
        <v>107</v>
      </c>
      <c r="B42" s="52" t="s">
        <v>26</v>
      </c>
      <c r="C42" s="55">
        <f>G40*D42</f>
        <v>3486224.729066798</v>
      </c>
      <c r="D42" s="157">
        <v>0.18197568147249821</v>
      </c>
      <c r="F42" s="100"/>
    </row>
    <row r="43" spans="1:12" x14ac:dyDescent="0.25">
      <c r="A43" s="17" t="s">
        <v>108</v>
      </c>
      <c r="B43" s="30" t="s">
        <v>27</v>
      </c>
      <c r="C43" s="56">
        <f>SUM(C38:C42)</f>
        <v>20583530.180000015</v>
      </c>
      <c r="D43" s="11">
        <f>C43/C37</f>
        <v>0.60769909130709654</v>
      </c>
      <c r="F43" s="100">
        <f>C43/G43</f>
        <v>0.99999999999999978</v>
      </c>
      <c r="G43" s="101">
        <v>20583530.180000018</v>
      </c>
      <c r="H43" s="102">
        <f>F38+F40-F43</f>
        <v>0</v>
      </c>
    </row>
    <row r="44" spans="1:12" x14ac:dyDescent="0.25">
      <c r="A44" s="8" t="s">
        <v>0</v>
      </c>
      <c r="B44" s="29" t="s">
        <v>28</v>
      </c>
      <c r="C44" s="57">
        <f>D45/C45</f>
        <v>1.420720231910509E-2</v>
      </c>
      <c r="D44" s="4"/>
      <c r="J44" s="3"/>
    </row>
    <row r="45" spans="1:12" ht="17.25" x14ac:dyDescent="0.25">
      <c r="A45" s="8" t="s">
        <v>81</v>
      </c>
      <c r="B45" s="29" t="s">
        <v>29</v>
      </c>
      <c r="C45" s="54">
        <v>40325900</v>
      </c>
      <c r="D45" s="50">
        <v>572918.22</v>
      </c>
      <c r="J45" s="3"/>
      <c r="L45" s="105"/>
    </row>
    <row r="46" spans="1:12" ht="17.25" x14ac:dyDescent="0.25">
      <c r="A46" s="8" t="s">
        <v>32</v>
      </c>
      <c r="B46" s="29" t="s">
        <v>30</v>
      </c>
      <c r="C46" s="58">
        <v>97.04</v>
      </c>
      <c r="D46" s="4"/>
      <c r="I46" s="3"/>
      <c r="J46" s="41"/>
    </row>
    <row r="47" spans="1:12" ht="15.75" thickBot="1" x14ac:dyDescent="0.3">
      <c r="A47" s="9" t="s">
        <v>33</v>
      </c>
      <c r="B47" s="31" t="s">
        <v>31</v>
      </c>
      <c r="C47" s="59">
        <f>C46/1000</f>
        <v>9.7040000000000001E-2</v>
      </c>
      <c r="D47" s="5"/>
      <c r="H47" s="3"/>
      <c r="I47" s="3"/>
      <c r="J47" s="3"/>
    </row>
    <row r="48" spans="1:12" ht="15.75" thickBot="1" x14ac:dyDescent="0.3">
      <c r="B48" s="16"/>
      <c r="H48" s="3"/>
      <c r="I48" s="3"/>
      <c r="J48" s="3"/>
    </row>
    <row r="49" spans="1:11" ht="15.75" thickBot="1" x14ac:dyDescent="0.3">
      <c r="A49" s="22" t="s">
        <v>88</v>
      </c>
      <c r="B49" s="14"/>
      <c r="C49" s="23" t="s">
        <v>14</v>
      </c>
      <c r="D49" s="15" t="s">
        <v>15</v>
      </c>
      <c r="E49" s="24" t="s">
        <v>2</v>
      </c>
      <c r="F49" s="24" t="s">
        <v>3</v>
      </c>
      <c r="G49" s="15" t="s">
        <v>4</v>
      </c>
      <c r="H49" s="90" t="s">
        <v>65</v>
      </c>
      <c r="I49" s="42"/>
      <c r="J49" s="3"/>
    </row>
    <row r="50" spans="1:11" x14ac:dyDescent="0.25">
      <c r="A50" s="8" t="s">
        <v>16</v>
      </c>
      <c r="B50" s="29" t="s">
        <v>37</v>
      </c>
      <c r="C50" s="114">
        <f>C21</f>
        <v>7.6999999999999999E-2</v>
      </c>
      <c r="D50" s="115">
        <f t="shared" ref="D50:G50" si="8">D21</f>
        <v>0.09</v>
      </c>
      <c r="E50" s="116">
        <f t="shared" si="8"/>
        <v>6.5000000000000002E-2</v>
      </c>
      <c r="F50" s="116">
        <f t="shared" si="8"/>
        <v>9.5000000000000001E-2</v>
      </c>
      <c r="G50" s="115">
        <f t="shared" si="8"/>
        <v>0.13200000000000001</v>
      </c>
      <c r="H50" s="91"/>
      <c r="I50" s="43"/>
      <c r="J50" s="3"/>
    </row>
    <row r="51" spans="1:11" x14ac:dyDescent="0.25">
      <c r="A51" s="7" t="s">
        <v>17</v>
      </c>
      <c r="B51" s="52" t="s">
        <v>38</v>
      </c>
      <c r="C51" s="192"/>
      <c r="D51" s="193"/>
      <c r="E51" s="194"/>
      <c r="F51" s="194"/>
      <c r="G51" s="190"/>
      <c r="H51" s="92"/>
      <c r="I51" s="44"/>
      <c r="J51" s="3"/>
    </row>
    <row r="52" spans="1:11" x14ac:dyDescent="0.25">
      <c r="A52" s="8" t="s">
        <v>109</v>
      </c>
      <c r="B52" s="29" t="s">
        <v>39</v>
      </c>
      <c r="C52" s="33">
        <f>C38</f>
        <v>953650.64792775072</v>
      </c>
      <c r="D52" s="20">
        <f>C39</f>
        <v>472238.79207224923</v>
      </c>
      <c r="E52" s="26">
        <f>C40</f>
        <v>12449996.553083612</v>
      </c>
      <c r="F52" s="26">
        <f>C41</f>
        <v>3221419.4578496078</v>
      </c>
      <c r="G52" s="20">
        <f>C42</f>
        <v>3486224.729066798</v>
      </c>
      <c r="H52" s="93">
        <f>SUM(C52:G52)</f>
        <v>20583530.180000015</v>
      </c>
      <c r="I52" s="45"/>
      <c r="J52" s="3"/>
    </row>
    <row r="53" spans="1:11" x14ac:dyDescent="0.25">
      <c r="A53" s="8"/>
      <c r="B53" s="29"/>
      <c r="C53" s="10"/>
      <c r="D53" s="4"/>
      <c r="E53" s="27"/>
      <c r="F53" s="27"/>
      <c r="G53" s="4"/>
      <c r="H53" s="7"/>
      <c r="I53" s="2"/>
      <c r="J53" s="3"/>
    </row>
    <row r="54" spans="1:11" x14ac:dyDescent="0.25">
      <c r="A54" s="8" t="s">
        <v>89</v>
      </c>
      <c r="B54" s="29" t="s">
        <v>40</v>
      </c>
      <c r="C54" s="34">
        <f>C52*C50</f>
        <v>73431.099890436803</v>
      </c>
      <c r="D54" s="21">
        <f t="shared" ref="D54" si="9">D52*D50</f>
        <v>42501.491286502431</v>
      </c>
      <c r="E54" s="28">
        <f>E52*E50</f>
        <v>809249.77595043473</v>
      </c>
      <c r="F54" s="28">
        <f t="shared" ref="F54:G54" si="10">F52*F50</f>
        <v>306034.84849571274</v>
      </c>
      <c r="G54" s="21">
        <f t="shared" si="10"/>
        <v>460181.66423681733</v>
      </c>
      <c r="H54" s="94">
        <f t="shared" ref="H54:H59" si="11">SUM(C54:G54)</f>
        <v>1691398.8798599041</v>
      </c>
      <c r="I54" s="46"/>
      <c r="J54" s="3"/>
    </row>
    <row r="55" spans="1:11" x14ac:dyDescent="0.25">
      <c r="A55" s="8" t="s">
        <v>90</v>
      </c>
      <c r="B55" s="29" t="s">
        <v>41</v>
      </c>
      <c r="C55" s="34">
        <f>C52*$C$44</f>
        <v>13548.707696855212</v>
      </c>
      <c r="D55" s="21">
        <f t="shared" ref="D55:G55" si="12">D52*$C$44</f>
        <v>6709.1920619002458</v>
      </c>
      <c r="E55" s="28">
        <f t="shared" si="12"/>
        <v>176879.61990181985</v>
      </c>
      <c r="F55" s="28">
        <f t="shared" si="12"/>
        <v>45767.35799237121</v>
      </c>
      <c r="G55" s="21">
        <f t="shared" si="12"/>
        <v>49529.500055719327</v>
      </c>
      <c r="H55" s="94">
        <f t="shared" si="11"/>
        <v>292434.37770866585</v>
      </c>
      <c r="I55" s="46"/>
      <c r="J55" s="3"/>
    </row>
    <row r="56" spans="1:11" ht="15.75" thickBot="1" x14ac:dyDescent="0.3">
      <c r="A56" s="9" t="s">
        <v>91</v>
      </c>
      <c r="B56" s="31" t="s">
        <v>42</v>
      </c>
      <c r="C56" s="38">
        <f>C52*$C$47</f>
        <v>92542.258874908934</v>
      </c>
      <c r="D56" s="39">
        <f t="shared" ref="D56:G56" si="13">D52*$C$47</f>
        <v>45826.052382691065</v>
      </c>
      <c r="E56" s="40">
        <f t="shared" si="13"/>
        <v>1208147.6655112337</v>
      </c>
      <c r="F56" s="40">
        <f t="shared" si="13"/>
        <v>312606.54418972594</v>
      </c>
      <c r="G56" s="39">
        <f t="shared" si="13"/>
        <v>338303.2477086421</v>
      </c>
      <c r="H56" s="95">
        <f t="shared" si="11"/>
        <v>1997425.768667202</v>
      </c>
      <c r="I56" s="46"/>
      <c r="J56" s="3"/>
    </row>
    <row r="57" spans="1:11" x14ac:dyDescent="0.25">
      <c r="A57" s="17" t="s">
        <v>20</v>
      </c>
      <c r="B57" s="30" t="s">
        <v>43</v>
      </c>
      <c r="C57" s="35">
        <f>C54-C55-C56</f>
        <v>-32659.866681327345</v>
      </c>
      <c r="D57" s="36">
        <f t="shared" ref="D57:G57" si="14">D54-D55-D56</f>
        <v>-10033.753158088883</v>
      </c>
      <c r="E57" s="37">
        <f t="shared" si="14"/>
        <v>-575777.50946261885</v>
      </c>
      <c r="F57" s="37">
        <f t="shared" si="14"/>
        <v>-52339.053686384403</v>
      </c>
      <c r="G57" s="36">
        <f t="shared" si="14"/>
        <v>72348.916472455894</v>
      </c>
      <c r="H57" s="98">
        <f t="shared" si="11"/>
        <v>-598461.26651596348</v>
      </c>
      <c r="I57" s="47"/>
      <c r="J57" s="3"/>
    </row>
    <row r="58" spans="1:11" x14ac:dyDescent="0.25">
      <c r="A58" s="76" t="s">
        <v>18</v>
      </c>
      <c r="B58" s="77" t="s">
        <v>44</v>
      </c>
      <c r="C58" s="78">
        <f>IF(C57&gt;0,C57,0)</f>
        <v>0</v>
      </c>
      <c r="D58" s="79">
        <f t="shared" ref="D58:G58" si="15">IF(D57&gt;0,D57,0)</f>
        <v>0</v>
      </c>
      <c r="E58" s="80">
        <f t="shared" si="15"/>
        <v>0</v>
      </c>
      <c r="F58" s="80">
        <f t="shared" si="15"/>
        <v>0</v>
      </c>
      <c r="G58" s="79">
        <f t="shared" si="15"/>
        <v>72348.916472455894</v>
      </c>
      <c r="H58" s="96">
        <f t="shared" si="11"/>
        <v>72348.916472455894</v>
      </c>
      <c r="I58" s="48"/>
      <c r="J58" s="49"/>
      <c r="K58" s="18"/>
    </row>
    <row r="59" spans="1:11" ht="15.75" thickBot="1" x14ac:dyDescent="0.3">
      <c r="A59" s="81" t="s">
        <v>19</v>
      </c>
      <c r="B59" s="82" t="s">
        <v>45</v>
      </c>
      <c r="C59" s="83">
        <f>IF(C57&lt;0,C57*-1,0)</f>
        <v>32659.866681327345</v>
      </c>
      <c r="D59" s="84">
        <f t="shared" ref="D59:G59" si="16">IF(D57&lt;0,D57*-1,0)</f>
        <v>10033.753158088883</v>
      </c>
      <c r="E59" s="85">
        <f t="shared" si="16"/>
        <v>575777.50946261885</v>
      </c>
      <c r="F59" s="85">
        <f t="shared" si="16"/>
        <v>52339.053686384403</v>
      </c>
      <c r="G59" s="84">
        <f t="shared" si="16"/>
        <v>0</v>
      </c>
      <c r="H59" s="97">
        <f t="shared" si="11"/>
        <v>670810.18298841943</v>
      </c>
      <c r="I59" s="48"/>
      <c r="J59" s="49"/>
      <c r="K59" s="18"/>
    </row>
    <row r="60" spans="1:11" x14ac:dyDescent="0.25">
      <c r="B60" s="16"/>
      <c r="C60" s="18"/>
      <c r="D60" s="18"/>
      <c r="E60" s="18"/>
      <c r="F60" s="18"/>
      <c r="G60" s="18"/>
      <c r="H60" s="49"/>
      <c r="I60" s="49"/>
      <c r="J60" s="49"/>
      <c r="K60" s="18"/>
    </row>
    <row r="61" spans="1:11" ht="15.75" thickBot="1" x14ac:dyDescent="0.3">
      <c r="A61" s="86" t="s">
        <v>36</v>
      </c>
      <c r="H61" s="3"/>
      <c r="I61" s="3"/>
    </row>
    <row r="62" spans="1:11" x14ac:dyDescent="0.25">
      <c r="A62" s="6" t="s">
        <v>100</v>
      </c>
      <c r="B62" s="51"/>
      <c r="C62" s="87">
        <f>C57-C28</f>
        <v>-5788.8666813273448</v>
      </c>
      <c r="D62" s="88">
        <f t="shared" ref="D62:G62" si="17">D57-D28</f>
        <v>5526.2468419111174</v>
      </c>
      <c r="E62" s="89">
        <f t="shared" si="17"/>
        <v>-136246.50946261885</v>
      </c>
      <c r="F62" s="89">
        <f t="shared" si="17"/>
        <v>67176.946313615597</v>
      </c>
      <c r="G62" s="88">
        <f t="shared" si="17"/>
        <v>190672.91647245589</v>
      </c>
      <c r="H62" s="98">
        <f t="shared" ref="H62:H64" si="18">SUM(C62:G62)</f>
        <v>121340.73348403641</v>
      </c>
    </row>
    <row r="63" spans="1:11" x14ac:dyDescent="0.25">
      <c r="A63" s="76" t="s">
        <v>101</v>
      </c>
      <c r="B63" s="77" t="s">
        <v>66</v>
      </c>
      <c r="C63" s="78">
        <f>IF(C62&gt;0,C62,0)</f>
        <v>0</v>
      </c>
      <c r="D63" s="79">
        <f t="shared" ref="D63:G63" si="19">IF(D62&gt;0,D62,0)</f>
        <v>5526.2468419111174</v>
      </c>
      <c r="E63" s="80">
        <f t="shared" si="19"/>
        <v>0</v>
      </c>
      <c r="F63" s="80">
        <f t="shared" si="19"/>
        <v>67176.946313615597</v>
      </c>
      <c r="G63" s="79">
        <f t="shared" si="19"/>
        <v>190672.91647245589</v>
      </c>
      <c r="H63" s="96">
        <f t="shared" si="18"/>
        <v>263376.1096279826</v>
      </c>
    </row>
    <row r="64" spans="1:11" ht="15.75" thickBot="1" x14ac:dyDescent="0.3">
      <c r="A64" s="81" t="s">
        <v>102</v>
      </c>
      <c r="B64" s="82" t="s">
        <v>67</v>
      </c>
      <c r="C64" s="83">
        <f>IF(C62&lt;0,C62*-1,0)</f>
        <v>5788.8666813273448</v>
      </c>
      <c r="D64" s="84">
        <f t="shared" ref="D64:G64" si="20">IF(D62&lt;0,D62*-1,0)</f>
        <v>0</v>
      </c>
      <c r="E64" s="85">
        <f t="shared" si="20"/>
        <v>136246.50946261885</v>
      </c>
      <c r="F64" s="85">
        <f t="shared" si="20"/>
        <v>0</v>
      </c>
      <c r="G64" s="84">
        <f t="shared" si="20"/>
        <v>0</v>
      </c>
      <c r="H64" s="97">
        <f t="shared" si="18"/>
        <v>142035.3761439462</v>
      </c>
    </row>
    <row r="65" spans="1:8" ht="15.75" thickBot="1" x14ac:dyDescent="0.3">
      <c r="A65" s="151" t="s">
        <v>83</v>
      </c>
      <c r="B65" s="14"/>
      <c r="C65" s="152">
        <f>C52-C23</f>
        <v>212520.64792775072</v>
      </c>
      <c r="D65" s="153">
        <f t="shared" ref="D65:G65" si="21">D52-D23</f>
        <v>43064.792072249227</v>
      </c>
      <c r="E65" s="154">
        <f t="shared" si="21"/>
        <v>327241.55308361165</v>
      </c>
      <c r="F65" s="154">
        <f t="shared" si="21"/>
        <v>-74956.542150392197</v>
      </c>
      <c r="G65" s="153">
        <f t="shared" si="21"/>
        <v>222703.729066798</v>
      </c>
      <c r="H65" s="155">
        <f>SUM(C65:G65)</f>
        <v>730574.1800000174</v>
      </c>
    </row>
  </sheetData>
  <sheetProtection password="CC7B" sheet="1" objects="1" scenarios="1"/>
  <pageMargins left="0.11811023622047245" right="0.11811023622047245" top="0.35433070866141736" bottom="0.35433070866141736" header="0.11811023622047245" footer="0.11811023622047245"/>
  <pageSetup scale="75" orientation="portrait" verticalDpi="0" r:id="rId1"/>
  <headerFooter>
    <oddFooter>&amp;L&amp;9&amp;Z&amp;F  &amp;A  &amp;D  &amp;T&amp;R&amp;P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3:L65"/>
  <sheetViews>
    <sheetView zoomScale="80" zoomScaleNormal="80" workbookViewId="0">
      <selection activeCell="L38" sqref="L38"/>
    </sheetView>
  </sheetViews>
  <sheetFormatPr defaultRowHeight="15" x14ac:dyDescent="0.25"/>
  <cols>
    <col min="1" max="1" width="36" customWidth="1"/>
    <col min="2" max="2" width="11.140625" bestFit="1" customWidth="1"/>
    <col min="3" max="3" width="15.28515625" bestFit="1" customWidth="1"/>
    <col min="4" max="4" width="12.5703125" bestFit="1" customWidth="1"/>
    <col min="5" max="5" width="12.85546875" bestFit="1" customWidth="1"/>
    <col min="6" max="7" width="12.140625" bestFit="1" customWidth="1"/>
    <col min="8" max="8" width="13.28515625" bestFit="1" customWidth="1"/>
    <col min="9" max="9" width="5.28515625" customWidth="1"/>
  </cols>
  <sheetData>
    <row r="3" spans="1:11" ht="5.25" customHeight="1" x14ac:dyDescent="0.25">
      <c r="A3" s="1"/>
      <c r="B3" s="1"/>
      <c r="E3" s="3"/>
    </row>
    <row r="4" spans="1:11" x14ac:dyDescent="0.25">
      <c r="A4" s="1"/>
      <c r="B4" s="1"/>
      <c r="E4" s="3"/>
    </row>
    <row r="5" spans="1:11" s="61" customFormat="1" x14ac:dyDescent="0.25">
      <c r="A5" s="60" t="s">
        <v>34</v>
      </c>
      <c r="B5" s="60"/>
    </row>
    <row r="6" spans="1:11" x14ac:dyDescent="0.25">
      <c r="A6" s="1" t="s">
        <v>5</v>
      </c>
      <c r="B6" s="1"/>
      <c r="E6" s="99" t="s">
        <v>79</v>
      </c>
      <c r="F6" s="99">
        <v>2017</v>
      </c>
    </row>
    <row r="7" spans="1:11" ht="15.75" thickBot="1" x14ac:dyDescent="0.3">
      <c r="A7" s="1"/>
      <c r="B7" s="1"/>
      <c r="E7" s="3"/>
      <c r="J7" s="3"/>
      <c r="K7" s="3"/>
    </row>
    <row r="8" spans="1:11" ht="15.75" thickBot="1" x14ac:dyDescent="0.3">
      <c r="A8" s="12"/>
      <c r="B8" s="12"/>
      <c r="C8" s="14" t="s">
        <v>12</v>
      </c>
      <c r="D8" s="15" t="s">
        <v>13</v>
      </c>
      <c r="E8" s="3"/>
      <c r="J8" s="3"/>
      <c r="K8" s="3"/>
    </row>
    <row r="9" spans="1:11" x14ac:dyDescent="0.25">
      <c r="A9" s="6" t="s">
        <v>9</v>
      </c>
      <c r="B9" s="51" t="s">
        <v>46</v>
      </c>
      <c r="C9" s="180"/>
      <c r="D9" s="189"/>
      <c r="J9" s="3"/>
      <c r="K9" s="3"/>
    </row>
    <row r="10" spans="1:11" ht="17.25" x14ac:dyDescent="0.25">
      <c r="A10" s="7" t="s">
        <v>7</v>
      </c>
      <c r="B10" s="52" t="s">
        <v>47</v>
      </c>
      <c r="C10" s="54">
        <v>940982</v>
      </c>
      <c r="D10" s="190"/>
      <c r="E10" s="100"/>
      <c r="G10" s="100"/>
      <c r="J10" s="3"/>
      <c r="K10" s="3"/>
    </row>
    <row r="11" spans="1:11" ht="17.25" x14ac:dyDescent="0.25">
      <c r="A11" s="7" t="s">
        <v>8</v>
      </c>
      <c r="B11" s="52" t="s">
        <v>48</v>
      </c>
      <c r="C11" s="54">
        <v>413979</v>
      </c>
      <c r="D11" s="190"/>
      <c r="E11" s="100"/>
      <c r="F11" s="102"/>
      <c r="G11" s="100"/>
      <c r="J11" s="3"/>
      <c r="K11" s="3"/>
    </row>
    <row r="12" spans="1:11" ht="17.25" x14ac:dyDescent="0.25">
      <c r="A12" s="7" t="s">
        <v>6</v>
      </c>
      <c r="B12" s="52" t="s">
        <v>49</v>
      </c>
      <c r="C12" s="54">
        <v>9619780</v>
      </c>
      <c r="D12" s="190"/>
      <c r="G12" s="100"/>
      <c r="J12" s="3"/>
      <c r="K12" s="3"/>
    </row>
    <row r="13" spans="1:11" ht="17.25" x14ac:dyDescent="0.25">
      <c r="A13" s="7" t="s">
        <v>10</v>
      </c>
      <c r="B13" s="52" t="s">
        <v>50</v>
      </c>
      <c r="C13" s="54">
        <v>2586161</v>
      </c>
      <c r="D13" s="190"/>
      <c r="G13" s="100"/>
      <c r="J13" s="3"/>
      <c r="K13" s="3"/>
    </row>
    <row r="14" spans="1:11" ht="17.25" x14ac:dyDescent="0.25">
      <c r="A14" s="7" t="s">
        <v>11</v>
      </c>
      <c r="B14" s="52" t="s">
        <v>51</v>
      </c>
      <c r="C14" s="55">
        <v>2887071</v>
      </c>
      <c r="D14" s="191"/>
      <c r="F14" s="102"/>
      <c r="G14" s="100"/>
      <c r="J14" s="3"/>
      <c r="K14" s="3"/>
    </row>
    <row r="15" spans="1:11" x14ac:dyDescent="0.25">
      <c r="A15" s="17" t="s">
        <v>92</v>
      </c>
      <c r="B15" s="30" t="s">
        <v>52</v>
      </c>
      <c r="C15" s="56">
        <f>SUM(C10:C14)</f>
        <v>16447973</v>
      </c>
      <c r="D15" s="191"/>
      <c r="J15" s="3"/>
      <c r="K15" s="3"/>
    </row>
    <row r="16" spans="1:11" x14ac:dyDescent="0.25">
      <c r="A16" s="8" t="s">
        <v>85</v>
      </c>
      <c r="B16" s="29" t="s">
        <v>53</v>
      </c>
      <c r="C16" s="58">
        <v>1.3981449999999999E-2</v>
      </c>
      <c r="D16" s="4"/>
      <c r="J16" s="3"/>
      <c r="K16" s="3"/>
    </row>
    <row r="17" spans="1:12" ht="17.25" x14ac:dyDescent="0.25">
      <c r="A17" s="8" t="s">
        <v>86</v>
      </c>
      <c r="B17" s="29" t="s">
        <v>54</v>
      </c>
      <c r="C17" s="181"/>
      <c r="D17" s="4"/>
      <c r="I17" s="3"/>
      <c r="J17" s="41"/>
      <c r="K17" s="3"/>
    </row>
    <row r="18" spans="1:12" ht="15.75" thickBot="1" x14ac:dyDescent="0.3">
      <c r="A18" s="9" t="s">
        <v>87</v>
      </c>
      <c r="B18" s="31" t="s">
        <v>55</v>
      </c>
      <c r="C18" s="188">
        <v>0.1082</v>
      </c>
      <c r="D18" s="5"/>
      <c r="I18" s="3"/>
      <c r="J18" s="3"/>
      <c r="K18" s="3"/>
    </row>
    <row r="19" spans="1:12" ht="8.25" customHeight="1" thickBot="1" x14ac:dyDescent="0.3">
      <c r="B19" s="16"/>
      <c r="I19" s="3"/>
      <c r="J19" s="3"/>
      <c r="K19" s="3"/>
    </row>
    <row r="20" spans="1:12" ht="15.75" thickBot="1" x14ac:dyDescent="0.3">
      <c r="A20" s="22" t="s">
        <v>1</v>
      </c>
      <c r="B20" s="14"/>
      <c r="C20" s="23" t="s">
        <v>14</v>
      </c>
      <c r="D20" s="15" t="s">
        <v>15</v>
      </c>
      <c r="E20" s="24" t="s">
        <v>2</v>
      </c>
      <c r="F20" s="24" t="s">
        <v>3</v>
      </c>
      <c r="G20" s="15" t="s">
        <v>4</v>
      </c>
      <c r="H20" s="90" t="s">
        <v>65</v>
      </c>
      <c r="I20" s="42"/>
      <c r="J20" s="3"/>
      <c r="K20" s="3"/>
    </row>
    <row r="21" spans="1:12" x14ac:dyDescent="0.25">
      <c r="A21" s="8" t="s">
        <v>16</v>
      </c>
      <c r="B21" s="29" t="s">
        <v>56</v>
      </c>
      <c r="C21" s="32">
        <v>7.6999999999999999E-2</v>
      </c>
      <c r="D21" s="19">
        <v>0.09</v>
      </c>
      <c r="E21" s="25">
        <v>6.5000000000000002E-2</v>
      </c>
      <c r="F21" s="25">
        <v>9.5000000000000001E-2</v>
      </c>
      <c r="G21" s="19">
        <v>0.13200000000000001</v>
      </c>
      <c r="H21" s="91"/>
      <c r="I21" s="43"/>
      <c r="J21" s="3"/>
      <c r="K21" s="3"/>
    </row>
    <row r="22" spans="1:12" x14ac:dyDescent="0.25">
      <c r="A22" s="7" t="s">
        <v>17</v>
      </c>
      <c r="B22" s="52" t="s">
        <v>57</v>
      </c>
      <c r="C22" s="192"/>
      <c r="D22" s="193"/>
      <c r="E22" s="194"/>
      <c r="F22" s="194"/>
      <c r="G22" s="190"/>
      <c r="H22" s="92"/>
      <c r="I22" s="44"/>
      <c r="J22" s="3"/>
      <c r="K22" s="3"/>
    </row>
    <row r="23" spans="1:12" x14ac:dyDescent="0.25">
      <c r="A23" s="8" t="s">
        <v>96</v>
      </c>
      <c r="B23" s="29" t="s">
        <v>58</v>
      </c>
      <c r="C23" s="33">
        <f>C10</f>
        <v>940982</v>
      </c>
      <c r="D23" s="20">
        <f>C11</f>
        <v>413979</v>
      </c>
      <c r="E23" s="26">
        <f>C12</f>
        <v>9619780</v>
      </c>
      <c r="F23" s="26">
        <f>C13</f>
        <v>2586161</v>
      </c>
      <c r="G23" s="20">
        <f>C14</f>
        <v>2887071</v>
      </c>
      <c r="H23" s="93">
        <f>SUM(C23:G23)</f>
        <v>16447973</v>
      </c>
      <c r="I23" s="45"/>
      <c r="J23" s="3"/>
      <c r="K23" s="3"/>
    </row>
    <row r="24" spans="1:12" ht="9.75" customHeight="1" x14ac:dyDescent="0.25">
      <c r="A24" s="8"/>
      <c r="B24" s="29"/>
      <c r="C24" s="10"/>
      <c r="D24" s="4"/>
      <c r="E24" s="27"/>
      <c r="F24" s="27"/>
      <c r="G24" s="4"/>
      <c r="H24" s="7"/>
      <c r="I24" s="2"/>
      <c r="J24" s="3"/>
    </row>
    <row r="25" spans="1:12" x14ac:dyDescent="0.25">
      <c r="A25" s="8" t="s">
        <v>93</v>
      </c>
      <c r="B25" s="29" t="s">
        <v>59</v>
      </c>
      <c r="C25" s="182">
        <f t="shared" ref="C25:D25" si="0">C23*C21</f>
        <v>72455.614000000001</v>
      </c>
      <c r="D25" s="183">
        <f t="shared" si="0"/>
        <v>37258.11</v>
      </c>
      <c r="E25" s="184">
        <f>E23*E21</f>
        <v>625285.70000000007</v>
      </c>
      <c r="F25" s="184">
        <f t="shared" ref="F25:G25" si="1">F23*F21</f>
        <v>245685.29500000001</v>
      </c>
      <c r="G25" s="183">
        <f t="shared" si="1"/>
        <v>381093.37200000003</v>
      </c>
      <c r="H25" s="94">
        <f t="shared" ref="H25:H30" si="2">SUM(C25:G25)</f>
        <v>1361778.0910000002</v>
      </c>
      <c r="I25" s="46"/>
      <c r="J25" s="3"/>
    </row>
    <row r="26" spans="1:12" x14ac:dyDescent="0.25">
      <c r="A26" s="8" t="s">
        <v>94</v>
      </c>
      <c r="B26" s="29" t="s">
        <v>60</v>
      </c>
      <c r="C26" s="182">
        <f t="shared" ref="C26:D26" si="3">C23*$C$16</f>
        <v>13156.2927839</v>
      </c>
      <c r="D26" s="183">
        <f t="shared" si="3"/>
        <v>5788.0266895499999</v>
      </c>
      <c r="E26" s="184">
        <f>E23*$C$16</f>
        <v>134498.473081</v>
      </c>
      <c r="F26" s="184">
        <f t="shared" ref="F26:G26" si="4">F23*$C$16</f>
        <v>36158.280713449996</v>
      </c>
      <c r="G26" s="183">
        <f t="shared" si="4"/>
        <v>40365.43883295</v>
      </c>
      <c r="H26" s="94">
        <f t="shared" si="2"/>
        <v>229966.51210084997</v>
      </c>
      <c r="I26" s="46"/>
      <c r="J26" s="3"/>
    </row>
    <row r="27" spans="1:12" ht="15.75" thickBot="1" x14ac:dyDescent="0.3">
      <c r="A27" s="9" t="s">
        <v>95</v>
      </c>
      <c r="B27" s="31" t="s">
        <v>61</v>
      </c>
      <c r="C27" s="185">
        <f>C23*$C$18</f>
        <v>101814.2524</v>
      </c>
      <c r="D27" s="186">
        <f t="shared" ref="D27:G27" si="5">D23*$C$18</f>
        <v>44792.527800000003</v>
      </c>
      <c r="E27" s="187">
        <f t="shared" si="5"/>
        <v>1040860.196</v>
      </c>
      <c r="F27" s="187">
        <f t="shared" si="5"/>
        <v>279822.6202</v>
      </c>
      <c r="G27" s="186">
        <f t="shared" si="5"/>
        <v>312381.0822</v>
      </c>
      <c r="H27" s="95">
        <f t="shared" si="2"/>
        <v>1779670.6786</v>
      </c>
      <c r="I27" s="46"/>
      <c r="J27" s="3"/>
    </row>
    <row r="28" spans="1:12" x14ac:dyDescent="0.25">
      <c r="A28" s="17" t="s">
        <v>99</v>
      </c>
      <c r="B28" s="30" t="s">
        <v>62</v>
      </c>
      <c r="C28" s="120">
        <f>64763-101826</f>
        <v>-37063</v>
      </c>
      <c r="D28" s="121">
        <f>28492-44798</f>
        <v>-16306</v>
      </c>
      <c r="E28" s="122">
        <f>662076-1040984</f>
        <v>-378908</v>
      </c>
      <c r="F28" s="122">
        <f>177991-279856</f>
        <v>-101865</v>
      </c>
      <c r="G28" s="121">
        <f>198701-312418</f>
        <v>-113717</v>
      </c>
      <c r="H28" s="98">
        <f t="shared" si="2"/>
        <v>-647859</v>
      </c>
      <c r="I28" s="47"/>
      <c r="J28" s="49"/>
      <c r="L28" s="18"/>
    </row>
    <row r="29" spans="1:12" x14ac:dyDescent="0.25">
      <c r="A29" s="66" t="s">
        <v>97</v>
      </c>
      <c r="B29" s="67" t="s">
        <v>63</v>
      </c>
      <c r="C29" s="68">
        <f>IF(C28&gt;0,C28,0)</f>
        <v>0</v>
      </c>
      <c r="D29" s="69">
        <f t="shared" ref="D29:G29" si="6">IF(D28&gt;0,D28,0)</f>
        <v>0</v>
      </c>
      <c r="E29" s="70">
        <f t="shared" si="6"/>
        <v>0</v>
      </c>
      <c r="F29" s="70">
        <f t="shared" si="6"/>
        <v>0</v>
      </c>
      <c r="G29" s="69">
        <f t="shared" si="6"/>
        <v>0</v>
      </c>
      <c r="H29" s="96">
        <f t="shared" si="2"/>
        <v>0</v>
      </c>
      <c r="I29" s="48"/>
      <c r="J29" s="49"/>
      <c r="K29" s="18"/>
    </row>
    <row r="30" spans="1:12" ht="15.75" thickBot="1" x14ac:dyDescent="0.3">
      <c r="A30" s="71" t="s">
        <v>98</v>
      </c>
      <c r="B30" s="72" t="s">
        <v>64</v>
      </c>
      <c r="C30" s="73">
        <f>IF(C28&lt;0,C28*-1,0)</f>
        <v>37063</v>
      </c>
      <c r="D30" s="74">
        <f t="shared" ref="D30:G30" si="7">IF(D28&lt;0,D28*-1,0)</f>
        <v>16306</v>
      </c>
      <c r="E30" s="75">
        <f t="shared" si="7"/>
        <v>378908</v>
      </c>
      <c r="F30" s="75">
        <f t="shared" si="7"/>
        <v>101865</v>
      </c>
      <c r="G30" s="74">
        <f t="shared" si="7"/>
        <v>113717</v>
      </c>
      <c r="H30" s="97">
        <f t="shared" si="2"/>
        <v>647859</v>
      </c>
      <c r="I30" s="48"/>
      <c r="J30" s="49"/>
      <c r="K30" s="18"/>
    </row>
    <row r="31" spans="1:12" x14ac:dyDescent="0.25">
      <c r="B31" s="16"/>
      <c r="C31" s="18"/>
      <c r="D31" s="18"/>
      <c r="E31" s="18"/>
      <c r="F31" s="18"/>
      <c r="G31" s="18"/>
      <c r="H31" s="49"/>
      <c r="I31" s="49"/>
      <c r="J31" s="49"/>
      <c r="K31" s="18"/>
    </row>
    <row r="32" spans="1:12" x14ac:dyDescent="0.25">
      <c r="B32" s="16"/>
      <c r="C32" s="18"/>
      <c r="D32" s="18"/>
      <c r="E32" s="18"/>
      <c r="F32" s="18"/>
      <c r="G32" s="18"/>
      <c r="H32" s="18"/>
      <c r="I32" s="49"/>
      <c r="J32" s="49"/>
      <c r="K32" s="18"/>
    </row>
    <row r="33" spans="1:12" s="62" customFormat="1" x14ac:dyDescent="0.25">
      <c r="A33" s="65" t="s">
        <v>35</v>
      </c>
      <c r="B33" s="63"/>
      <c r="C33" s="64"/>
      <c r="D33" s="64"/>
      <c r="E33" s="64"/>
      <c r="F33" s="64"/>
      <c r="G33" s="64"/>
      <c r="H33" s="64"/>
      <c r="I33" s="64"/>
      <c r="J33" s="64"/>
      <c r="K33" s="64"/>
    </row>
    <row r="34" spans="1:12" x14ac:dyDescent="0.25">
      <c r="A34" s="1" t="s">
        <v>5</v>
      </c>
      <c r="B34" s="1"/>
      <c r="E34" s="3"/>
      <c r="F34" s="118"/>
    </row>
    <row r="35" spans="1:12" ht="15.75" thickBot="1" x14ac:dyDescent="0.3">
      <c r="B35" s="16"/>
      <c r="C35" s="18"/>
      <c r="D35" s="18"/>
      <c r="E35" s="18"/>
      <c r="F35" s="18"/>
      <c r="G35" s="18"/>
      <c r="H35" s="18"/>
      <c r="I35" s="49"/>
      <c r="J35" s="49"/>
      <c r="K35" s="18"/>
    </row>
    <row r="36" spans="1:12" ht="30.75" thickBot="1" x14ac:dyDescent="0.3">
      <c r="A36" s="12"/>
      <c r="B36" s="12"/>
      <c r="C36" s="14" t="s">
        <v>12</v>
      </c>
      <c r="D36" s="15" t="s">
        <v>13</v>
      </c>
      <c r="E36" s="3"/>
      <c r="G36" s="159" t="s">
        <v>84</v>
      </c>
      <c r="J36" s="105"/>
    </row>
    <row r="37" spans="1:12" x14ac:dyDescent="0.25">
      <c r="A37" s="6" t="s">
        <v>9</v>
      </c>
      <c r="B37" s="51" t="s">
        <v>21</v>
      </c>
      <c r="C37" s="53">
        <v>39617270.329999976</v>
      </c>
      <c r="D37" s="13">
        <f>C37/C37</f>
        <v>1</v>
      </c>
    </row>
    <row r="38" spans="1:12" ht="17.25" x14ac:dyDescent="0.25">
      <c r="A38" s="7" t="s">
        <v>103</v>
      </c>
      <c r="B38" s="52" t="s">
        <v>22</v>
      </c>
      <c r="C38" s="54">
        <f>G38*D38</f>
        <v>1151307.8357244649</v>
      </c>
      <c r="D38" s="156">
        <v>0.66881107410947005</v>
      </c>
      <c r="F38" s="100">
        <f>G38/G43</f>
        <v>6.7217930003125162E-2</v>
      </c>
      <c r="G38" s="101">
        <v>1721424.6</v>
      </c>
    </row>
    <row r="39" spans="1:12" ht="17.25" x14ac:dyDescent="0.25">
      <c r="A39" s="7" t="s">
        <v>104</v>
      </c>
      <c r="B39" s="52" t="s">
        <v>23</v>
      </c>
      <c r="C39" s="54">
        <f>G38*D39</f>
        <v>570116.76427553524</v>
      </c>
      <c r="D39" s="156">
        <v>0.33118892589052995</v>
      </c>
      <c r="F39" s="100"/>
    </row>
    <row r="40" spans="1:12" ht="17.25" x14ac:dyDescent="0.25">
      <c r="A40" s="7" t="s">
        <v>105</v>
      </c>
      <c r="B40" s="52" t="s">
        <v>24</v>
      </c>
      <c r="C40" s="54">
        <f>G40*D40</f>
        <v>15524237.08914591</v>
      </c>
      <c r="D40" s="156">
        <v>0.64987107348185924</v>
      </c>
      <c r="F40" s="100">
        <f>G40/G43</f>
        <v>0.93278206999687474</v>
      </c>
      <c r="G40" s="101">
        <v>23888179.85999997</v>
      </c>
    </row>
    <row r="41" spans="1:12" ht="17.25" x14ac:dyDescent="0.25">
      <c r="A41" s="7" t="s">
        <v>106</v>
      </c>
      <c r="B41" s="52" t="s">
        <v>25</v>
      </c>
      <c r="C41" s="54">
        <f>G40*D41</f>
        <v>4016874.9616929581</v>
      </c>
      <c r="D41" s="156">
        <v>0.16815324504564255</v>
      </c>
      <c r="F41" s="100"/>
    </row>
    <row r="42" spans="1:12" ht="17.25" x14ac:dyDescent="0.25">
      <c r="A42" s="7" t="s">
        <v>107</v>
      </c>
      <c r="B42" s="52" t="s">
        <v>26</v>
      </c>
      <c r="C42" s="55">
        <f>G40*D42</f>
        <v>4347067.8091611015</v>
      </c>
      <c r="D42" s="157">
        <v>0.18197568147249821</v>
      </c>
      <c r="F42" s="100"/>
    </row>
    <row r="43" spans="1:12" x14ac:dyDescent="0.25">
      <c r="A43" s="17" t="s">
        <v>108</v>
      </c>
      <c r="B43" s="30" t="s">
        <v>27</v>
      </c>
      <c r="C43" s="56">
        <f>SUM(C38:C42)</f>
        <v>25609604.459999971</v>
      </c>
      <c r="D43" s="11">
        <f>C43/C37</f>
        <v>0.64642526470601458</v>
      </c>
      <c r="F43" s="100">
        <f>C43/G43</f>
        <v>1</v>
      </c>
      <c r="G43" s="101">
        <v>25609604.459999971</v>
      </c>
      <c r="H43" s="102">
        <f>F38+F40-F43</f>
        <v>0</v>
      </c>
    </row>
    <row r="44" spans="1:12" x14ac:dyDescent="0.25">
      <c r="A44" s="8" t="s">
        <v>0</v>
      </c>
      <c r="B44" s="29" t="s">
        <v>28</v>
      </c>
      <c r="C44" s="57">
        <f>D45/C45</f>
        <v>2.0678072859468485E-2</v>
      </c>
      <c r="D44" s="4"/>
      <c r="J44" s="3"/>
    </row>
    <row r="45" spans="1:12" ht="17.25" x14ac:dyDescent="0.25">
      <c r="A45" s="8" t="s">
        <v>81</v>
      </c>
      <c r="B45" s="29" t="s">
        <v>29</v>
      </c>
      <c r="C45" s="54">
        <v>45098133</v>
      </c>
      <c r="D45" s="50">
        <v>932542.48</v>
      </c>
      <c r="J45" s="3"/>
      <c r="L45" s="105"/>
    </row>
    <row r="46" spans="1:12" ht="17.25" x14ac:dyDescent="0.25">
      <c r="A46" s="8" t="s">
        <v>32</v>
      </c>
      <c r="B46" s="29" t="s">
        <v>30</v>
      </c>
      <c r="C46" s="58">
        <v>92.07</v>
      </c>
      <c r="D46" s="4"/>
      <c r="I46" s="3"/>
      <c r="J46" s="41"/>
    </row>
    <row r="47" spans="1:12" ht="15.75" thickBot="1" x14ac:dyDescent="0.3">
      <c r="A47" s="9" t="s">
        <v>33</v>
      </c>
      <c r="B47" s="31" t="s">
        <v>31</v>
      </c>
      <c r="C47" s="59">
        <f>C46/1000</f>
        <v>9.2069999999999999E-2</v>
      </c>
      <c r="D47" s="5"/>
      <c r="H47" s="3"/>
      <c r="I47" s="3"/>
      <c r="J47" s="3"/>
    </row>
    <row r="48" spans="1:12" ht="15.75" thickBot="1" x14ac:dyDescent="0.3">
      <c r="B48" s="16"/>
      <c r="H48" s="3"/>
      <c r="I48" s="3"/>
      <c r="J48" s="3"/>
    </row>
    <row r="49" spans="1:11" ht="15.75" thickBot="1" x14ac:dyDescent="0.3">
      <c r="A49" s="22" t="s">
        <v>88</v>
      </c>
      <c r="B49" s="14"/>
      <c r="C49" s="23" t="s">
        <v>14</v>
      </c>
      <c r="D49" s="15" t="s">
        <v>15</v>
      </c>
      <c r="E49" s="24" t="s">
        <v>2</v>
      </c>
      <c r="F49" s="24" t="s">
        <v>3</v>
      </c>
      <c r="G49" s="15" t="s">
        <v>4</v>
      </c>
      <c r="H49" s="90" t="s">
        <v>65</v>
      </c>
      <c r="I49" s="42"/>
      <c r="J49" s="3"/>
    </row>
    <row r="50" spans="1:11" x14ac:dyDescent="0.25">
      <c r="A50" s="8" t="s">
        <v>16</v>
      </c>
      <c r="B50" s="29" t="s">
        <v>37</v>
      </c>
      <c r="C50" s="114">
        <f>C21</f>
        <v>7.6999999999999999E-2</v>
      </c>
      <c r="D50" s="115">
        <f t="shared" ref="D50:G50" si="8">D21</f>
        <v>0.09</v>
      </c>
      <c r="E50" s="116">
        <f t="shared" si="8"/>
        <v>6.5000000000000002E-2</v>
      </c>
      <c r="F50" s="116">
        <f t="shared" si="8"/>
        <v>9.5000000000000001E-2</v>
      </c>
      <c r="G50" s="115">
        <f t="shared" si="8"/>
        <v>0.13200000000000001</v>
      </c>
      <c r="H50" s="91"/>
      <c r="I50" s="43"/>
      <c r="J50" s="3"/>
    </row>
    <row r="51" spans="1:11" x14ac:dyDescent="0.25">
      <c r="A51" s="7" t="s">
        <v>17</v>
      </c>
      <c r="B51" s="52" t="s">
        <v>38</v>
      </c>
      <c r="C51" s="192"/>
      <c r="D51" s="193"/>
      <c r="E51" s="194"/>
      <c r="F51" s="194"/>
      <c r="G51" s="190"/>
      <c r="H51" s="92"/>
      <c r="I51" s="44"/>
      <c r="J51" s="3"/>
    </row>
    <row r="52" spans="1:11" x14ac:dyDescent="0.25">
      <c r="A52" s="8" t="s">
        <v>109</v>
      </c>
      <c r="B52" s="29" t="s">
        <v>39</v>
      </c>
      <c r="C52" s="33">
        <f>C38</f>
        <v>1151307.8357244649</v>
      </c>
      <c r="D52" s="20">
        <f>C39</f>
        <v>570116.76427553524</v>
      </c>
      <c r="E52" s="26">
        <f>C40</f>
        <v>15524237.08914591</v>
      </c>
      <c r="F52" s="26">
        <f>C41</f>
        <v>4016874.9616929581</v>
      </c>
      <c r="G52" s="20">
        <f>C42</f>
        <v>4347067.8091611015</v>
      </c>
      <c r="H52" s="93">
        <f>SUM(C52:G52)</f>
        <v>25609604.459999971</v>
      </c>
      <c r="I52" s="45"/>
      <c r="J52" s="3"/>
    </row>
    <row r="53" spans="1:11" x14ac:dyDescent="0.25">
      <c r="A53" s="8"/>
      <c r="B53" s="29"/>
      <c r="C53" s="10"/>
      <c r="D53" s="4"/>
      <c r="E53" s="27"/>
      <c r="F53" s="27"/>
      <c r="G53" s="4"/>
      <c r="H53" s="7"/>
      <c r="I53" s="2"/>
      <c r="J53" s="3"/>
    </row>
    <row r="54" spans="1:11" x14ac:dyDescent="0.25">
      <c r="A54" s="8" t="s">
        <v>89</v>
      </c>
      <c r="B54" s="29" t="s">
        <v>40</v>
      </c>
      <c r="C54" s="34">
        <f>C52*C50</f>
        <v>88650.703350783791</v>
      </c>
      <c r="D54" s="21">
        <f t="shared" ref="D54" si="9">D52*D50</f>
        <v>51310.50878479817</v>
      </c>
      <c r="E54" s="28">
        <f>E52*E50</f>
        <v>1009075.4107944842</v>
      </c>
      <c r="F54" s="28">
        <f t="shared" ref="F54:G54" si="10">F52*F50</f>
        <v>381603.12136083102</v>
      </c>
      <c r="G54" s="21">
        <f t="shared" si="10"/>
        <v>573812.95080926537</v>
      </c>
      <c r="H54" s="94">
        <f t="shared" ref="H54:H59" si="11">SUM(C54:G54)</f>
        <v>2104452.6951001626</v>
      </c>
      <c r="I54" s="46"/>
      <c r="J54" s="3"/>
    </row>
    <row r="55" spans="1:11" x14ac:dyDescent="0.25">
      <c r="A55" s="8" t="s">
        <v>90</v>
      </c>
      <c r="B55" s="29" t="s">
        <v>41</v>
      </c>
      <c r="C55" s="34">
        <f>C52*$C$44</f>
        <v>23806.827310787456</v>
      </c>
      <c r="D55" s="21">
        <f t="shared" ref="D55:G55" si="12">D52*$C$44</f>
        <v>11788.915990093938</v>
      </c>
      <c r="E55" s="28">
        <f t="shared" si="12"/>
        <v>321011.3056170221</v>
      </c>
      <c r="F55" s="28">
        <f t="shared" si="12"/>
        <v>83061.233125261671</v>
      </c>
      <c r="G55" s="21">
        <f t="shared" si="12"/>
        <v>89888.984882883306</v>
      </c>
      <c r="H55" s="94">
        <f t="shared" si="11"/>
        <v>529557.26692604844</v>
      </c>
      <c r="I55" s="46"/>
      <c r="J55" s="3"/>
    </row>
    <row r="56" spans="1:11" ht="15.75" thickBot="1" x14ac:dyDescent="0.3">
      <c r="A56" s="9" t="s">
        <v>91</v>
      </c>
      <c r="B56" s="31" t="s">
        <v>42</v>
      </c>
      <c r="C56" s="38">
        <f>C52*$C$47</f>
        <v>106000.91243515148</v>
      </c>
      <c r="D56" s="39">
        <f t="shared" ref="D56:G56" si="13">D52*$C$47</f>
        <v>52490.650486848528</v>
      </c>
      <c r="E56" s="40">
        <f t="shared" si="13"/>
        <v>1429316.508797664</v>
      </c>
      <c r="F56" s="40">
        <f t="shared" si="13"/>
        <v>369833.67772307066</v>
      </c>
      <c r="G56" s="39">
        <f t="shared" si="13"/>
        <v>400234.53318946261</v>
      </c>
      <c r="H56" s="95">
        <f t="shared" si="11"/>
        <v>2357876.2826321973</v>
      </c>
      <c r="I56" s="46"/>
      <c r="J56" s="3"/>
    </row>
    <row r="57" spans="1:11" x14ac:dyDescent="0.25">
      <c r="A57" s="17" t="s">
        <v>20</v>
      </c>
      <c r="B57" s="30" t="s">
        <v>43</v>
      </c>
      <c r="C57" s="35">
        <f>C54-C55-C56</f>
        <v>-41157.036395155141</v>
      </c>
      <c r="D57" s="36">
        <f t="shared" ref="D57:G57" si="14">D54-D55-D56</f>
        <v>-12969.057692144292</v>
      </c>
      <c r="E57" s="37">
        <f t="shared" si="14"/>
        <v>-741252.40362020186</v>
      </c>
      <c r="F57" s="37">
        <f t="shared" si="14"/>
        <v>-71291.789487501315</v>
      </c>
      <c r="G57" s="36">
        <f t="shared" si="14"/>
        <v>83689.432736919436</v>
      </c>
      <c r="H57" s="98">
        <f t="shared" si="11"/>
        <v>-782980.85445808317</v>
      </c>
      <c r="I57" s="47"/>
      <c r="J57" s="3"/>
    </row>
    <row r="58" spans="1:11" x14ac:dyDescent="0.25">
      <c r="A58" s="76" t="s">
        <v>18</v>
      </c>
      <c r="B58" s="77" t="s">
        <v>44</v>
      </c>
      <c r="C58" s="78">
        <f>IF(C57&gt;0,C57,0)</f>
        <v>0</v>
      </c>
      <c r="D58" s="79">
        <f t="shared" ref="D58:G58" si="15">IF(D57&gt;0,D57,0)</f>
        <v>0</v>
      </c>
      <c r="E58" s="80">
        <f t="shared" si="15"/>
        <v>0</v>
      </c>
      <c r="F58" s="80">
        <f t="shared" si="15"/>
        <v>0</v>
      </c>
      <c r="G58" s="79">
        <f t="shared" si="15"/>
        <v>83689.432736919436</v>
      </c>
      <c r="H58" s="96">
        <f t="shared" si="11"/>
        <v>83689.432736919436</v>
      </c>
      <c r="I58" s="48"/>
      <c r="J58" s="49"/>
      <c r="K58" s="18"/>
    </row>
    <row r="59" spans="1:11" ht="15.75" thickBot="1" x14ac:dyDescent="0.3">
      <c r="A59" s="81" t="s">
        <v>19</v>
      </c>
      <c r="B59" s="82" t="s">
        <v>45</v>
      </c>
      <c r="C59" s="83">
        <f>IF(C57&lt;0,C57*-1,0)</f>
        <v>41157.036395155141</v>
      </c>
      <c r="D59" s="84">
        <f t="shared" ref="D59:G59" si="16">IF(D57&lt;0,D57*-1,0)</f>
        <v>12969.057692144292</v>
      </c>
      <c r="E59" s="85">
        <f t="shared" si="16"/>
        <v>741252.40362020186</v>
      </c>
      <c r="F59" s="85">
        <f t="shared" si="16"/>
        <v>71291.789487501315</v>
      </c>
      <c r="G59" s="84">
        <f t="shared" si="16"/>
        <v>0</v>
      </c>
      <c r="H59" s="97">
        <f t="shared" si="11"/>
        <v>866670.28719500266</v>
      </c>
      <c r="I59" s="48"/>
      <c r="J59" s="49"/>
      <c r="K59" s="18"/>
    </row>
    <row r="60" spans="1:11" x14ac:dyDescent="0.25">
      <c r="B60" s="16"/>
      <c r="C60" s="18"/>
      <c r="D60" s="18"/>
      <c r="E60" s="18"/>
      <c r="F60" s="18"/>
      <c r="G60" s="18"/>
      <c r="H60" s="49"/>
      <c r="I60" s="49"/>
      <c r="J60" s="49"/>
      <c r="K60" s="18"/>
    </row>
    <row r="61" spans="1:11" ht="15.75" thickBot="1" x14ac:dyDescent="0.3">
      <c r="A61" s="86" t="s">
        <v>36</v>
      </c>
      <c r="H61" s="3"/>
      <c r="I61" s="3"/>
    </row>
    <row r="62" spans="1:11" x14ac:dyDescent="0.25">
      <c r="A62" s="6" t="s">
        <v>100</v>
      </c>
      <c r="B62" s="51"/>
      <c r="C62" s="87">
        <f>C57-C28</f>
        <v>-4094.0363951551408</v>
      </c>
      <c r="D62" s="88">
        <f t="shared" ref="D62:G62" si="17">D57-D28</f>
        <v>3336.9423078557083</v>
      </c>
      <c r="E62" s="89">
        <f t="shared" si="17"/>
        <v>-362344.40362020186</v>
      </c>
      <c r="F62" s="89">
        <f t="shared" si="17"/>
        <v>30573.210512498685</v>
      </c>
      <c r="G62" s="88">
        <f t="shared" si="17"/>
        <v>197406.43273691944</v>
      </c>
      <c r="H62" s="98">
        <f t="shared" ref="H62:H64" si="18">SUM(C62:G62)</f>
        <v>-135121.85445808317</v>
      </c>
    </row>
    <row r="63" spans="1:11" x14ac:dyDescent="0.25">
      <c r="A63" s="76" t="s">
        <v>101</v>
      </c>
      <c r="B63" s="77" t="s">
        <v>66</v>
      </c>
      <c r="C63" s="78">
        <f>IF(C62&gt;0,C62,0)</f>
        <v>0</v>
      </c>
      <c r="D63" s="79">
        <f t="shared" ref="D63:G63" si="19">IF(D62&gt;0,D62,0)</f>
        <v>3336.9423078557083</v>
      </c>
      <c r="E63" s="80">
        <f t="shared" si="19"/>
        <v>0</v>
      </c>
      <c r="F63" s="80">
        <f t="shared" si="19"/>
        <v>30573.210512498685</v>
      </c>
      <c r="G63" s="79">
        <f t="shared" si="19"/>
        <v>197406.43273691944</v>
      </c>
      <c r="H63" s="96">
        <f t="shared" si="18"/>
        <v>231316.58555727382</v>
      </c>
    </row>
    <row r="64" spans="1:11" ht="15.75" thickBot="1" x14ac:dyDescent="0.3">
      <c r="A64" s="81" t="s">
        <v>102</v>
      </c>
      <c r="B64" s="82" t="s">
        <v>67</v>
      </c>
      <c r="C64" s="83">
        <f>IF(C62&lt;0,C62*-1,0)</f>
        <v>4094.0363951551408</v>
      </c>
      <c r="D64" s="84">
        <f t="shared" ref="D64:G64" si="20">IF(D62&lt;0,D62*-1,0)</f>
        <v>0</v>
      </c>
      <c r="E64" s="85">
        <f t="shared" si="20"/>
        <v>362344.40362020186</v>
      </c>
      <c r="F64" s="85">
        <f t="shared" si="20"/>
        <v>0</v>
      </c>
      <c r="G64" s="84">
        <f t="shared" si="20"/>
        <v>0</v>
      </c>
      <c r="H64" s="97">
        <f t="shared" si="18"/>
        <v>366438.44001535699</v>
      </c>
    </row>
    <row r="65" spans="1:8" ht="15.75" thickBot="1" x14ac:dyDescent="0.3">
      <c r="A65" s="151" t="s">
        <v>83</v>
      </c>
      <c r="B65" s="14"/>
      <c r="C65" s="152">
        <f>C52-C23</f>
        <v>210325.83572446485</v>
      </c>
      <c r="D65" s="153">
        <f t="shared" ref="D65:G65" si="21">D52-D23</f>
        <v>156137.76427553524</v>
      </c>
      <c r="E65" s="154">
        <f t="shared" si="21"/>
        <v>5904457.08914591</v>
      </c>
      <c r="F65" s="154">
        <f t="shared" si="21"/>
        <v>1430713.9616929581</v>
      </c>
      <c r="G65" s="153">
        <f t="shared" si="21"/>
        <v>1459996.8091611015</v>
      </c>
      <c r="H65" s="155">
        <f>SUM(C65:G65)</f>
        <v>9161631.4599999692</v>
      </c>
    </row>
  </sheetData>
  <sheetProtection password="CC7B" sheet="1" objects="1" scenarios="1"/>
  <pageMargins left="0.11811023622047245" right="0.11811023622047245" top="0.35433070866141736" bottom="0.35433070866141736" header="0.11811023622047245" footer="0.11811023622047245"/>
  <pageSetup scale="75" orientation="portrait" verticalDpi="0" r:id="rId1"/>
  <headerFooter>
    <oddFooter>&amp;L&amp;9&amp;Z&amp;F  &amp;A  &amp;D  &amp;T&amp;R&amp;P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3:L65"/>
  <sheetViews>
    <sheetView topLeftCell="A7" zoomScale="80" zoomScaleNormal="80" workbookViewId="0">
      <selection activeCell="K38" sqref="K38"/>
    </sheetView>
  </sheetViews>
  <sheetFormatPr defaultRowHeight="15" x14ac:dyDescent="0.25"/>
  <cols>
    <col min="1" max="1" width="36" customWidth="1"/>
    <col min="2" max="2" width="11.140625" bestFit="1" customWidth="1"/>
    <col min="3" max="3" width="13.85546875" bestFit="1" customWidth="1"/>
    <col min="4" max="4" width="12.5703125" bestFit="1" customWidth="1"/>
    <col min="5" max="5" width="12.28515625" bestFit="1" customWidth="1"/>
    <col min="6" max="6" width="11.28515625" bestFit="1" customWidth="1"/>
    <col min="7" max="7" width="15.28515625" bestFit="1" customWidth="1"/>
    <col min="8" max="8" width="12.28515625" bestFit="1" customWidth="1"/>
    <col min="9" max="9" width="5.28515625" customWidth="1"/>
    <col min="10" max="10" width="11.42578125" bestFit="1" customWidth="1"/>
  </cols>
  <sheetData>
    <row r="3" spans="1:11" ht="5.25" customHeight="1" x14ac:dyDescent="0.25">
      <c r="A3" s="1"/>
      <c r="B3" s="1"/>
      <c r="E3" s="3"/>
    </row>
    <row r="4" spans="1:11" x14ac:dyDescent="0.25">
      <c r="A4" s="1"/>
      <c r="B4" s="1"/>
      <c r="E4" s="3"/>
    </row>
    <row r="5" spans="1:11" s="61" customFormat="1" x14ac:dyDescent="0.25">
      <c r="A5" s="60" t="s">
        <v>34</v>
      </c>
      <c r="B5" s="60"/>
    </row>
    <row r="6" spans="1:11" x14ac:dyDescent="0.25">
      <c r="A6" s="1" t="s">
        <v>5</v>
      </c>
      <c r="B6" s="1"/>
      <c r="E6" s="99" t="s">
        <v>68</v>
      </c>
      <c r="F6" s="99">
        <v>2017</v>
      </c>
    </row>
    <row r="7" spans="1:11" ht="15.75" thickBot="1" x14ac:dyDescent="0.3">
      <c r="A7" s="1"/>
      <c r="B7" s="1"/>
      <c r="E7" s="3"/>
      <c r="J7" s="3"/>
      <c r="K7" s="3"/>
    </row>
    <row r="8" spans="1:11" ht="15.75" thickBot="1" x14ac:dyDescent="0.3">
      <c r="A8" s="12"/>
      <c r="B8" s="12"/>
      <c r="C8" s="14" t="s">
        <v>12</v>
      </c>
      <c r="D8" s="15" t="s">
        <v>13</v>
      </c>
      <c r="E8" s="3"/>
      <c r="J8" s="3"/>
      <c r="K8" s="3"/>
    </row>
    <row r="9" spans="1:11" x14ac:dyDescent="0.25">
      <c r="A9" s="6" t="s">
        <v>9</v>
      </c>
      <c r="B9" s="51" t="s">
        <v>46</v>
      </c>
      <c r="C9" s="180">
        <v>0</v>
      </c>
      <c r="D9" s="189"/>
      <c r="J9" s="3"/>
      <c r="K9" s="3"/>
    </row>
    <row r="10" spans="1:11" ht="17.25" x14ac:dyDescent="0.25">
      <c r="A10" s="7" t="s">
        <v>7</v>
      </c>
      <c r="B10" s="52" t="s">
        <v>47</v>
      </c>
      <c r="C10" s="54">
        <v>1035356</v>
      </c>
      <c r="D10" s="190"/>
      <c r="G10" s="100"/>
      <c r="J10" s="3"/>
      <c r="K10" s="3"/>
    </row>
    <row r="11" spans="1:11" ht="17.25" x14ac:dyDescent="0.25">
      <c r="A11" s="7" t="s">
        <v>8</v>
      </c>
      <c r="B11" s="52" t="s">
        <v>48</v>
      </c>
      <c r="C11" s="54">
        <v>334209</v>
      </c>
      <c r="D11" s="190"/>
      <c r="F11" s="102"/>
      <c r="G11" s="100"/>
      <c r="J11" s="3"/>
      <c r="K11" s="3"/>
    </row>
    <row r="12" spans="1:11" ht="17.25" x14ac:dyDescent="0.25">
      <c r="A12" s="7" t="s">
        <v>6</v>
      </c>
      <c r="B12" s="52" t="s">
        <v>49</v>
      </c>
      <c r="C12" s="54">
        <v>17150859</v>
      </c>
      <c r="D12" s="190"/>
      <c r="G12" s="100"/>
      <c r="J12" s="3"/>
      <c r="K12" s="3"/>
    </row>
    <row r="13" spans="1:11" ht="17.25" x14ac:dyDescent="0.25">
      <c r="A13" s="7" t="s">
        <v>10</v>
      </c>
      <c r="B13" s="52" t="s">
        <v>50</v>
      </c>
      <c r="C13" s="54">
        <v>3983093</v>
      </c>
      <c r="D13" s="190"/>
      <c r="G13" s="100"/>
      <c r="J13" s="3"/>
      <c r="K13" s="3"/>
    </row>
    <row r="14" spans="1:11" ht="17.25" x14ac:dyDescent="0.25">
      <c r="A14" s="7" t="s">
        <v>11</v>
      </c>
      <c r="B14" s="52" t="s">
        <v>51</v>
      </c>
      <c r="C14" s="55">
        <v>4458469</v>
      </c>
      <c r="D14" s="191"/>
      <c r="F14" s="102"/>
      <c r="G14" s="100"/>
      <c r="J14" s="3"/>
      <c r="K14" s="3"/>
    </row>
    <row r="15" spans="1:11" x14ac:dyDescent="0.25">
      <c r="A15" s="17" t="s">
        <v>92</v>
      </c>
      <c r="B15" s="30" t="s">
        <v>52</v>
      </c>
      <c r="C15" s="56">
        <f>SUM(C10:C14)</f>
        <v>26961986</v>
      </c>
      <c r="D15" s="191"/>
      <c r="J15" s="3"/>
      <c r="K15" s="3"/>
    </row>
    <row r="16" spans="1:11" x14ac:dyDescent="0.25">
      <c r="A16" s="8" t="s">
        <v>85</v>
      </c>
      <c r="B16" s="29" t="s">
        <v>53</v>
      </c>
      <c r="C16" s="58">
        <v>2.1840600000000002E-2</v>
      </c>
      <c r="D16" s="4"/>
      <c r="J16" s="3"/>
      <c r="K16" s="3"/>
    </row>
    <row r="17" spans="1:11" ht="17.25" x14ac:dyDescent="0.25">
      <c r="A17" s="8" t="s">
        <v>86</v>
      </c>
      <c r="B17" s="29" t="s">
        <v>54</v>
      </c>
      <c r="C17" s="181"/>
      <c r="D17" s="4"/>
      <c r="I17" s="3"/>
      <c r="J17" s="41"/>
      <c r="K17" s="3"/>
    </row>
    <row r="18" spans="1:11" ht="15.75" thickBot="1" x14ac:dyDescent="0.3">
      <c r="A18" s="9" t="s">
        <v>87</v>
      </c>
      <c r="B18" s="31" t="s">
        <v>55</v>
      </c>
      <c r="C18" s="188">
        <v>0.1014</v>
      </c>
      <c r="D18" s="5"/>
      <c r="I18" s="3"/>
      <c r="J18" s="3"/>
      <c r="K18" s="3"/>
    </row>
    <row r="19" spans="1:11" ht="8.25" customHeight="1" thickBot="1" x14ac:dyDescent="0.3">
      <c r="B19" s="16"/>
      <c r="I19" s="3"/>
      <c r="J19" s="3"/>
      <c r="K19" s="3"/>
    </row>
    <row r="20" spans="1:11" ht="15.75" thickBot="1" x14ac:dyDescent="0.3">
      <c r="A20" s="22" t="s">
        <v>1</v>
      </c>
      <c r="B20" s="14"/>
      <c r="C20" s="23" t="s">
        <v>14</v>
      </c>
      <c r="D20" s="15" t="s">
        <v>15</v>
      </c>
      <c r="E20" s="24" t="s">
        <v>2</v>
      </c>
      <c r="F20" s="24" t="s">
        <v>3</v>
      </c>
      <c r="G20" s="15" t="s">
        <v>4</v>
      </c>
      <c r="H20" s="90" t="s">
        <v>65</v>
      </c>
      <c r="I20" s="42"/>
      <c r="J20" s="3"/>
      <c r="K20" s="3"/>
    </row>
    <row r="21" spans="1:11" x14ac:dyDescent="0.25">
      <c r="A21" s="8" t="s">
        <v>16</v>
      </c>
      <c r="B21" s="29" t="s">
        <v>56</v>
      </c>
      <c r="C21" s="32">
        <v>0.10299999999999999</v>
      </c>
      <c r="D21" s="19">
        <v>0.121</v>
      </c>
      <c r="E21" s="25">
        <v>8.6999999999999994E-2</v>
      </c>
      <c r="F21" s="25">
        <v>0.13200000000000001</v>
      </c>
      <c r="G21" s="19">
        <v>0.18</v>
      </c>
      <c r="H21" s="91"/>
      <c r="I21" s="43"/>
      <c r="J21" s="3"/>
      <c r="K21" s="3"/>
    </row>
    <row r="22" spans="1:11" x14ac:dyDescent="0.25">
      <c r="A22" s="7" t="s">
        <v>17</v>
      </c>
      <c r="B22" s="52" t="s">
        <v>57</v>
      </c>
      <c r="C22" s="192"/>
      <c r="D22" s="193"/>
      <c r="E22" s="194"/>
      <c r="F22" s="194"/>
      <c r="G22" s="190"/>
      <c r="H22" s="92"/>
      <c r="I22" s="44"/>
      <c r="J22" s="3"/>
      <c r="K22" s="3"/>
    </row>
    <row r="23" spans="1:11" x14ac:dyDescent="0.25">
      <c r="A23" s="8" t="s">
        <v>96</v>
      </c>
      <c r="B23" s="29" t="s">
        <v>58</v>
      </c>
      <c r="C23" s="33">
        <f>C10</f>
        <v>1035356</v>
      </c>
      <c r="D23" s="20">
        <f>C11</f>
        <v>334209</v>
      </c>
      <c r="E23" s="26">
        <f>C12</f>
        <v>17150859</v>
      </c>
      <c r="F23" s="26">
        <f>C13</f>
        <v>3983093</v>
      </c>
      <c r="G23" s="20">
        <f>C14</f>
        <v>4458469</v>
      </c>
      <c r="H23" s="93">
        <f>SUM(C23:G23)</f>
        <v>26961986</v>
      </c>
      <c r="I23" s="45"/>
      <c r="J23" s="3"/>
      <c r="K23" s="3"/>
    </row>
    <row r="24" spans="1:11" ht="9.75" customHeight="1" x14ac:dyDescent="0.25">
      <c r="A24" s="8"/>
      <c r="B24" s="29"/>
      <c r="C24" s="10"/>
      <c r="D24" s="4"/>
      <c r="E24" s="27"/>
      <c r="F24" s="27"/>
      <c r="G24" s="4"/>
      <c r="H24" s="7"/>
      <c r="I24" s="2"/>
      <c r="J24" s="3"/>
    </row>
    <row r="25" spans="1:11" x14ac:dyDescent="0.25">
      <c r="A25" s="8" t="s">
        <v>93</v>
      </c>
      <c r="B25" s="29" t="s">
        <v>59</v>
      </c>
      <c r="C25" s="182">
        <f>C23*C21</f>
        <v>106641.66799999999</v>
      </c>
      <c r="D25" s="183">
        <f t="shared" ref="D25" si="0">D23*D21</f>
        <v>40439.288999999997</v>
      </c>
      <c r="E25" s="184">
        <f>E23*E21</f>
        <v>1492124.733</v>
      </c>
      <c r="F25" s="184">
        <f t="shared" ref="F25:G25" si="1">F23*F21</f>
        <v>525768.27600000007</v>
      </c>
      <c r="G25" s="183">
        <f t="shared" si="1"/>
        <v>802524.41999999993</v>
      </c>
      <c r="H25" s="94">
        <f t="shared" ref="H25:H30" si="2">SUM(C25:G25)</f>
        <v>2967498.3859999999</v>
      </c>
      <c r="I25" s="46"/>
      <c r="J25" s="3"/>
    </row>
    <row r="26" spans="1:11" x14ac:dyDescent="0.25">
      <c r="A26" s="8" t="s">
        <v>94</v>
      </c>
      <c r="B26" s="29" t="s">
        <v>60</v>
      </c>
      <c r="C26" s="182">
        <f t="shared" ref="C26:D26" si="3">C23*$C$16</f>
        <v>22612.796253600001</v>
      </c>
      <c r="D26" s="183">
        <f t="shared" si="3"/>
        <v>7299.3250854000007</v>
      </c>
      <c r="E26" s="184">
        <f>E23*$C$16</f>
        <v>374585.05107540003</v>
      </c>
      <c r="F26" s="184">
        <f t="shared" ref="F26:G26" si="4">F23*$C$16</f>
        <v>86993.140975800008</v>
      </c>
      <c r="G26" s="183">
        <f t="shared" si="4"/>
        <v>97375.638041400001</v>
      </c>
      <c r="H26" s="94">
        <f t="shared" si="2"/>
        <v>588865.95143160003</v>
      </c>
      <c r="I26" s="46"/>
      <c r="J26" s="3"/>
    </row>
    <row r="27" spans="1:11" ht="15.75" thickBot="1" x14ac:dyDescent="0.3">
      <c r="A27" s="9" t="s">
        <v>95</v>
      </c>
      <c r="B27" s="31" t="s">
        <v>61</v>
      </c>
      <c r="C27" s="185">
        <f>C23*$C$18</f>
        <v>104985.0984</v>
      </c>
      <c r="D27" s="186">
        <f t="shared" ref="D27:G27" si="5">D23*$C$18</f>
        <v>33888.792600000001</v>
      </c>
      <c r="E27" s="187">
        <f t="shared" si="5"/>
        <v>1739097.1026000001</v>
      </c>
      <c r="F27" s="187">
        <f t="shared" si="5"/>
        <v>403885.63020000001</v>
      </c>
      <c r="G27" s="186">
        <f t="shared" si="5"/>
        <v>452088.75660000002</v>
      </c>
      <c r="H27" s="95">
        <f t="shared" si="2"/>
        <v>2733945.3804000001</v>
      </c>
      <c r="I27" s="46"/>
    </row>
    <row r="28" spans="1:11" x14ac:dyDescent="0.25">
      <c r="A28" s="17" t="s">
        <v>99</v>
      </c>
      <c r="B28" s="30" t="s">
        <v>62</v>
      </c>
      <c r="C28" s="35">
        <f>91308-104952</f>
        <v>-13644</v>
      </c>
      <c r="D28" s="36">
        <f>29474-33878</f>
        <v>-4404</v>
      </c>
      <c r="E28" s="37">
        <f>1512538-1738557</f>
        <v>-226019</v>
      </c>
      <c r="F28" s="37">
        <f>351270-403760</f>
        <v>-52490</v>
      </c>
      <c r="G28" s="36">
        <f>393193-451948</f>
        <v>-58755</v>
      </c>
      <c r="H28" s="98">
        <f t="shared" si="2"/>
        <v>-355312</v>
      </c>
      <c r="I28" s="47"/>
      <c r="J28" s="49"/>
    </row>
    <row r="29" spans="1:11" x14ac:dyDescent="0.25">
      <c r="A29" s="66" t="s">
        <v>97</v>
      </c>
      <c r="B29" s="67" t="s">
        <v>63</v>
      </c>
      <c r="C29" s="68">
        <f>IF(C28&gt;0,C28,0)</f>
        <v>0</v>
      </c>
      <c r="D29" s="69">
        <f t="shared" ref="D29:G29" si="6">IF(D28&gt;0,D28,0)</f>
        <v>0</v>
      </c>
      <c r="E29" s="70">
        <f t="shared" si="6"/>
        <v>0</v>
      </c>
      <c r="F29" s="70">
        <f t="shared" si="6"/>
        <v>0</v>
      </c>
      <c r="G29" s="69">
        <f t="shared" si="6"/>
        <v>0</v>
      </c>
      <c r="H29" s="96">
        <f t="shared" si="2"/>
        <v>0</v>
      </c>
      <c r="I29" s="48"/>
      <c r="J29" s="49"/>
      <c r="K29" s="18"/>
    </row>
    <row r="30" spans="1:11" ht="15.75" thickBot="1" x14ac:dyDescent="0.3">
      <c r="A30" s="71" t="s">
        <v>98</v>
      </c>
      <c r="B30" s="72" t="s">
        <v>64</v>
      </c>
      <c r="C30" s="73">
        <f>IF(C28&lt;0,C28*-1,0)</f>
        <v>13644</v>
      </c>
      <c r="D30" s="74">
        <f t="shared" ref="D30:G30" si="7">IF(D28&lt;0,D28*-1,0)</f>
        <v>4404</v>
      </c>
      <c r="E30" s="75">
        <f t="shared" si="7"/>
        <v>226019</v>
      </c>
      <c r="F30" s="75">
        <f t="shared" si="7"/>
        <v>52490</v>
      </c>
      <c r="G30" s="74">
        <f t="shared" si="7"/>
        <v>58755</v>
      </c>
      <c r="H30" s="97">
        <f t="shared" si="2"/>
        <v>355312</v>
      </c>
      <c r="I30" s="48"/>
      <c r="J30" s="49"/>
      <c r="K30" s="18"/>
    </row>
    <row r="31" spans="1:11" x14ac:dyDescent="0.25">
      <c r="B31" s="16"/>
      <c r="C31" s="18"/>
      <c r="D31" s="18"/>
      <c r="E31" s="18"/>
      <c r="F31" s="18"/>
      <c r="G31" s="18"/>
      <c r="H31" s="49"/>
      <c r="I31" s="49"/>
      <c r="J31" s="49"/>
      <c r="K31" s="18"/>
    </row>
    <row r="32" spans="1:11" x14ac:dyDescent="0.25">
      <c r="B32" s="16"/>
      <c r="C32" s="18"/>
      <c r="D32" s="18"/>
      <c r="E32" s="18"/>
      <c r="F32" s="18"/>
      <c r="G32" s="18"/>
      <c r="H32" s="18"/>
      <c r="I32" s="49"/>
      <c r="J32" s="49"/>
      <c r="K32" s="18"/>
    </row>
    <row r="33" spans="1:12" s="62" customFormat="1" x14ac:dyDescent="0.25">
      <c r="A33" s="65" t="s">
        <v>35</v>
      </c>
      <c r="B33" s="63"/>
      <c r="C33" s="64"/>
      <c r="D33" s="64"/>
      <c r="E33" s="64"/>
      <c r="F33" s="64"/>
      <c r="G33" s="64"/>
      <c r="H33" s="64"/>
      <c r="I33" s="64"/>
      <c r="J33" s="64"/>
      <c r="K33" s="64"/>
    </row>
    <row r="34" spans="1:12" x14ac:dyDescent="0.25">
      <c r="A34" s="1" t="s">
        <v>5</v>
      </c>
      <c r="B34" s="1"/>
      <c r="E34" s="3"/>
    </row>
    <row r="35" spans="1:12" ht="15.75" thickBot="1" x14ac:dyDescent="0.3">
      <c r="B35" s="16"/>
      <c r="C35" s="18"/>
      <c r="D35" s="18"/>
      <c r="E35" s="18"/>
      <c r="F35" s="18"/>
      <c r="G35" s="18"/>
      <c r="H35" s="18"/>
      <c r="I35" s="49"/>
      <c r="J35" s="49"/>
      <c r="K35" s="18"/>
    </row>
    <row r="36" spans="1:12" ht="30.75" thickBot="1" x14ac:dyDescent="0.3">
      <c r="A36" s="12"/>
      <c r="B36" s="12"/>
      <c r="C36" s="14" t="s">
        <v>12</v>
      </c>
      <c r="D36" s="15" t="s">
        <v>13</v>
      </c>
      <c r="E36" s="3"/>
      <c r="G36" s="159" t="s">
        <v>84</v>
      </c>
      <c r="J36" s="105"/>
    </row>
    <row r="37" spans="1:12" x14ac:dyDescent="0.25">
      <c r="A37" s="6" t="s">
        <v>9</v>
      </c>
      <c r="B37" s="51" t="s">
        <v>21</v>
      </c>
      <c r="C37" s="53">
        <v>43719395</v>
      </c>
      <c r="D37" s="13">
        <f>C37/C37</f>
        <v>1</v>
      </c>
    </row>
    <row r="38" spans="1:12" ht="17.25" x14ac:dyDescent="0.25">
      <c r="A38" s="7" t="s">
        <v>103</v>
      </c>
      <c r="B38" s="52" t="s">
        <v>22</v>
      </c>
      <c r="C38" s="130">
        <f>G38*D38</f>
        <v>1000353.9660048016</v>
      </c>
      <c r="D38" s="156">
        <v>0.66881107410947005</v>
      </c>
      <c r="F38" s="100">
        <f>G38/G43</f>
        <v>6.3159752431253408E-2</v>
      </c>
      <c r="G38" s="101">
        <v>1495719.7999999998</v>
      </c>
    </row>
    <row r="39" spans="1:12" ht="17.25" x14ac:dyDescent="0.25">
      <c r="A39" s="7" t="s">
        <v>104</v>
      </c>
      <c r="B39" s="52" t="s">
        <v>23</v>
      </c>
      <c r="C39" s="130">
        <f>G38*D39</f>
        <v>495365.83399519819</v>
      </c>
      <c r="D39" s="156">
        <v>0.33118892589052995</v>
      </c>
      <c r="E39" s="103"/>
      <c r="F39" s="100"/>
    </row>
    <row r="40" spans="1:12" ht="17.25" x14ac:dyDescent="0.25">
      <c r="A40" s="7" t="s">
        <v>105</v>
      </c>
      <c r="B40" s="52" t="s">
        <v>24</v>
      </c>
      <c r="C40" s="54">
        <f>G40*D40</f>
        <v>14417918.636773286</v>
      </c>
      <c r="D40" s="156">
        <v>0.64987107348185924</v>
      </c>
      <c r="F40" s="100">
        <f>G40/G43</f>
        <v>0.93684024756874651</v>
      </c>
      <c r="G40" s="101">
        <v>22185813.809999891</v>
      </c>
    </row>
    <row r="41" spans="1:12" ht="17.25" x14ac:dyDescent="0.25">
      <c r="A41" s="7" t="s">
        <v>106</v>
      </c>
      <c r="B41" s="52" t="s">
        <v>25</v>
      </c>
      <c r="C41" s="54">
        <f>G40*D41</f>
        <v>3730616.5861299122</v>
      </c>
      <c r="D41" s="156">
        <v>0.16815324504564255</v>
      </c>
      <c r="F41" s="100"/>
    </row>
    <row r="42" spans="1:12" ht="17.25" x14ac:dyDescent="0.25">
      <c r="A42" s="7" t="s">
        <v>107</v>
      </c>
      <c r="B42" s="52" t="s">
        <v>26</v>
      </c>
      <c r="C42" s="55">
        <f>G40*D42</f>
        <v>4037278.5870966921</v>
      </c>
      <c r="D42" s="157">
        <v>0.18197568147249821</v>
      </c>
      <c r="F42" s="100"/>
    </row>
    <row r="43" spans="1:12" x14ac:dyDescent="0.25">
      <c r="A43" s="17" t="s">
        <v>108</v>
      </c>
      <c r="B43" s="30" t="s">
        <v>27</v>
      </c>
      <c r="C43" s="56">
        <f>SUM(C38:C42)</f>
        <v>23681533.609999888</v>
      </c>
      <c r="D43" s="11">
        <f>C43/C37</f>
        <v>0.541671118962188</v>
      </c>
      <c r="F43" s="100">
        <f>C43/G43</f>
        <v>0.99999999999999989</v>
      </c>
      <c r="G43" s="101">
        <v>23681533.609999891</v>
      </c>
      <c r="H43" s="102">
        <f>F38+F40-F43</f>
        <v>0</v>
      </c>
    </row>
    <row r="44" spans="1:12" x14ac:dyDescent="0.25">
      <c r="A44" s="8" t="s">
        <v>0</v>
      </c>
      <c r="B44" s="29" t="s">
        <v>28</v>
      </c>
      <c r="C44" s="57">
        <f>D45/C45</f>
        <v>2.1836734770413917E-2</v>
      </c>
      <c r="D44" s="4"/>
      <c r="J44" s="3"/>
    </row>
    <row r="45" spans="1:12" ht="17.25" x14ac:dyDescent="0.25">
      <c r="A45" s="8" t="s">
        <v>81</v>
      </c>
      <c r="B45" s="29" t="s">
        <v>29</v>
      </c>
      <c r="C45" s="54">
        <v>43933204.761904761</v>
      </c>
      <c r="D45" s="50">
        <v>959357.74</v>
      </c>
      <c r="J45" s="3"/>
      <c r="L45" s="105"/>
    </row>
    <row r="46" spans="1:12" ht="17.25" x14ac:dyDescent="0.25">
      <c r="A46" s="8" t="s">
        <v>32</v>
      </c>
      <c r="B46" s="29" t="s">
        <v>30</v>
      </c>
      <c r="C46" s="58">
        <v>82.27</v>
      </c>
      <c r="D46" s="4"/>
      <c r="I46" s="3"/>
      <c r="J46" s="41"/>
    </row>
    <row r="47" spans="1:12" ht="15.75" thickBot="1" x14ac:dyDescent="0.3">
      <c r="A47" s="9" t="s">
        <v>33</v>
      </c>
      <c r="B47" s="31" t="s">
        <v>31</v>
      </c>
      <c r="C47" s="59">
        <f>C46/1000</f>
        <v>8.2269999999999996E-2</v>
      </c>
      <c r="D47" s="5"/>
      <c r="H47" s="3"/>
      <c r="I47" s="3"/>
      <c r="J47" s="3"/>
    </row>
    <row r="48" spans="1:12" ht="15.75" thickBot="1" x14ac:dyDescent="0.3">
      <c r="B48" s="16"/>
      <c r="H48" s="3"/>
      <c r="I48" s="3"/>
      <c r="J48" s="3"/>
    </row>
    <row r="49" spans="1:11" ht="15.75" thickBot="1" x14ac:dyDescent="0.3">
      <c r="A49" s="22" t="s">
        <v>88</v>
      </c>
      <c r="B49" s="14"/>
      <c r="C49" s="23" t="s">
        <v>14</v>
      </c>
      <c r="D49" s="15" t="s">
        <v>15</v>
      </c>
      <c r="E49" s="24" t="s">
        <v>2</v>
      </c>
      <c r="F49" s="24" t="s">
        <v>3</v>
      </c>
      <c r="G49" s="15" t="s">
        <v>4</v>
      </c>
      <c r="H49" s="90" t="s">
        <v>65</v>
      </c>
      <c r="I49" s="42"/>
      <c r="J49" s="3"/>
    </row>
    <row r="50" spans="1:11" x14ac:dyDescent="0.25">
      <c r="A50" s="8" t="s">
        <v>16</v>
      </c>
      <c r="B50" s="29" t="s">
        <v>37</v>
      </c>
      <c r="C50" s="114">
        <f>C21</f>
        <v>0.10299999999999999</v>
      </c>
      <c r="D50" s="115">
        <f t="shared" ref="D50:G50" si="8">D21</f>
        <v>0.121</v>
      </c>
      <c r="E50" s="116">
        <f t="shared" si="8"/>
        <v>8.6999999999999994E-2</v>
      </c>
      <c r="F50" s="116">
        <f t="shared" si="8"/>
        <v>0.13200000000000001</v>
      </c>
      <c r="G50" s="115">
        <f t="shared" si="8"/>
        <v>0.18</v>
      </c>
      <c r="H50" s="91"/>
      <c r="I50" s="43"/>
      <c r="J50" s="3"/>
    </row>
    <row r="51" spans="1:11" x14ac:dyDescent="0.25">
      <c r="A51" s="7" t="s">
        <v>17</v>
      </c>
      <c r="B51" s="52" t="s">
        <v>38</v>
      </c>
      <c r="C51" s="192"/>
      <c r="D51" s="193"/>
      <c r="E51" s="194"/>
      <c r="F51" s="194"/>
      <c r="G51" s="190"/>
      <c r="H51" s="92"/>
      <c r="I51" s="44"/>
      <c r="J51" s="3"/>
    </row>
    <row r="52" spans="1:11" x14ac:dyDescent="0.25">
      <c r="A52" s="8" t="s">
        <v>109</v>
      </c>
      <c r="B52" s="29" t="s">
        <v>39</v>
      </c>
      <c r="C52" s="33">
        <f>C38</f>
        <v>1000353.9660048016</v>
      </c>
      <c r="D52" s="20">
        <f>C39</f>
        <v>495365.83399519819</v>
      </c>
      <c r="E52" s="26">
        <f>C40</f>
        <v>14417918.636773286</v>
      </c>
      <c r="F52" s="26">
        <f>C41</f>
        <v>3730616.5861299122</v>
      </c>
      <c r="G52" s="20">
        <f>C42</f>
        <v>4037278.5870966921</v>
      </c>
      <c r="H52" s="93">
        <f>SUM(C52:G52)</f>
        <v>23681533.609999888</v>
      </c>
      <c r="I52" s="45"/>
      <c r="J52" s="3"/>
    </row>
    <row r="53" spans="1:11" x14ac:dyDescent="0.25">
      <c r="A53" s="8"/>
      <c r="B53" s="29"/>
      <c r="C53" s="10"/>
      <c r="D53" s="4"/>
      <c r="E53" s="27"/>
      <c r="F53" s="27"/>
      <c r="G53" s="4"/>
      <c r="H53" s="7"/>
      <c r="I53" s="2"/>
      <c r="J53" s="3"/>
    </row>
    <row r="54" spans="1:11" x14ac:dyDescent="0.25">
      <c r="A54" s="8" t="s">
        <v>89</v>
      </c>
      <c r="B54" s="29" t="s">
        <v>40</v>
      </c>
      <c r="C54" s="34">
        <f>C52*C50</f>
        <v>103036.45849849455</v>
      </c>
      <c r="D54" s="21">
        <f t="shared" ref="D54" si="9">D52*D50</f>
        <v>59939.265913418982</v>
      </c>
      <c r="E54" s="28">
        <f>E52*E50</f>
        <v>1254358.9213992758</v>
      </c>
      <c r="F54" s="28">
        <f t="shared" ref="F54:G54" si="10">F52*F50</f>
        <v>492441.38936914841</v>
      </c>
      <c r="G54" s="21">
        <f t="shared" si="10"/>
        <v>726710.14567740459</v>
      </c>
      <c r="H54" s="94">
        <f t="shared" ref="H54:H59" si="11">SUM(C54:G54)</f>
        <v>2636486.1808577422</v>
      </c>
      <c r="I54" s="46"/>
      <c r="J54" s="3"/>
    </row>
    <row r="55" spans="1:11" x14ac:dyDescent="0.25">
      <c r="A55" s="8" t="s">
        <v>90</v>
      </c>
      <c r="B55" s="29" t="s">
        <v>41</v>
      </c>
      <c r="C55" s="34">
        <f>C52*$C$44</f>
        <v>21844.46423217851</v>
      </c>
      <c r="D55" s="21">
        <f t="shared" ref="D55:G55" si="12">D52*$C$44</f>
        <v>10817.172331278032</v>
      </c>
      <c r="E55" s="28">
        <f t="shared" si="12"/>
        <v>314840.26521262602</v>
      </c>
      <c r="F55" s="28">
        <f t="shared" si="12"/>
        <v>81464.484921425916</v>
      </c>
      <c r="G55" s="21">
        <f t="shared" si="12"/>
        <v>88160.981700701901</v>
      </c>
      <c r="H55" s="94">
        <f t="shared" si="11"/>
        <v>517127.36839821038</v>
      </c>
      <c r="I55" s="46"/>
      <c r="J55" s="3"/>
    </row>
    <row r="56" spans="1:11" ht="15.75" thickBot="1" x14ac:dyDescent="0.3">
      <c r="A56" s="9" t="s">
        <v>91</v>
      </c>
      <c r="B56" s="31" t="s">
        <v>42</v>
      </c>
      <c r="C56" s="38">
        <f>C52*$C$47</f>
        <v>82299.120783215025</v>
      </c>
      <c r="D56" s="39">
        <f t="shared" ref="D56:G56" si="13">D52*$C$47</f>
        <v>40753.747162784952</v>
      </c>
      <c r="E56" s="40">
        <f t="shared" si="13"/>
        <v>1186162.1662473383</v>
      </c>
      <c r="F56" s="40">
        <f t="shared" si="13"/>
        <v>306917.82654090784</v>
      </c>
      <c r="G56" s="39">
        <f t="shared" si="13"/>
        <v>332146.90936044481</v>
      </c>
      <c r="H56" s="95">
        <f t="shared" si="11"/>
        <v>1948279.7700946911</v>
      </c>
      <c r="I56" s="46"/>
      <c r="J56" s="3"/>
    </row>
    <row r="57" spans="1:11" x14ac:dyDescent="0.25">
      <c r="A57" s="17" t="s">
        <v>20</v>
      </c>
      <c r="B57" s="30" t="s">
        <v>43</v>
      </c>
      <c r="C57" s="35">
        <f>C54-C55-C56</f>
        <v>-1107.1265168989776</v>
      </c>
      <c r="D57" s="36">
        <f t="shared" ref="D57:G57" si="14">D54-D55-D56</f>
        <v>8368.3464193559994</v>
      </c>
      <c r="E57" s="37">
        <f t="shared" si="14"/>
        <v>-246643.51006068848</v>
      </c>
      <c r="F57" s="37">
        <f t="shared" si="14"/>
        <v>104059.07790681464</v>
      </c>
      <c r="G57" s="36">
        <f t="shared" si="14"/>
        <v>306402.25461625791</v>
      </c>
      <c r="H57" s="98">
        <f t="shared" si="11"/>
        <v>171079.04236484109</v>
      </c>
      <c r="I57" s="47"/>
      <c r="J57" s="3"/>
    </row>
    <row r="58" spans="1:11" x14ac:dyDescent="0.25">
      <c r="A58" s="76" t="s">
        <v>18</v>
      </c>
      <c r="B58" s="77" t="s">
        <v>44</v>
      </c>
      <c r="C58" s="78">
        <f>IF(C57&gt;0,C57,0)</f>
        <v>0</v>
      </c>
      <c r="D58" s="79">
        <f t="shared" ref="D58:G58" si="15">IF(D57&gt;0,D57,0)</f>
        <v>8368.3464193559994</v>
      </c>
      <c r="E58" s="80">
        <f t="shared" si="15"/>
        <v>0</v>
      </c>
      <c r="F58" s="80">
        <f t="shared" si="15"/>
        <v>104059.07790681464</v>
      </c>
      <c r="G58" s="79">
        <f t="shared" si="15"/>
        <v>306402.25461625791</v>
      </c>
      <c r="H58" s="96">
        <f t="shared" si="11"/>
        <v>418829.67894242855</v>
      </c>
      <c r="I58" s="48"/>
      <c r="J58" s="49"/>
      <c r="K58" s="18"/>
    </row>
    <row r="59" spans="1:11" ht="15.75" thickBot="1" x14ac:dyDescent="0.3">
      <c r="A59" s="81" t="s">
        <v>19</v>
      </c>
      <c r="B59" s="82" t="s">
        <v>45</v>
      </c>
      <c r="C59" s="83">
        <f>IF(C57&lt;0,C57*-1,0)</f>
        <v>1107.1265168989776</v>
      </c>
      <c r="D59" s="84">
        <f t="shared" ref="D59:G59" si="16">IF(D57&lt;0,D57*-1,0)</f>
        <v>0</v>
      </c>
      <c r="E59" s="85">
        <f t="shared" si="16"/>
        <v>246643.51006068848</v>
      </c>
      <c r="F59" s="85">
        <f t="shared" si="16"/>
        <v>0</v>
      </c>
      <c r="G59" s="84">
        <f t="shared" si="16"/>
        <v>0</v>
      </c>
      <c r="H59" s="97">
        <f t="shared" si="11"/>
        <v>247750.63657758746</v>
      </c>
      <c r="I59" s="48"/>
      <c r="J59" s="49"/>
      <c r="K59" s="18"/>
    </row>
    <row r="60" spans="1:11" x14ac:dyDescent="0.25">
      <c r="B60" s="16"/>
      <c r="C60" s="18"/>
      <c r="D60" s="18"/>
      <c r="E60" s="18"/>
      <c r="F60" s="18"/>
      <c r="G60" s="18"/>
      <c r="H60" s="49"/>
      <c r="I60" s="49"/>
      <c r="J60" s="49"/>
      <c r="K60" s="18"/>
    </row>
    <row r="61" spans="1:11" ht="15.75" thickBot="1" x14ac:dyDescent="0.3">
      <c r="A61" s="86" t="s">
        <v>36</v>
      </c>
      <c r="H61" s="3"/>
      <c r="I61" s="3"/>
    </row>
    <row r="62" spans="1:11" x14ac:dyDescent="0.25">
      <c r="A62" s="6" t="s">
        <v>100</v>
      </c>
      <c r="B62" s="51"/>
      <c r="C62" s="87">
        <f>C57-C28</f>
        <v>12536.873483101022</v>
      </c>
      <c r="D62" s="88">
        <f t="shared" ref="D62:G62" si="17">D57-D28</f>
        <v>12772.346419355999</v>
      </c>
      <c r="E62" s="89">
        <f t="shared" si="17"/>
        <v>-20624.510060688481</v>
      </c>
      <c r="F62" s="89">
        <f t="shared" si="17"/>
        <v>156549.07790681464</v>
      </c>
      <c r="G62" s="88">
        <f t="shared" si="17"/>
        <v>365157.25461625791</v>
      </c>
      <c r="H62" s="98">
        <f t="shared" ref="H62:H64" si="18">SUM(C62:G62)</f>
        <v>526391.04236484109</v>
      </c>
      <c r="I62" s="47"/>
      <c r="J62" s="3"/>
    </row>
    <row r="63" spans="1:11" x14ac:dyDescent="0.25">
      <c r="A63" s="76" t="s">
        <v>101</v>
      </c>
      <c r="B63" s="77" t="s">
        <v>66</v>
      </c>
      <c r="C63" s="78">
        <f>IF(C62&gt;0,C62,0)</f>
        <v>12536.873483101022</v>
      </c>
      <c r="D63" s="79">
        <f t="shared" ref="D63:G63" si="19">IF(D62&gt;0,D62,0)</f>
        <v>12772.346419355999</v>
      </c>
      <c r="E63" s="80">
        <f t="shared" si="19"/>
        <v>0</v>
      </c>
      <c r="F63" s="80">
        <f t="shared" si="19"/>
        <v>156549.07790681464</v>
      </c>
      <c r="G63" s="79">
        <f t="shared" si="19"/>
        <v>365157.25461625791</v>
      </c>
      <c r="H63" s="96">
        <f t="shared" si="18"/>
        <v>547015.55242552957</v>
      </c>
      <c r="I63" s="48"/>
      <c r="J63" s="49"/>
      <c r="K63" s="18"/>
    </row>
    <row r="64" spans="1:11" ht="15.75" thickBot="1" x14ac:dyDescent="0.3">
      <c r="A64" s="81" t="s">
        <v>102</v>
      </c>
      <c r="B64" s="82" t="s">
        <v>67</v>
      </c>
      <c r="C64" s="83">
        <f>IF(C62&lt;0,C62*-1,0)</f>
        <v>0</v>
      </c>
      <c r="D64" s="84">
        <f t="shared" ref="D64:G64" si="20">IF(D62&lt;0,D62*-1,0)</f>
        <v>0</v>
      </c>
      <c r="E64" s="85">
        <f t="shared" si="20"/>
        <v>20624.510060688481</v>
      </c>
      <c r="F64" s="85">
        <f t="shared" si="20"/>
        <v>0</v>
      </c>
      <c r="G64" s="84">
        <f t="shared" si="20"/>
        <v>0</v>
      </c>
      <c r="H64" s="97">
        <f t="shared" si="18"/>
        <v>20624.510060688481</v>
      </c>
      <c r="I64" s="48"/>
      <c r="J64" s="49"/>
      <c r="K64" s="18"/>
    </row>
    <row r="65" spans="1:8" ht="15.75" thickBot="1" x14ac:dyDescent="0.3">
      <c r="A65" s="151" t="s">
        <v>83</v>
      </c>
      <c r="B65" s="14"/>
      <c r="C65" s="152">
        <f>C52-C23</f>
        <v>-35002.033995198435</v>
      </c>
      <c r="D65" s="153">
        <f t="shared" ref="D65:G65" si="21">D52-D23</f>
        <v>161156.83399519819</v>
      </c>
      <c r="E65" s="154">
        <f t="shared" si="21"/>
        <v>-2732940.3632267136</v>
      </c>
      <c r="F65" s="154">
        <f t="shared" si="21"/>
        <v>-252476.41387008782</v>
      </c>
      <c r="G65" s="153">
        <f t="shared" si="21"/>
        <v>-421190.41290330794</v>
      </c>
      <c r="H65" s="155">
        <f>SUM(C65:G65)</f>
        <v>-3280452.3900001096</v>
      </c>
    </row>
  </sheetData>
  <sheetProtection password="CC7B" sheet="1" objects="1" scenarios="1"/>
  <pageMargins left="0.11811023622047245" right="0.11811023622047245" top="0.35433070866141736" bottom="0.35433070866141736" header="0.11811023622047245" footer="0.11811023622047245"/>
  <pageSetup scale="75" orientation="portrait" r:id="rId1"/>
  <headerFooter>
    <oddFooter>&amp;L&amp;9&amp;Z&amp;F  &amp;A  &amp;D  &amp;T&amp;R&amp;P</oddFooter>
  </headerFooter>
  <ignoredErrors>
    <ignoredError sqref="C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3:L65"/>
  <sheetViews>
    <sheetView zoomScale="80" zoomScaleNormal="80" workbookViewId="0">
      <selection activeCell="C48" sqref="C48"/>
    </sheetView>
  </sheetViews>
  <sheetFormatPr defaultRowHeight="15" x14ac:dyDescent="0.25"/>
  <cols>
    <col min="1" max="1" width="36" customWidth="1"/>
    <col min="2" max="2" width="11.140625" bestFit="1" customWidth="1"/>
    <col min="3" max="3" width="15.28515625" bestFit="1" customWidth="1"/>
    <col min="4" max="4" width="12.5703125" bestFit="1" customWidth="1"/>
    <col min="5" max="5" width="12.85546875" bestFit="1" customWidth="1"/>
    <col min="6" max="7" width="12.140625" bestFit="1" customWidth="1"/>
    <col min="8" max="8" width="13.28515625" bestFit="1" customWidth="1"/>
    <col min="9" max="9" width="5.28515625" customWidth="1"/>
  </cols>
  <sheetData>
    <row r="3" spans="1:11" ht="5.25" customHeight="1" x14ac:dyDescent="0.25">
      <c r="A3" s="1"/>
      <c r="B3" s="1"/>
      <c r="E3" s="3"/>
    </row>
    <row r="4" spans="1:11" x14ac:dyDescent="0.25">
      <c r="A4" s="1"/>
      <c r="B4" s="1"/>
      <c r="E4" s="3"/>
    </row>
    <row r="5" spans="1:11" s="61" customFormat="1" x14ac:dyDescent="0.25">
      <c r="A5" s="60" t="s">
        <v>34</v>
      </c>
      <c r="B5" s="60"/>
    </row>
    <row r="6" spans="1:11" x14ac:dyDescent="0.25">
      <c r="A6" s="1" t="s">
        <v>5</v>
      </c>
      <c r="B6" s="1"/>
      <c r="E6" s="99" t="s">
        <v>69</v>
      </c>
      <c r="F6" s="99">
        <v>2017</v>
      </c>
    </row>
    <row r="7" spans="1:11" ht="15.75" thickBot="1" x14ac:dyDescent="0.3">
      <c r="A7" s="1"/>
      <c r="B7" s="1"/>
      <c r="E7" s="3"/>
      <c r="J7" s="3"/>
      <c r="K7" s="3"/>
    </row>
    <row r="8" spans="1:11" ht="15.75" thickBot="1" x14ac:dyDescent="0.3">
      <c r="A8" s="12"/>
      <c r="B8" s="12"/>
      <c r="C8" s="14" t="s">
        <v>12</v>
      </c>
      <c r="D8" s="15" t="s">
        <v>13</v>
      </c>
      <c r="E8" s="3"/>
      <c r="J8" s="3"/>
      <c r="K8" s="3"/>
    </row>
    <row r="9" spans="1:11" x14ac:dyDescent="0.25">
      <c r="A9" s="6" t="s">
        <v>9</v>
      </c>
      <c r="B9" s="51" t="s">
        <v>46</v>
      </c>
      <c r="C9" s="180"/>
      <c r="D9" s="189"/>
      <c r="J9" s="3"/>
      <c r="K9" s="3"/>
    </row>
    <row r="10" spans="1:11" ht="17.25" x14ac:dyDescent="0.25">
      <c r="A10" s="7" t="s">
        <v>7</v>
      </c>
      <c r="B10" s="52" t="s">
        <v>47</v>
      </c>
      <c r="C10" s="54">
        <v>1188181</v>
      </c>
      <c r="D10" s="190"/>
      <c r="E10" s="100"/>
      <c r="G10" s="100"/>
      <c r="J10" s="3"/>
      <c r="K10" s="3"/>
    </row>
    <row r="11" spans="1:11" ht="17.25" x14ac:dyDescent="0.25">
      <c r="A11" s="7" t="s">
        <v>8</v>
      </c>
      <c r="B11" s="52" t="s">
        <v>48</v>
      </c>
      <c r="C11" s="54">
        <v>418751</v>
      </c>
      <c r="D11" s="190"/>
      <c r="E11" s="100"/>
      <c r="F11" s="102"/>
      <c r="G11" s="100"/>
      <c r="J11" s="3"/>
      <c r="K11" s="3"/>
    </row>
    <row r="12" spans="1:11" ht="17.25" x14ac:dyDescent="0.25">
      <c r="A12" s="7" t="s">
        <v>6</v>
      </c>
      <c r="B12" s="52" t="s">
        <v>49</v>
      </c>
      <c r="C12" s="54">
        <v>12816741</v>
      </c>
      <c r="D12" s="190"/>
      <c r="G12" s="100"/>
      <c r="J12" s="3"/>
      <c r="K12" s="3"/>
    </row>
    <row r="13" spans="1:11" ht="17.25" x14ac:dyDescent="0.25">
      <c r="A13" s="7" t="s">
        <v>10</v>
      </c>
      <c r="B13" s="52" t="s">
        <v>50</v>
      </c>
      <c r="C13" s="54">
        <v>3258981</v>
      </c>
      <c r="D13" s="190"/>
      <c r="G13" s="100"/>
      <c r="J13" s="3"/>
      <c r="K13" s="3"/>
    </row>
    <row r="14" spans="1:11" ht="17.25" x14ac:dyDescent="0.25">
      <c r="A14" s="7" t="s">
        <v>11</v>
      </c>
      <c r="B14" s="52" t="s">
        <v>51</v>
      </c>
      <c r="C14" s="55">
        <v>3567044</v>
      </c>
      <c r="D14" s="191"/>
      <c r="F14" s="102"/>
      <c r="G14" s="100"/>
      <c r="J14" s="3"/>
      <c r="K14" s="3"/>
    </row>
    <row r="15" spans="1:11" x14ac:dyDescent="0.25">
      <c r="A15" s="17" t="s">
        <v>92</v>
      </c>
      <c r="B15" s="30" t="s">
        <v>52</v>
      </c>
      <c r="C15" s="56">
        <f>SUM(C10:C14)</f>
        <v>21249698</v>
      </c>
      <c r="D15" s="191"/>
      <c r="J15" s="3"/>
      <c r="K15" s="3"/>
    </row>
    <row r="16" spans="1:11" x14ac:dyDescent="0.25">
      <c r="A16" s="8" t="s">
        <v>85</v>
      </c>
      <c r="B16" s="29" t="s">
        <v>53</v>
      </c>
      <c r="C16" s="58">
        <v>2.13438E-2</v>
      </c>
      <c r="D16" s="193"/>
      <c r="J16" s="3"/>
      <c r="K16" s="3"/>
    </row>
    <row r="17" spans="1:11" ht="17.25" x14ac:dyDescent="0.25">
      <c r="A17" s="8" t="s">
        <v>86</v>
      </c>
      <c r="B17" s="29" t="s">
        <v>54</v>
      </c>
      <c r="C17" s="181"/>
      <c r="D17" s="193"/>
      <c r="I17" s="3"/>
      <c r="J17" s="41"/>
      <c r="K17" s="3"/>
    </row>
    <row r="18" spans="1:11" ht="15.75" thickBot="1" x14ac:dyDescent="0.3">
      <c r="A18" s="9" t="s">
        <v>87</v>
      </c>
      <c r="B18" s="31" t="s">
        <v>55</v>
      </c>
      <c r="C18" s="188">
        <v>7.6100000000000001E-2</v>
      </c>
      <c r="D18" s="5"/>
      <c r="I18" s="3"/>
      <c r="J18" s="3"/>
      <c r="K18" s="3"/>
    </row>
    <row r="19" spans="1:11" ht="8.25" customHeight="1" thickBot="1" x14ac:dyDescent="0.3">
      <c r="B19" s="16"/>
      <c r="I19" s="3"/>
      <c r="J19" s="3"/>
      <c r="K19" s="3"/>
    </row>
    <row r="20" spans="1:11" ht="15.75" thickBot="1" x14ac:dyDescent="0.3">
      <c r="A20" s="22" t="s">
        <v>1</v>
      </c>
      <c r="B20" s="14"/>
      <c r="C20" s="23" t="s">
        <v>14</v>
      </c>
      <c r="D20" s="15" t="s">
        <v>15</v>
      </c>
      <c r="E20" s="24" t="s">
        <v>2</v>
      </c>
      <c r="F20" s="24" t="s">
        <v>3</v>
      </c>
      <c r="G20" s="15" t="s">
        <v>4</v>
      </c>
      <c r="H20" s="90" t="s">
        <v>65</v>
      </c>
      <c r="I20" s="42"/>
      <c r="J20" s="3"/>
      <c r="K20" s="3"/>
    </row>
    <row r="21" spans="1:11" x14ac:dyDescent="0.25">
      <c r="A21" s="8" t="s">
        <v>16</v>
      </c>
      <c r="B21" s="29" t="s">
        <v>56</v>
      </c>
      <c r="C21" s="32">
        <v>0.10299999999999999</v>
      </c>
      <c r="D21" s="19">
        <v>0.121</v>
      </c>
      <c r="E21" s="25">
        <v>8.6999999999999994E-2</v>
      </c>
      <c r="F21" s="25">
        <v>0.13200000000000001</v>
      </c>
      <c r="G21" s="19">
        <v>0.18</v>
      </c>
      <c r="H21" s="91"/>
      <c r="I21" s="43"/>
      <c r="J21" s="3"/>
      <c r="K21" s="3"/>
    </row>
    <row r="22" spans="1:11" x14ac:dyDescent="0.25">
      <c r="A22" s="7" t="s">
        <v>17</v>
      </c>
      <c r="B22" s="52" t="s">
        <v>57</v>
      </c>
      <c r="C22" s="192"/>
      <c r="D22" s="193"/>
      <c r="E22" s="194"/>
      <c r="F22" s="194"/>
      <c r="G22" s="190"/>
      <c r="H22" s="92"/>
      <c r="I22" s="44"/>
      <c r="J22" s="3"/>
      <c r="K22" s="3"/>
    </row>
    <row r="23" spans="1:11" x14ac:dyDescent="0.25">
      <c r="A23" s="8" t="s">
        <v>96</v>
      </c>
      <c r="B23" s="29" t="s">
        <v>58</v>
      </c>
      <c r="C23" s="33">
        <f>C10</f>
        <v>1188181</v>
      </c>
      <c r="D23" s="20">
        <f>C11</f>
        <v>418751</v>
      </c>
      <c r="E23" s="26">
        <f>C12</f>
        <v>12816741</v>
      </c>
      <c r="F23" s="26">
        <f>C13</f>
        <v>3258981</v>
      </c>
      <c r="G23" s="20">
        <f>C14</f>
        <v>3567044</v>
      </c>
      <c r="H23" s="93">
        <f>SUM(C23:G23)</f>
        <v>21249698</v>
      </c>
      <c r="I23" s="45"/>
      <c r="J23" s="3"/>
      <c r="K23" s="3"/>
    </row>
    <row r="24" spans="1:11" ht="9.75" customHeight="1" x14ac:dyDescent="0.25">
      <c r="A24" s="8"/>
      <c r="B24" s="29"/>
      <c r="C24" s="10"/>
      <c r="D24" s="4"/>
      <c r="E24" s="27"/>
      <c r="F24" s="27"/>
      <c r="G24" s="4"/>
      <c r="H24" s="7"/>
      <c r="I24" s="2"/>
      <c r="J24" s="3"/>
    </row>
    <row r="25" spans="1:11" x14ac:dyDescent="0.25">
      <c r="A25" s="8" t="s">
        <v>93</v>
      </c>
      <c r="B25" s="29" t="s">
        <v>59</v>
      </c>
      <c r="C25" s="182">
        <f t="shared" ref="C25:D25" si="0">C23*C21</f>
        <v>122382.643</v>
      </c>
      <c r="D25" s="183">
        <f t="shared" si="0"/>
        <v>50668.870999999999</v>
      </c>
      <c r="E25" s="184">
        <f>E23*E21</f>
        <v>1115056.4669999999</v>
      </c>
      <c r="F25" s="184">
        <f t="shared" ref="F25:G25" si="1">F23*F21</f>
        <v>430185.49200000003</v>
      </c>
      <c r="G25" s="183">
        <f t="shared" si="1"/>
        <v>642067.91999999993</v>
      </c>
      <c r="H25" s="94">
        <f t="shared" ref="H25:H30" si="2">SUM(C25:G25)</f>
        <v>2360361.3930000002</v>
      </c>
      <c r="I25" s="46"/>
      <c r="J25" s="3"/>
    </row>
    <row r="26" spans="1:11" x14ac:dyDescent="0.25">
      <c r="A26" s="8" t="s">
        <v>94</v>
      </c>
      <c r="B26" s="29" t="s">
        <v>60</v>
      </c>
      <c r="C26" s="182">
        <f t="shared" ref="C26:D26" si="3">C23*$C$16</f>
        <v>25360.297627799999</v>
      </c>
      <c r="D26" s="183">
        <f t="shared" si="3"/>
        <v>8937.7375938000005</v>
      </c>
      <c r="E26" s="184">
        <f>E23*$C$16</f>
        <v>273557.95655579999</v>
      </c>
      <c r="F26" s="184">
        <f t="shared" ref="F26:G26" si="4">F23*$C$16</f>
        <v>69559.038667799992</v>
      </c>
      <c r="G26" s="183">
        <f t="shared" si="4"/>
        <v>76134.273727199994</v>
      </c>
      <c r="H26" s="94">
        <f t="shared" si="2"/>
        <v>453549.30417240004</v>
      </c>
      <c r="I26" s="46"/>
      <c r="J26" s="3"/>
    </row>
    <row r="27" spans="1:11" ht="15.75" thickBot="1" x14ac:dyDescent="0.3">
      <c r="A27" s="9" t="s">
        <v>95</v>
      </c>
      <c r="B27" s="31" t="s">
        <v>61</v>
      </c>
      <c r="C27" s="185">
        <f>C23*$C$18</f>
        <v>90420.574099999998</v>
      </c>
      <c r="D27" s="186">
        <f t="shared" ref="D27:G27" si="5">D23*$C$18</f>
        <v>31866.951100000002</v>
      </c>
      <c r="E27" s="187">
        <f t="shared" si="5"/>
        <v>975353.99010000005</v>
      </c>
      <c r="F27" s="187">
        <f t="shared" si="5"/>
        <v>248008.4541</v>
      </c>
      <c r="G27" s="186">
        <f t="shared" si="5"/>
        <v>271452.04840000003</v>
      </c>
      <c r="H27" s="95">
        <f t="shared" si="2"/>
        <v>1617102.0178</v>
      </c>
      <c r="I27" s="46"/>
      <c r="J27" s="3"/>
    </row>
    <row r="28" spans="1:11" x14ac:dyDescent="0.25">
      <c r="A28" s="17" t="s">
        <v>99</v>
      </c>
      <c r="B28" s="30" t="s">
        <v>62</v>
      </c>
      <c r="C28" s="35">
        <f>106631-90432</f>
        <v>16199</v>
      </c>
      <c r="D28" s="36">
        <f>37580-31871</f>
        <v>5709</v>
      </c>
      <c r="E28" s="37">
        <f>1150215-975477</f>
        <v>174738</v>
      </c>
      <c r="F28" s="37">
        <f>292471-248040+1</f>
        <v>44432</v>
      </c>
      <c r="G28" s="36">
        <f>320118-271486</f>
        <v>48632</v>
      </c>
      <c r="H28" s="98">
        <f t="shared" si="2"/>
        <v>289710</v>
      </c>
      <c r="I28" s="47"/>
      <c r="J28" s="49"/>
    </row>
    <row r="29" spans="1:11" x14ac:dyDescent="0.25">
      <c r="A29" s="66" t="s">
        <v>97</v>
      </c>
      <c r="B29" s="67" t="s">
        <v>63</v>
      </c>
      <c r="C29" s="68">
        <f>IF(C28&gt;0,C28,0)</f>
        <v>16199</v>
      </c>
      <c r="D29" s="69">
        <f t="shared" ref="D29:G29" si="6">IF(D28&gt;0,D28,0)</f>
        <v>5709</v>
      </c>
      <c r="E29" s="70">
        <f t="shared" si="6"/>
        <v>174738</v>
      </c>
      <c r="F29" s="70">
        <f t="shared" si="6"/>
        <v>44432</v>
      </c>
      <c r="G29" s="69">
        <f t="shared" si="6"/>
        <v>48632</v>
      </c>
      <c r="H29" s="96">
        <f t="shared" si="2"/>
        <v>289710</v>
      </c>
      <c r="I29" s="48"/>
      <c r="J29" s="49"/>
      <c r="K29" s="18"/>
    </row>
    <row r="30" spans="1:11" ht="15.75" thickBot="1" x14ac:dyDescent="0.3">
      <c r="A30" s="71" t="s">
        <v>98</v>
      </c>
      <c r="B30" s="72" t="s">
        <v>64</v>
      </c>
      <c r="C30" s="73">
        <f>IF(C28&lt;0,C28*-1,0)</f>
        <v>0</v>
      </c>
      <c r="D30" s="74">
        <f t="shared" ref="D30:G30" si="7">IF(D28&lt;0,D28*-1,0)</f>
        <v>0</v>
      </c>
      <c r="E30" s="75">
        <f t="shared" si="7"/>
        <v>0</v>
      </c>
      <c r="F30" s="75">
        <f t="shared" si="7"/>
        <v>0</v>
      </c>
      <c r="G30" s="74">
        <f t="shared" si="7"/>
        <v>0</v>
      </c>
      <c r="H30" s="97">
        <f t="shared" si="2"/>
        <v>0</v>
      </c>
      <c r="I30" s="48"/>
      <c r="J30" s="49"/>
      <c r="K30" s="18"/>
    </row>
    <row r="31" spans="1:11" x14ac:dyDescent="0.25">
      <c r="B31" s="16"/>
      <c r="C31" s="18"/>
      <c r="D31" s="18"/>
      <c r="E31" s="18"/>
      <c r="F31" s="18"/>
      <c r="G31" s="18"/>
      <c r="H31" s="49"/>
      <c r="I31" s="49"/>
      <c r="J31" s="49"/>
      <c r="K31" s="18"/>
    </row>
    <row r="32" spans="1:11" x14ac:dyDescent="0.25">
      <c r="B32" s="16"/>
      <c r="C32" s="18"/>
      <c r="D32" s="18"/>
      <c r="E32" s="18"/>
      <c r="F32" s="18"/>
      <c r="G32" s="18"/>
      <c r="H32" s="18"/>
      <c r="I32" s="49"/>
      <c r="J32" s="49"/>
      <c r="K32" s="18"/>
    </row>
    <row r="33" spans="1:12" s="62" customFormat="1" x14ac:dyDescent="0.25">
      <c r="A33" s="65" t="s">
        <v>35</v>
      </c>
      <c r="B33" s="63"/>
      <c r="C33" s="64"/>
      <c r="D33" s="64"/>
      <c r="E33" s="64"/>
      <c r="F33" s="64"/>
      <c r="G33" s="64"/>
      <c r="H33" s="64"/>
      <c r="I33" s="64"/>
      <c r="J33" s="64"/>
      <c r="K33" s="64"/>
    </row>
    <row r="34" spans="1:12" x14ac:dyDescent="0.25">
      <c r="A34" s="1" t="s">
        <v>5</v>
      </c>
      <c r="B34" s="1"/>
      <c r="E34" s="118"/>
      <c r="F34" s="118"/>
    </row>
    <row r="35" spans="1:12" ht="15.75" thickBot="1" x14ac:dyDescent="0.3">
      <c r="B35" s="16"/>
      <c r="C35" s="18"/>
      <c r="D35" s="18"/>
      <c r="E35" s="18"/>
      <c r="F35" s="18"/>
      <c r="G35" s="18"/>
      <c r="H35" s="18"/>
      <c r="I35" s="49"/>
      <c r="J35" s="49"/>
      <c r="K35" s="18"/>
    </row>
    <row r="36" spans="1:12" ht="30.75" thickBot="1" x14ac:dyDescent="0.3">
      <c r="A36" s="12"/>
      <c r="B36" s="12"/>
      <c r="C36" s="14" t="s">
        <v>12</v>
      </c>
      <c r="D36" s="15" t="s">
        <v>13</v>
      </c>
      <c r="E36" s="3"/>
      <c r="G36" s="159" t="s">
        <v>84</v>
      </c>
      <c r="J36" s="105"/>
    </row>
    <row r="37" spans="1:12" x14ac:dyDescent="0.25">
      <c r="A37" s="6" t="s">
        <v>9</v>
      </c>
      <c r="B37" s="51" t="s">
        <v>21</v>
      </c>
      <c r="C37" s="53">
        <v>38434825</v>
      </c>
      <c r="D37" s="13">
        <f>C37/C37</f>
        <v>1</v>
      </c>
    </row>
    <row r="38" spans="1:12" ht="17.25" x14ac:dyDescent="0.25">
      <c r="A38" s="7" t="s">
        <v>103</v>
      </c>
      <c r="B38" s="52" t="s">
        <v>22</v>
      </c>
      <c r="C38" s="54">
        <f>G38*D38</f>
        <v>987588.01456340495</v>
      </c>
      <c r="D38" s="156">
        <v>0.66881107410947005</v>
      </c>
      <c r="F38" s="100">
        <f>G38/G43</f>
        <v>7.2493243883855307E-2</v>
      </c>
      <c r="G38" s="101">
        <v>1476632.27</v>
      </c>
    </row>
    <row r="39" spans="1:12" ht="17.25" x14ac:dyDescent="0.25">
      <c r="A39" s="7" t="s">
        <v>104</v>
      </c>
      <c r="B39" s="52" t="s">
        <v>23</v>
      </c>
      <c r="C39" s="54">
        <f>G38*D39</f>
        <v>489044.25543659501</v>
      </c>
      <c r="D39" s="156">
        <v>0.33118892589052995</v>
      </c>
      <c r="F39" s="100"/>
    </row>
    <row r="40" spans="1:12" ht="17.25" x14ac:dyDescent="0.25">
      <c r="A40" s="7" t="s">
        <v>105</v>
      </c>
      <c r="B40" s="52" t="s">
        <v>24</v>
      </c>
      <c r="C40" s="54">
        <f>G40*D40</f>
        <v>12277759.149390006</v>
      </c>
      <c r="D40" s="156">
        <v>0.64987107348185924</v>
      </c>
      <c r="F40" s="100">
        <f>G40/G43</f>
        <v>0.92750675611614475</v>
      </c>
      <c r="G40" s="101">
        <v>18892607.550000042</v>
      </c>
    </row>
    <row r="41" spans="1:12" ht="17.25" x14ac:dyDescent="0.25">
      <c r="A41" s="7" t="s">
        <v>106</v>
      </c>
      <c r="B41" s="52" t="s">
        <v>25</v>
      </c>
      <c r="C41" s="54">
        <f>G40*D41</f>
        <v>3176853.2669063136</v>
      </c>
      <c r="D41" s="156">
        <v>0.16815324504564255</v>
      </c>
      <c r="F41" s="100"/>
    </row>
    <row r="42" spans="1:12" ht="17.25" x14ac:dyDescent="0.25">
      <c r="A42" s="7" t="s">
        <v>107</v>
      </c>
      <c r="B42" s="52" t="s">
        <v>26</v>
      </c>
      <c r="C42" s="55">
        <f>G40*D42</f>
        <v>3437995.1337037222</v>
      </c>
      <c r="D42" s="157">
        <v>0.18197568147249821</v>
      </c>
      <c r="F42" s="100"/>
    </row>
    <row r="43" spans="1:12" x14ac:dyDescent="0.25">
      <c r="A43" s="17" t="s">
        <v>108</v>
      </c>
      <c r="B43" s="30" t="s">
        <v>27</v>
      </c>
      <c r="C43" s="56">
        <f>SUM(C38:C42)</f>
        <v>20369239.820000045</v>
      </c>
      <c r="D43" s="11">
        <f>C43/C37</f>
        <v>0.52996832482000489</v>
      </c>
      <c r="F43" s="100">
        <f>C43/G43</f>
        <v>1.0000000000000002</v>
      </c>
      <c r="G43" s="101">
        <v>20369239.820000041</v>
      </c>
      <c r="H43" s="102">
        <f>F38+F40-F43</f>
        <v>0</v>
      </c>
    </row>
    <row r="44" spans="1:12" x14ac:dyDescent="0.25">
      <c r="A44" s="8" t="s">
        <v>0</v>
      </c>
      <c r="B44" s="29" t="s">
        <v>28</v>
      </c>
      <c r="C44" s="57">
        <f>D45/C45</f>
        <v>2.1155348925366371E-2</v>
      </c>
      <c r="D44" s="4"/>
      <c r="J44" s="3"/>
    </row>
    <row r="45" spans="1:12" ht="17.25" x14ac:dyDescent="0.25">
      <c r="A45" s="8" t="s">
        <v>81</v>
      </c>
      <c r="B45" s="29" t="s">
        <v>29</v>
      </c>
      <c r="C45" s="54">
        <v>38324829</v>
      </c>
      <c r="D45" s="50">
        <v>810775.13</v>
      </c>
      <c r="J45" s="3"/>
      <c r="L45" s="105"/>
    </row>
    <row r="46" spans="1:12" ht="17.25" x14ac:dyDescent="0.25">
      <c r="A46" s="8" t="s">
        <v>32</v>
      </c>
      <c r="B46" s="29" t="s">
        <v>30</v>
      </c>
      <c r="C46" s="58">
        <v>86.39</v>
      </c>
      <c r="D46" s="4"/>
      <c r="I46" s="3"/>
      <c r="J46" s="41"/>
    </row>
    <row r="47" spans="1:12" ht="15.75" thickBot="1" x14ac:dyDescent="0.3">
      <c r="A47" s="9" t="s">
        <v>33</v>
      </c>
      <c r="B47" s="31" t="s">
        <v>31</v>
      </c>
      <c r="C47" s="117">
        <f>C46/1000</f>
        <v>8.6389999999999995E-2</v>
      </c>
      <c r="D47" s="5"/>
      <c r="H47" s="3"/>
      <c r="I47" s="3"/>
      <c r="J47" s="3"/>
    </row>
    <row r="48" spans="1:12" ht="15.75" thickBot="1" x14ac:dyDescent="0.3">
      <c r="B48" s="16"/>
      <c r="H48" s="3"/>
      <c r="I48" s="3"/>
      <c r="J48" s="3"/>
    </row>
    <row r="49" spans="1:11" ht="15.75" thickBot="1" x14ac:dyDescent="0.3">
      <c r="A49" s="22" t="s">
        <v>88</v>
      </c>
      <c r="B49" s="14"/>
      <c r="C49" s="23" t="s">
        <v>14</v>
      </c>
      <c r="D49" s="15" t="s">
        <v>15</v>
      </c>
      <c r="E49" s="24" t="s">
        <v>2</v>
      </c>
      <c r="F49" s="24" t="s">
        <v>3</v>
      </c>
      <c r="G49" s="15" t="s">
        <v>4</v>
      </c>
      <c r="H49" s="90" t="s">
        <v>65</v>
      </c>
      <c r="I49" s="42"/>
      <c r="J49" s="3"/>
    </row>
    <row r="50" spans="1:11" x14ac:dyDescent="0.25">
      <c r="A50" s="8" t="s">
        <v>16</v>
      </c>
      <c r="B50" s="29" t="s">
        <v>37</v>
      </c>
      <c r="C50" s="114">
        <f>C21</f>
        <v>0.10299999999999999</v>
      </c>
      <c r="D50" s="115">
        <f t="shared" ref="D50:G50" si="8">D21</f>
        <v>0.121</v>
      </c>
      <c r="E50" s="116">
        <f t="shared" si="8"/>
        <v>8.6999999999999994E-2</v>
      </c>
      <c r="F50" s="116">
        <f t="shared" si="8"/>
        <v>0.13200000000000001</v>
      </c>
      <c r="G50" s="115">
        <f t="shared" si="8"/>
        <v>0.18</v>
      </c>
      <c r="H50" s="91"/>
      <c r="I50" s="43"/>
      <c r="J50" s="3"/>
    </row>
    <row r="51" spans="1:11" x14ac:dyDescent="0.25">
      <c r="A51" s="7" t="s">
        <v>17</v>
      </c>
      <c r="B51" s="52" t="s">
        <v>38</v>
      </c>
      <c r="C51" s="192"/>
      <c r="D51" s="193"/>
      <c r="E51" s="194"/>
      <c r="F51" s="194"/>
      <c r="G51" s="190"/>
      <c r="H51" s="92"/>
      <c r="I51" s="44"/>
      <c r="J51" s="3"/>
    </row>
    <row r="52" spans="1:11" x14ac:dyDescent="0.25">
      <c r="A52" s="8" t="s">
        <v>109</v>
      </c>
      <c r="B52" s="29" t="s">
        <v>39</v>
      </c>
      <c r="C52" s="33">
        <f>C38</f>
        <v>987588.01456340495</v>
      </c>
      <c r="D52" s="20">
        <f>C39</f>
        <v>489044.25543659501</v>
      </c>
      <c r="E52" s="26">
        <f>C40</f>
        <v>12277759.149390006</v>
      </c>
      <c r="F52" s="26">
        <f>C41</f>
        <v>3176853.2669063136</v>
      </c>
      <c r="G52" s="20">
        <f>C42</f>
        <v>3437995.1337037222</v>
      </c>
      <c r="H52" s="93">
        <f>SUM(C52:G52)</f>
        <v>20369239.820000045</v>
      </c>
      <c r="I52" s="45"/>
      <c r="J52" s="3"/>
    </row>
    <row r="53" spans="1:11" x14ac:dyDescent="0.25">
      <c r="A53" s="8"/>
      <c r="B53" s="29"/>
      <c r="C53" s="10"/>
      <c r="D53" s="4"/>
      <c r="E53" s="27"/>
      <c r="F53" s="27"/>
      <c r="G53" s="4"/>
      <c r="H53" s="7"/>
      <c r="I53" s="2"/>
      <c r="J53" s="3"/>
    </row>
    <row r="54" spans="1:11" x14ac:dyDescent="0.25">
      <c r="A54" s="8" t="s">
        <v>89</v>
      </c>
      <c r="B54" s="29" t="s">
        <v>40</v>
      </c>
      <c r="C54" s="34">
        <f>C52*C50</f>
        <v>101721.5655000307</v>
      </c>
      <c r="D54" s="21">
        <f t="shared" ref="D54" si="9">D52*D50</f>
        <v>59174.354907827998</v>
      </c>
      <c r="E54" s="28">
        <f>E52*E50</f>
        <v>1068165.0459969305</v>
      </c>
      <c r="F54" s="28">
        <f t="shared" ref="F54:G54" si="10">F52*F50</f>
        <v>419344.63123163342</v>
      </c>
      <c r="G54" s="21">
        <f t="shared" si="10"/>
        <v>618839.12406666996</v>
      </c>
      <c r="H54" s="94">
        <f t="shared" ref="H54:H59" si="11">SUM(C54:G54)</f>
        <v>2267244.7217030926</v>
      </c>
      <c r="I54" s="46"/>
      <c r="J54" s="3"/>
    </row>
    <row r="55" spans="1:11" x14ac:dyDescent="0.25">
      <c r="A55" s="8" t="s">
        <v>90</v>
      </c>
      <c r="B55" s="29" t="s">
        <v>41</v>
      </c>
      <c r="C55" s="34">
        <f>C52*$C$44</f>
        <v>20892.769042598637</v>
      </c>
      <c r="D55" s="21">
        <f t="shared" ref="D55:G55" si="12">D52*$C$44</f>
        <v>10345.901863707168</v>
      </c>
      <c r="E55" s="28">
        <f t="shared" si="12"/>
        <v>259740.27882695501</v>
      </c>
      <c r="F55" s="28">
        <f t="shared" si="12"/>
        <v>67207.439346093131</v>
      </c>
      <c r="G55" s="21">
        <f t="shared" si="12"/>
        <v>72731.986657213856</v>
      </c>
      <c r="H55" s="94">
        <f t="shared" si="11"/>
        <v>430918.37573656777</v>
      </c>
      <c r="I55" s="46"/>
      <c r="J55" s="3"/>
    </row>
    <row r="56" spans="1:11" ht="15.75" thickBot="1" x14ac:dyDescent="0.3">
      <c r="A56" s="9" t="s">
        <v>91</v>
      </c>
      <c r="B56" s="31" t="s">
        <v>42</v>
      </c>
      <c r="C56" s="38">
        <f>C52*$C$47</f>
        <v>85317.728578132548</v>
      </c>
      <c r="D56" s="39">
        <f t="shared" ref="D56:G56" si="13">D52*$C$47</f>
        <v>42248.533227167442</v>
      </c>
      <c r="E56" s="40">
        <f t="shared" si="13"/>
        <v>1060675.6129158025</v>
      </c>
      <c r="F56" s="40">
        <f t="shared" si="13"/>
        <v>274448.3537280364</v>
      </c>
      <c r="G56" s="39">
        <f t="shared" si="13"/>
        <v>297008.39960066456</v>
      </c>
      <c r="H56" s="95">
        <f t="shared" si="11"/>
        <v>1759698.6280498034</v>
      </c>
      <c r="I56" s="46"/>
      <c r="J56" s="3"/>
    </row>
    <row r="57" spans="1:11" x14ac:dyDescent="0.25">
      <c r="A57" s="17" t="s">
        <v>20</v>
      </c>
      <c r="B57" s="30" t="s">
        <v>43</v>
      </c>
      <c r="C57" s="35">
        <f>C54-C55-C56</f>
        <v>-4488.9321207004832</v>
      </c>
      <c r="D57" s="36">
        <f t="shared" ref="D57:G57" si="14">D54-D55-D56</f>
        <v>6579.919816953392</v>
      </c>
      <c r="E57" s="37">
        <f t="shared" si="14"/>
        <v>-252250.84574582707</v>
      </c>
      <c r="F57" s="37">
        <f t="shared" si="14"/>
        <v>77688.838157503866</v>
      </c>
      <c r="G57" s="36">
        <f t="shared" si="14"/>
        <v>249098.73780879151</v>
      </c>
      <c r="H57" s="98">
        <f t="shared" si="11"/>
        <v>76627.717916721216</v>
      </c>
      <c r="I57" s="47"/>
      <c r="J57" s="3"/>
    </row>
    <row r="58" spans="1:11" x14ac:dyDescent="0.25">
      <c r="A58" s="76" t="s">
        <v>18</v>
      </c>
      <c r="B58" s="77" t="s">
        <v>44</v>
      </c>
      <c r="C58" s="78">
        <f>IF(C57&gt;0,C57,0)</f>
        <v>0</v>
      </c>
      <c r="D58" s="79">
        <f t="shared" ref="D58:G58" si="15">IF(D57&gt;0,D57,0)</f>
        <v>6579.919816953392</v>
      </c>
      <c r="E58" s="80">
        <f t="shared" si="15"/>
        <v>0</v>
      </c>
      <c r="F58" s="80">
        <f t="shared" si="15"/>
        <v>77688.838157503866</v>
      </c>
      <c r="G58" s="79">
        <f t="shared" si="15"/>
        <v>249098.73780879151</v>
      </c>
      <c r="H58" s="96">
        <f t="shared" si="11"/>
        <v>333367.4957832488</v>
      </c>
      <c r="I58" s="48"/>
      <c r="J58" s="49"/>
      <c r="K58" s="18"/>
    </row>
    <row r="59" spans="1:11" ht="15.75" thickBot="1" x14ac:dyDescent="0.3">
      <c r="A59" s="81" t="s">
        <v>19</v>
      </c>
      <c r="B59" s="82" t="s">
        <v>45</v>
      </c>
      <c r="C59" s="83">
        <f>IF(C57&lt;0,C57*-1,0)</f>
        <v>4488.9321207004832</v>
      </c>
      <c r="D59" s="84">
        <f t="shared" ref="D59:G59" si="16">IF(D57&lt;0,D57*-1,0)</f>
        <v>0</v>
      </c>
      <c r="E59" s="85">
        <f t="shared" si="16"/>
        <v>252250.84574582707</v>
      </c>
      <c r="F59" s="85">
        <f t="shared" si="16"/>
        <v>0</v>
      </c>
      <c r="G59" s="84">
        <f t="shared" si="16"/>
        <v>0</v>
      </c>
      <c r="H59" s="97">
        <f t="shared" si="11"/>
        <v>256739.77786652755</v>
      </c>
      <c r="I59" s="48"/>
      <c r="J59" s="49"/>
      <c r="K59" s="18"/>
    </row>
    <row r="60" spans="1:11" x14ac:dyDescent="0.25">
      <c r="B60" s="16"/>
      <c r="C60" s="18"/>
      <c r="D60" s="18"/>
      <c r="E60" s="18"/>
      <c r="F60" s="18"/>
      <c r="G60" s="18"/>
      <c r="H60" s="49"/>
      <c r="I60" s="49"/>
      <c r="J60" s="49"/>
      <c r="K60" s="18"/>
    </row>
    <row r="61" spans="1:11" ht="15.75" thickBot="1" x14ac:dyDescent="0.3">
      <c r="A61" s="86" t="s">
        <v>36</v>
      </c>
      <c r="H61" s="3"/>
      <c r="I61" s="3"/>
    </row>
    <row r="62" spans="1:11" x14ac:dyDescent="0.25">
      <c r="A62" s="6" t="s">
        <v>100</v>
      </c>
      <c r="B62" s="51"/>
      <c r="C62" s="87">
        <f>C57-C28</f>
        <v>-20687.932120700483</v>
      </c>
      <c r="D62" s="88">
        <f t="shared" ref="D62:G62" si="17">D57-D28</f>
        <v>870.919816953392</v>
      </c>
      <c r="E62" s="89">
        <f t="shared" si="17"/>
        <v>-426988.84574582707</v>
      </c>
      <c r="F62" s="89">
        <f t="shared" si="17"/>
        <v>33256.838157503866</v>
      </c>
      <c r="G62" s="88">
        <f t="shared" si="17"/>
        <v>200466.73780879151</v>
      </c>
      <c r="H62" s="98">
        <f t="shared" ref="H62:H64" si="18">SUM(C62:G62)</f>
        <v>-213082.28208327881</v>
      </c>
      <c r="I62" s="47"/>
      <c r="J62" s="3"/>
    </row>
    <row r="63" spans="1:11" x14ac:dyDescent="0.25">
      <c r="A63" s="76" t="s">
        <v>101</v>
      </c>
      <c r="B63" s="77" t="s">
        <v>66</v>
      </c>
      <c r="C63" s="78">
        <f>IF(C62&gt;0,C62,0)</f>
        <v>0</v>
      </c>
      <c r="D63" s="79">
        <f t="shared" ref="D63:G63" si="19">IF(D62&gt;0,D62,0)</f>
        <v>870.919816953392</v>
      </c>
      <c r="E63" s="80">
        <f t="shared" si="19"/>
        <v>0</v>
      </c>
      <c r="F63" s="80">
        <f t="shared" si="19"/>
        <v>33256.838157503866</v>
      </c>
      <c r="G63" s="79">
        <f t="shared" si="19"/>
        <v>200466.73780879151</v>
      </c>
      <c r="H63" s="96">
        <f t="shared" si="18"/>
        <v>234594.49578324877</v>
      </c>
      <c r="I63" s="48"/>
      <c r="J63" s="49"/>
      <c r="K63" s="18"/>
    </row>
    <row r="64" spans="1:11" ht="15.75" thickBot="1" x14ac:dyDescent="0.3">
      <c r="A64" s="81" t="s">
        <v>102</v>
      </c>
      <c r="B64" s="82" t="s">
        <v>67</v>
      </c>
      <c r="C64" s="83">
        <f>IF(C62&lt;0,C62*-1,0)</f>
        <v>20687.932120700483</v>
      </c>
      <c r="D64" s="84">
        <f t="shared" ref="D64:G64" si="20">IF(D62&lt;0,D62*-1,0)</f>
        <v>0</v>
      </c>
      <c r="E64" s="85">
        <f t="shared" si="20"/>
        <v>426988.84574582707</v>
      </c>
      <c r="F64" s="85">
        <f t="shared" si="20"/>
        <v>0</v>
      </c>
      <c r="G64" s="84">
        <f t="shared" si="20"/>
        <v>0</v>
      </c>
      <c r="H64" s="97">
        <f t="shared" si="18"/>
        <v>447676.77786652755</v>
      </c>
      <c r="I64" s="48"/>
      <c r="J64" s="49"/>
      <c r="K64" s="18"/>
    </row>
    <row r="65" spans="1:8" ht="15.75" thickBot="1" x14ac:dyDescent="0.3">
      <c r="A65" s="151" t="s">
        <v>83</v>
      </c>
      <c r="B65" s="14"/>
      <c r="C65" s="152">
        <f>C52-C23</f>
        <v>-200592.98543659505</v>
      </c>
      <c r="D65" s="153">
        <f t="shared" ref="D65:G65" si="21">D52-D23</f>
        <v>70293.255436595005</v>
      </c>
      <c r="E65" s="154">
        <f t="shared" si="21"/>
        <v>-538981.85060999356</v>
      </c>
      <c r="F65" s="154">
        <f t="shared" si="21"/>
        <v>-82127.733093686402</v>
      </c>
      <c r="G65" s="153">
        <f t="shared" si="21"/>
        <v>-129048.86629627785</v>
      </c>
      <c r="H65" s="155">
        <f>SUM(C65:G65)</f>
        <v>-880458.17999995779</v>
      </c>
    </row>
  </sheetData>
  <sheetProtection password="CC7B" sheet="1" objects="1" scenarios="1"/>
  <pageMargins left="0.11811023622047245" right="0.11811023622047245" top="0.35433070866141736" bottom="0.35433070866141736" header="0.11811023622047245" footer="0.11811023622047245"/>
  <pageSetup scale="75" orientation="portrait" verticalDpi="0" r:id="rId1"/>
  <headerFooter>
    <oddFooter>&amp;L&amp;9&amp;Z&amp;F  &amp;A  &amp;D  &amp;T&amp;R&amp;P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3:L65"/>
  <sheetViews>
    <sheetView zoomScale="80" zoomScaleNormal="80" workbookViewId="0">
      <selection activeCell="L38" sqref="L38"/>
    </sheetView>
  </sheetViews>
  <sheetFormatPr defaultRowHeight="15" x14ac:dyDescent="0.25"/>
  <cols>
    <col min="1" max="1" width="36" customWidth="1"/>
    <col min="2" max="2" width="11.140625" bestFit="1" customWidth="1"/>
    <col min="3" max="3" width="15.28515625" bestFit="1" customWidth="1"/>
    <col min="4" max="4" width="12.5703125" bestFit="1" customWidth="1"/>
    <col min="5" max="5" width="12.85546875" bestFit="1" customWidth="1"/>
    <col min="6" max="7" width="12.140625" bestFit="1" customWidth="1"/>
    <col min="8" max="8" width="13.28515625" bestFit="1" customWidth="1"/>
    <col min="9" max="9" width="5.28515625" customWidth="1"/>
  </cols>
  <sheetData>
    <row r="3" spans="1:11" ht="5.25" customHeight="1" x14ac:dyDescent="0.25">
      <c r="A3" s="1"/>
      <c r="B3" s="1"/>
      <c r="E3" s="3"/>
    </row>
    <row r="4" spans="1:11" x14ac:dyDescent="0.25">
      <c r="A4" s="1"/>
      <c r="B4" s="1"/>
      <c r="E4" s="3"/>
    </row>
    <row r="5" spans="1:11" s="61" customFormat="1" x14ac:dyDescent="0.25">
      <c r="A5" s="60" t="s">
        <v>34</v>
      </c>
      <c r="B5" s="60"/>
    </row>
    <row r="6" spans="1:11" x14ac:dyDescent="0.25">
      <c r="A6" s="1" t="s">
        <v>5</v>
      </c>
      <c r="B6" s="1"/>
      <c r="E6" s="99" t="s">
        <v>70</v>
      </c>
      <c r="F6" s="99">
        <v>2017</v>
      </c>
    </row>
    <row r="7" spans="1:11" ht="15.75" thickBot="1" x14ac:dyDescent="0.3">
      <c r="A7" s="1"/>
      <c r="B7" s="1"/>
      <c r="E7" s="3"/>
      <c r="J7" s="3"/>
      <c r="K7" s="3"/>
    </row>
    <row r="8" spans="1:11" ht="15.75" thickBot="1" x14ac:dyDescent="0.3">
      <c r="A8" s="12"/>
      <c r="B8" s="12"/>
      <c r="C8" s="14" t="s">
        <v>12</v>
      </c>
      <c r="D8" s="15" t="s">
        <v>13</v>
      </c>
      <c r="E8" s="3"/>
      <c r="J8" s="3"/>
      <c r="K8" s="3"/>
    </row>
    <row r="9" spans="1:11" x14ac:dyDescent="0.25">
      <c r="A9" s="6" t="s">
        <v>9</v>
      </c>
      <c r="B9" s="51" t="s">
        <v>46</v>
      </c>
      <c r="C9" s="180"/>
      <c r="D9" s="189"/>
      <c r="J9" s="3"/>
      <c r="K9" s="3"/>
    </row>
    <row r="10" spans="1:11" ht="17.25" x14ac:dyDescent="0.25">
      <c r="A10" s="7" t="s">
        <v>7</v>
      </c>
      <c r="B10" s="52" t="s">
        <v>47</v>
      </c>
      <c r="C10" s="54">
        <v>988361</v>
      </c>
      <c r="D10" s="190"/>
      <c r="E10" s="100"/>
      <c r="G10" s="100"/>
      <c r="J10" s="3"/>
      <c r="K10" s="3"/>
    </row>
    <row r="11" spans="1:11" ht="17.25" x14ac:dyDescent="0.25">
      <c r="A11" s="7" t="s">
        <v>8</v>
      </c>
      <c r="B11" s="52" t="s">
        <v>48</v>
      </c>
      <c r="C11" s="54">
        <v>477778</v>
      </c>
      <c r="D11" s="190"/>
      <c r="E11" s="100"/>
      <c r="F11" s="102"/>
      <c r="G11" s="100"/>
      <c r="J11" s="3"/>
      <c r="K11" s="3"/>
    </row>
    <row r="12" spans="1:11" ht="17.25" x14ac:dyDescent="0.25">
      <c r="A12" s="7" t="s">
        <v>6</v>
      </c>
      <c r="B12" s="52" t="s">
        <v>49</v>
      </c>
      <c r="C12" s="54">
        <v>15212364</v>
      </c>
      <c r="D12" s="190"/>
      <c r="G12" s="100"/>
      <c r="J12" s="3"/>
      <c r="K12" s="3"/>
    </row>
    <row r="13" spans="1:11" ht="17.25" x14ac:dyDescent="0.25">
      <c r="A13" s="7" t="s">
        <v>10</v>
      </c>
      <c r="B13" s="52" t="s">
        <v>50</v>
      </c>
      <c r="C13" s="54">
        <v>3711517</v>
      </c>
      <c r="D13" s="190"/>
      <c r="G13" s="100"/>
      <c r="J13" s="3"/>
      <c r="K13" s="3"/>
    </row>
    <row r="14" spans="1:11" ht="17.25" x14ac:dyDescent="0.25">
      <c r="A14" s="7" t="s">
        <v>11</v>
      </c>
      <c r="B14" s="52" t="s">
        <v>51</v>
      </c>
      <c r="C14" s="55">
        <v>4168355</v>
      </c>
      <c r="D14" s="191"/>
      <c r="F14" s="102"/>
      <c r="G14" s="100"/>
      <c r="J14" s="3"/>
      <c r="K14" s="3"/>
    </row>
    <row r="15" spans="1:11" x14ac:dyDescent="0.25">
      <c r="A15" s="17" t="s">
        <v>92</v>
      </c>
      <c r="B15" s="30" t="s">
        <v>52</v>
      </c>
      <c r="C15" s="56">
        <f>SUM(C10:C14)</f>
        <v>24558375</v>
      </c>
      <c r="D15" s="191"/>
      <c r="J15" s="3"/>
      <c r="K15" s="3"/>
    </row>
    <row r="16" spans="1:11" x14ac:dyDescent="0.25">
      <c r="A16" s="8" t="s">
        <v>85</v>
      </c>
      <c r="B16" s="29" t="s">
        <v>53</v>
      </c>
      <c r="C16" s="58">
        <v>2.05592E-2</v>
      </c>
      <c r="D16" s="4"/>
      <c r="J16" s="3"/>
      <c r="K16" s="3"/>
    </row>
    <row r="17" spans="1:11" ht="17.25" x14ac:dyDescent="0.25">
      <c r="A17" s="8" t="s">
        <v>86</v>
      </c>
      <c r="B17" s="29" t="s">
        <v>54</v>
      </c>
      <c r="C17" s="181"/>
      <c r="D17" s="4"/>
      <c r="I17" s="3"/>
      <c r="J17" s="41"/>
      <c r="K17" s="3"/>
    </row>
    <row r="18" spans="1:11" ht="15.75" thickBot="1" x14ac:dyDescent="0.3">
      <c r="A18" s="9" t="s">
        <v>87</v>
      </c>
      <c r="B18" s="31" t="s">
        <v>55</v>
      </c>
      <c r="C18" s="188">
        <v>9.7100000000000006E-2</v>
      </c>
      <c r="D18" s="5"/>
      <c r="I18" s="3"/>
      <c r="J18" s="3"/>
      <c r="K18" s="3"/>
    </row>
    <row r="19" spans="1:11" ht="8.25" customHeight="1" thickBot="1" x14ac:dyDescent="0.3">
      <c r="B19" s="16"/>
      <c r="I19" s="3"/>
      <c r="J19" s="3"/>
      <c r="K19" s="3"/>
    </row>
    <row r="20" spans="1:11" ht="15.75" thickBot="1" x14ac:dyDescent="0.3">
      <c r="A20" s="22" t="s">
        <v>1</v>
      </c>
      <c r="B20" s="14"/>
      <c r="C20" s="23" t="s">
        <v>14</v>
      </c>
      <c r="D20" s="15" t="s">
        <v>15</v>
      </c>
      <c r="E20" s="24" t="s">
        <v>2</v>
      </c>
      <c r="F20" s="24" t="s">
        <v>3</v>
      </c>
      <c r="G20" s="15" t="s">
        <v>4</v>
      </c>
      <c r="H20" s="90" t="s">
        <v>65</v>
      </c>
      <c r="I20" s="42"/>
      <c r="J20" s="3"/>
      <c r="K20" s="3"/>
    </row>
    <row r="21" spans="1:11" x14ac:dyDescent="0.25">
      <c r="A21" s="8" t="s">
        <v>16</v>
      </c>
      <c r="B21" s="29" t="s">
        <v>56</v>
      </c>
      <c r="C21" s="32">
        <v>0.10299999999999999</v>
      </c>
      <c r="D21" s="19">
        <v>0.121</v>
      </c>
      <c r="E21" s="25">
        <v>8.6999999999999994E-2</v>
      </c>
      <c r="F21" s="25">
        <v>0.13200000000000001</v>
      </c>
      <c r="G21" s="19">
        <v>0.18</v>
      </c>
      <c r="H21" s="91"/>
      <c r="I21" s="43"/>
      <c r="J21" s="3"/>
      <c r="K21" s="3"/>
    </row>
    <row r="22" spans="1:11" x14ac:dyDescent="0.25">
      <c r="A22" s="7" t="s">
        <v>17</v>
      </c>
      <c r="B22" s="52" t="s">
        <v>57</v>
      </c>
      <c r="C22" s="192"/>
      <c r="D22" s="193"/>
      <c r="E22" s="194"/>
      <c r="F22" s="194"/>
      <c r="G22" s="190"/>
      <c r="H22" s="92"/>
      <c r="I22" s="44"/>
      <c r="J22" s="3"/>
      <c r="K22" s="3"/>
    </row>
    <row r="23" spans="1:11" x14ac:dyDescent="0.25">
      <c r="A23" s="8" t="s">
        <v>96</v>
      </c>
      <c r="B23" s="29" t="s">
        <v>58</v>
      </c>
      <c r="C23" s="33">
        <f>C10</f>
        <v>988361</v>
      </c>
      <c r="D23" s="20">
        <f>C11</f>
        <v>477778</v>
      </c>
      <c r="E23" s="26">
        <f>C12</f>
        <v>15212364</v>
      </c>
      <c r="F23" s="26">
        <f>C13</f>
        <v>3711517</v>
      </c>
      <c r="G23" s="20">
        <f>C14</f>
        <v>4168355</v>
      </c>
      <c r="H23" s="93">
        <f>SUM(C23:G23)</f>
        <v>24558375</v>
      </c>
      <c r="I23" s="45"/>
      <c r="J23" s="3"/>
      <c r="K23" s="3"/>
    </row>
    <row r="24" spans="1:11" ht="9.75" customHeight="1" x14ac:dyDescent="0.25">
      <c r="A24" s="8"/>
      <c r="B24" s="29"/>
      <c r="C24" s="10"/>
      <c r="D24" s="4"/>
      <c r="E24" s="27"/>
      <c r="F24" s="27"/>
      <c r="G24" s="4"/>
      <c r="H24" s="7"/>
      <c r="I24" s="2"/>
      <c r="J24" s="3"/>
    </row>
    <row r="25" spans="1:11" x14ac:dyDescent="0.25">
      <c r="A25" s="8" t="s">
        <v>93</v>
      </c>
      <c r="B25" s="29" t="s">
        <v>59</v>
      </c>
      <c r="C25" s="182">
        <f t="shared" ref="C25:D25" si="0">C23*C21</f>
        <v>101801.18299999999</v>
      </c>
      <c r="D25" s="183">
        <f t="shared" si="0"/>
        <v>57811.137999999999</v>
      </c>
      <c r="E25" s="184">
        <f>E23*E21</f>
        <v>1323475.6679999998</v>
      </c>
      <c r="F25" s="184">
        <f t="shared" ref="F25:G25" si="1">F23*F21</f>
        <v>489920.24400000001</v>
      </c>
      <c r="G25" s="183">
        <f t="shared" si="1"/>
        <v>750303.9</v>
      </c>
      <c r="H25" s="94">
        <f t="shared" ref="H25:H30" si="2">SUM(C25:G25)</f>
        <v>2723312.1329999999</v>
      </c>
      <c r="I25" s="46"/>
      <c r="J25" s="3"/>
    </row>
    <row r="26" spans="1:11" x14ac:dyDescent="0.25">
      <c r="A26" s="8" t="s">
        <v>94</v>
      </c>
      <c r="B26" s="29" t="s">
        <v>60</v>
      </c>
      <c r="C26" s="182">
        <f t="shared" ref="C26:D26" si="3">C23*$C$16</f>
        <v>20319.911471200001</v>
      </c>
      <c r="D26" s="183">
        <f t="shared" si="3"/>
        <v>9822.7334575999994</v>
      </c>
      <c r="E26" s="184">
        <f>E23*$C$16</f>
        <v>312754.0339488</v>
      </c>
      <c r="F26" s="184">
        <f t="shared" ref="F26:G26" si="4">F23*$C$16</f>
        <v>76305.820306399997</v>
      </c>
      <c r="G26" s="183">
        <f t="shared" si="4"/>
        <v>85698.044116000005</v>
      </c>
      <c r="H26" s="94">
        <f t="shared" si="2"/>
        <v>504900.54330000002</v>
      </c>
      <c r="I26" s="46"/>
      <c r="J26" s="3"/>
    </row>
    <row r="27" spans="1:11" ht="15.75" thickBot="1" x14ac:dyDescent="0.3">
      <c r="A27" s="9" t="s">
        <v>95</v>
      </c>
      <c r="B27" s="31" t="s">
        <v>61</v>
      </c>
      <c r="C27" s="185">
        <f>C23*$C$18</f>
        <v>95969.853100000008</v>
      </c>
      <c r="D27" s="186">
        <f t="shared" ref="D27:G27" si="5">D23*$C$18</f>
        <v>46392.243800000004</v>
      </c>
      <c r="E27" s="187">
        <f t="shared" si="5"/>
        <v>1477120.5444</v>
      </c>
      <c r="F27" s="187">
        <f t="shared" si="5"/>
        <v>360388.30070000002</v>
      </c>
      <c r="G27" s="186">
        <f t="shared" si="5"/>
        <v>404747.27050000004</v>
      </c>
      <c r="H27" s="95">
        <f t="shared" si="2"/>
        <v>2384618.2124999999</v>
      </c>
      <c r="I27" s="46"/>
      <c r="J27" s="3"/>
    </row>
    <row r="28" spans="1:11" x14ac:dyDescent="0.25">
      <c r="A28" s="17" t="s">
        <v>99</v>
      </c>
      <c r="B28" s="30" t="s">
        <v>62</v>
      </c>
      <c r="C28" s="35">
        <f>89303-95992</f>
        <v>-6689</v>
      </c>
      <c r="D28" s="36">
        <f>43170-46403-1</f>
        <v>-3234</v>
      </c>
      <c r="E28" s="37">
        <f>1374511-1477466</f>
        <v>-102955</v>
      </c>
      <c r="F28" s="37">
        <f>335354-360473</f>
        <v>-25119</v>
      </c>
      <c r="G28" s="36">
        <f>376631-404842</f>
        <v>-28211</v>
      </c>
      <c r="H28" s="98">
        <f t="shared" si="2"/>
        <v>-166208</v>
      </c>
      <c r="I28" s="47"/>
      <c r="J28" s="49"/>
    </row>
    <row r="29" spans="1:11" x14ac:dyDescent="0.25">
      <c r="A29" s="66" t="s">
        <v>97</v>
      </c>
      <c r="B29" s="67" t="s">
        <v>63</v>
      </c>
      <c r="C29" s="68">
        <f>IF(C28&gt;0,C28,0)</f>
        <v>0</v>
      </c>
      <c r="D29" s="69">
        <f t="shared" ref="D29:G29" si="6">IF(D28&gt;0,D28,0)</f>
        <v>0</v>
      </c>
      <c r="E29" s="70">
        <f t="shared" si="6"/>
        <v>0</v>
      </c>
      <c r="F29" s="70">
        <f t="shared" si="6"/>
        <v>0</v>
      </c>
      <c r="G29" s="69">
        <f t="shared" si="6"/>
        <v>0</v>
      </c>
      <c r="H29" s="96">
        <f t="shared" si="2"/>
        <v>0</v>
      </c>
      <c r="I29" s="48"/>
      <c r="J29" s="49"/>
      <c r="K29" s="18"/>
    </row>
    <row r="30" spans="1:11" ht="15.75" thickBot="1" x14ac:dyDescent="0.3">
      <c r="A30" s="71" t="s">
        <v>98</v>
      </c>
      <c r="B30" s="72" t="s">
        <v>64</v>
      </c>
      <c r="C30" s="73">
        <f>IF(C28&lt;0,C28*-1,0)</f>
        <v>6689</v>
      </c>
      <c r="D30" s="74">
        <f t="shared" ref="D30:G30" si="7">IF(D28&lt;0,D28*-1,0)</f>
        <v>3234</v>
      </c>
      <c r="E30" s="75">
        <f t="shared" si="7"/>
        <v>102955</v>
      </c>
      <c r="F30" s="75">
        <f t="shared" si="7"/>
        <v>25119</v>
      </c>
      <c r="G30" s="74">
        <f t="shared" si="7"/>
        <v>28211</v>
      </c>
      <c r="H30" s="97">
        <f t="shared" si="2"/>
        <v>166208</v>
      </c>
      <c r="I30" s="48"/>
      <c r="J30" s="49"/>
      <c r="K30" s="18"/>
    </row>
    <row r="31" spans="1:11" x14ac:dyDescent="0.25">
      <c r="B31" s="16"/>
      <c r="C31" s="18"/>
      <c r="D31" s="18"/>
      <c r="E31" s="18"/>
      <c r="F31" s="18"/>
      <c r="G31" s="18"/>
      <c r="H31" s="49"/>
      <c r="I31" s="49"/>
      <c r="J31" s="49"/>
      <c r="K31" s="18"/>
    </row>
    <row r="32" spans="1:11" x14ac:dyDescent="0.25">
      <c r="B32" s="16"/>
      <c r="C32" s="18"/>
      <c r="D32" s="18"/>
      <c r="E32" s="18"/>
      <c r="F32" s="18"/>
      <c r="G32" s="18"/>
      <c r="H32" s="18"/>
      <c r="I32" s="49"/>
      <c r="J32" s="49"/>
      <c r="K32" s="18"/>
    </row>
    <row r="33" spans="1:12" s="62" customFormat="1" x14ac:dyDescent="0.25">
      <c r="A33" s="65" t="s">
        <v>35</v>
      </c>
      <c r="B33" s="63"/>
      <c r="C33" s="64"/>
      <c r="D33" s="64"/>
      <c r="E33" s="64"/>
      <c r="F33" s="64"/>
      <c r="G33" s="64"/>
      <c r="H33" s="64"/>
      <c r="I33" s="64"/>
      <c r="J33" s="64"/>
      <c r="K33" s="64"/>
    </row>
    <row r="34" spans="1:12" x14ac:dyDescent="0.25">
      <c r="A34" s="1" t="s">
        <v>5</v>
      </c>
      <c r="B34" s="1"/>
      <c r="E34" s="3"/>
      <c r="F34" s="118"/>
    </row>
    <row r="35" spans="1:12" ht="15.75" thickBot="1" x14ac:dyDescent="0.3">
      <c r="B35" s="16"/>
      <c r="C35" s="18"/>
      <c r="D35" s="18"/>
      <c r="E35" s="18"/>
      <c r="F35" s="18"/>
      <c r="G35" s="18"/>
      <c r="H35" s="18"/>
      <c r="I35" s="49"/>
      <c r="J35" s="49"/>
      <c r="K35" s="18"/>
    </row>
    <row r="36" spans="1:12" ht="30.75" thickBot="1" x14ac:dyDescent="0.3">
      <c r="A36" s="12"/>
      <c r="B36" s="12"/>
      <c r="C36" s="14" t="s">
        <v>12</v>
      </c>
      <c r="D36" s="15" t="s">
        <v>13</v>
      </c>
      <c r="E36" s="3"/>
      <c r="G36" s="159" t="s">
        <v>84</v>
      </c>
      <c r="J36" s="105"/>
    </row>
    <row r="37" spans="1:12" x14ac:dyDescent="0.25">
      <c r="A37" s="6" t="s">
        <v>9</v>
      </c>
      <c r="B37" s="51" t="s">
        <v>21</v>
      </c>
      <c r="C37" s="53">
        <v>41773826.639999993</v>
      </c>
      <c r="D37" s="13">
        <f>C37/C37</f>
        <v>1</v>
      </c>
    </row>
    <row r="38" spans="1:12" ht="17.25" x14ac:dyDescent="0.25">
      <c r="A38" s="7" t="s">
        <v>103</v>
      </c>
      <c r="B38" s="52" t="s">
        <v>22</v>
      </c>
      <c r="C38" s="54">
        <f>G38*D38</f>
        <v>1039530.5176943784</v>
      </c>
      <c r="D38" s="156">
        <v>0.66881107410947005</v>
      </c>
      <c r="F38" s="100">
        <f>G38/G43</f>
        <v>7.2221566306285456E-2</v>
      </c>
      <c r="G38" s="101">
        <v>1554296.21</v>
      </c>
    </row>
    <row r="39" spans="1:12" ht="17.25" x14ac:dyDescent="0.25">
      <c r="A39" s="7" t="s">
        <v>104</v>
      </c>
      <c r="B39" s="52" t="s">
        <v>23</v>
      </c>
      <c r="C39" s="54">
        <f>G38*D39</f>
        <v>514765.69230562157</v>
      </c>
      <c r="D39" s="156">
        <v>0.33118892589052995</v>
      </c>
      <c r="F39" s="100"/>
    </row>
    <row r="40" spans="1:12" ht="17.25" x14ac:dyDescent="0.25">
      <c r="A40" s="7" t="s">
        <v>105</v>
      </c>
      <c r="B40" s="52" t="s">
        <v>24</v>
      </c>
      <c r="C40" s="54">
        <f>G40*D40</f>
        <v>12975926.132550664</v>
      </c>
      <c r="D40" s="156">
        <v>0.64987107348185924</v>
      </c>
      <c r="F40" s="100">
        <f>G40/G43</f>
        <v>0.92777843369371449</v>
      </c>
      <c r="G40" s="101">
        <v>19966923.689999998</v>
      </c>
    </row>
    <row r="41" spans="1:12" ht="17.25" x14ac:dyDescent="0.25">
      <c r="A41" s="7" t="s">
        <v>106</v>
      </c>
      <c r="B41" s="52" t="s">
        <v>25</v>
      </c>
      <c r="C41" s="54">
        <f>G40*D41</f>
        <v>3357503.0120522152</v>
      </c>
      <c r="D41" s="156">
        <v>0.16815324504564255</v>
      </c>
      <c r="F41" s="100"/>
    </row>
    <row r="42" spans="1:12" ht="17.25" x14ac:dyDescent="0.25">
      <c r="A42" s="7" t="s">
        <v>107</v>
      </c>
      <c r="B42" s="52" t="s">
        <v>26</v>
      </c>
      <c r="C42" s="55">
        <f>G40*D42</f>
        <v>3633494.5453971182</v>
      </c>
      <c r="D42" s="157">
        <v>0.18197568147249821</v>
      </c>
      <c r="F42" s="100"/>
    </row>
    <row r="43" spans="1:12" x14ac:dyDescent="0.25">
      <c r="A43" s="17" t="s">
        <v>108</v>
      </c>
      <c r="B43" s="30" t="s">
        <v>27</v>
      </c>
      <c r="C43" s="56">
        <f>SUM(C38:C42)</f>
        <v>21521219.899999999</v>
      </c>
      <c r="D43" s="11">
        <f>C43/C37</f>
        <v>0.51518430632334333</v>
      </c>
      <c r="F43" s="100">
        <f>C43/G43</f>
        <v>1</v>
      </c>
      <c r="G43" s="101">
        <v>21521219.899999999</v>
      </c>
      <c r="H43" s="102">
        <f>F38+F40-F43</f>
        <v>0</v>
      </c>
    </row>
    <row r="44" spans="1:12" x14ac:dyDescent="0.25">
      <c r="A44" s="8" t="s">
        <v>0</v>
      </c>
      <c r="B44" s="29" t="s">
        <v>28</v>
      </c>
      <c r="C44" s="57">
        <f>D45/C45</f>
        <v>2.629698998113765E-2</v>
      </c>
      <c r="D44" s="4"/>
      <c r="J44" s="3"/>
    </row>
    <row r="45" spans="1:12" ht="17.25" x14ac:dyDescent="0.25">
      <c r="A45" s="8" t="s">
        <v>81</v>
      </c>
      <c r="B45" s="29" t="s">
        <v>29</v>
      </c>
      <c r="C45" s="54">
        <v>42750762</v>
      </c>
      <c r="D45" s="50">
        <v>1124216.3600000001</v>
      </c>
      <c r="J45" s="3"/>
      <c r="L45" s="105"/>
    </row>
    <row r="46" spans="1:12" ht="17.25" x14ac:dyDescent="0.25">
      <c r="A46" s="8" t="s">
        <v>32</v>
      </c>
      <c r="B46" s="29" t="s">
        <v>30</v>
      </c>
      <c r="C46" s="58">
        <v>71.349999999999994</v>
      </c>
      <c r="D46" s="4"/>
      <c r="I46" s="3"/>
      <c r="J46" s="41"/>
    </row>
    <row r="47" spans="1:12" ht="15.75" thickBot="1" x14ac:dyDescent="0.3">
      <c r="A47" s="9" t="s">
        <v>33</v>
      </c>
      <c r="B47" s="31" t="s">
        <v>31</v>
      </c>
      <c r="C47" s="59">
        <f>C46/1000</f>
        <v>7.1349999999999997E-2</v>
      </c>
      <c r="D47" s="5"/>
      <c r="H47" s="3"/>
      <c r="I47" s="3"/>
      <c r="J47" s="3"/>
    </row>
    <row r="48" spans="1:12" ht="15.75" thickBot="1" x14ac:dyDescent="0.3">
      <c r="B48" s="16"/>
      <c r="H48" s="3"/>
      <c r="I48" s="3"/>
      <c r="J48" s="3"/>
    </row>
    <row r="49" spans="1:11" ht="15.75" thickBot="1" x14ac:dyDescent="0.3">
      <c r="A49" s="22" t="s">
        <v>88</v>
      </c>
      <c r="B49" s="14"/>
      <c r="C49" s="23" t="s">
        <v>14</v>
      </c>
      <c r="D49" s="15" t="s">
        <v>15</v>
      </c>
      <c r="E49" s="24" t="s">
        <v>2</v>
      </c>
      <c r="F49" s="24" t="s">
        <v>3</v>
      </c>
      <c r="G49" s="15" t="s">
        <v>4</v>
      </c>
      <c r="H49" s="90" t="s">
        <v>65</v>
      </c>
      <c r="I49" s="42"/>
      <c r="J49" s="3"/>
    </row>
    <row r="50" spans="1:11" x14ac:dyDescent="0.25">
      <c r="A50" s="8" t="s">
        <v>16</v>
      </c>
      <c r="B50" s="29" t="s">
        <v>37</v>
      </c>
      <c r="C50" s="114">
        <f>C21</f>
        <v>0.10299999999999999</v>
      </c>
      <c r="D50" s="115">
        <f t="shared" ref="D50:G50" si="8">D21</f>
        <v>0.121</v>
      </c>
      <c r="E50" s="116">
        <f t="shared" si="8"/>
        <v>8.6999999999999994E-2</v>
      </c>
      <c r="F50" s="116">
        <f t="shared" si="8"/>
        <v>0.13200000000000001</v>
      </c>
      <c r="G50" s="115">
        <f t="shared" si="8"/>
        <v>0.18</v>
      </c>
      <c r="H50" s="91"/>
      <c r="I50" s="43"/>
      <c r="J50" s="3"/>
    </row>
    <row r="51" spans="1:11" x14ac:dyDescent="0.25">
      <c r="A51" s="7" t="s">
        <v>17</v>
      </c>
      <c r="B51" s="52" t="s">
        <v>38</v>
      </c>
      <c r="C51" s="192"/>
      <c r="D51" s="193"/>
      <c r="E51" s="194"/>
      <c r="F51" s="194"/>
      <c r="G51" s="190"/>
      <c r="H51" s="92"/>
      <c r="I51" s="44"/>
      <c r="J51" s="3"/>
    </row>
    <row r="52" spans="1:11" x14ac:dyDescent="0.25">
      <c r="A52" s="8" t="s">
        <v>109</v>
      </c>
      <c r="B52" s="29" t="s">
        <v>39</v>
      </c>
      <c r="C52" s="33">
        <f>C38</f>
        <v>1039530.5176943784</v>
      </c>
      <c r="D52" s="20">
        <f>C39</f>
        <v>514765.69230562157</v>
      </c>
      <c r="E52" s="26">
        <f>C40</f>
        <v>12975926.132550664</v>
      </c>
      <c r="F52" s="26">
        <f>C41</f>
        <v>3357503.0120522152</v>
      </c>
      <c r="G52" s="20">
        <f>C42</f>
        <v>3633494.5453971182</v>
      </c>
      <c r="H52" s="93">
        <f>SUM(C52:G52)</f>
        <v>21521219.899999999</v>
      </c>
      <c r="I52" s="45"/>
      <c r="J52" s="3"/>
    </row>
    <row r="53" spans="1:11" x14ac:dyDescent="0.25">
      <c r="A53" s="8"/>
      <c r="B53" s="29"/>
      <c r="C53" s="10"/>
      <c r="D53" s="4"/>
      <c r="E53" s="27"/>
      <c r="F53" s="27"/>
      <c r="G53" s="4"/>
      <c r="H53" s="7"/>
      <c r="I53" s="2"/>
      <c r="J53" s="3"/>
    </row>
    <row r="54" spans="1:11" x14ac:dyDescent="0.25">
      <c r="A54" s="8" t="s">
        <v>89</v>
      </c>
      <c r="B54" s="29" t="s">
        <v>40</v>
      </c>
      <c r="C54" s="34">
        <f>C52*C50</f>
        <v>107071.64332252096</v>
      </c>
      <c r="D54" s="21">
        <f t="shared" ref="D54" si="9">D52*D50</f>
        <v>62286.648768980209</v>
      </c>
      <c r="E54" s="28">
        <f>E52*E50</f>
        <v>1128905.5735319078</v>
      </c>
      <c r="F54" s="28">
        <f t="shared" ref="F54:G54" si="10">F52*F50</f>
        <v>443190.39759089245</v>
      </c>
      <c r="G54" s="21">
        <f t="shared" si="10"/>
        <v>654029.01817148121</v>
      </c>
      <c r="H54" s="94">
        <f t="shared" ref="H54:H59" si="11">SUM(C54:G54)</f>
        <v>2395483.2813857826</v>
      </c>
      <c r="I54" s="46"/>
      <c r="J54" s="3"/>
    </row>
    <row r="55" spans="1:11" x14ac:dyDescent="0.25">
      <c r="A55" s="8" t="s">
        <v>90</v>
      </c>
      <c r="B55" s="29" t="s">
        <v>41</v>
      </c>
      <c r="C55" s="34">
        <f>C52*$C$44</f>
        <v>27336.523608895903</v>
      </c>
      <c r="D55" s="21">
        <f t="shared" ref="D55:G55" si="12">D52*$C$44</f>
        <v>13536.788253194316</v>
      </c>
      <c r="E55" s="28">
        <f t="shared" si="12"/>
        <v>341227.79950366705</v>
      </c>
      <c r="F55" s="28">
        <f t="shared" si="12"/>
        <v>88292.22306957659</v>
      </c>
      <c r="G55" s="21">
        <f t="shared" si="12"/>
        <v>95549.969656826317</v>
      </c>
      <c r="H55" s="94">
        <f t="shared" si="11"/>
        <v>565943.30409216019</v>
      </c>
      <c r="I55" s="46"/>
      <c r="J55" s="3"/>
    </row>
    <row r="56" spans="1:11" ht="15.75" thickBot="1" x14ac:dyDescent="0.3">
      <c r="A56" s="9" t="s">
        <v>91</v>
      </c>
      <c r="B56" s="31" t="s">
        <v>42</v>
      </c>
      <c r="C56" s="38">
        <f>C52*$C$47</f>
        <v>74170.502437493895</v>
      </c>
      <c r="D56" s="39">
        <f t="shared" ref="D56:G56" si="13">D52*$C$47</f>
        <v>36728.532146006095</v>
      </c>
      <c r="E56" s="40">
        <f t="shared" si="13"/>
        <v>925832.32955748984</v>
      </c>
      <c r="F56" s="40">
        <f t="shared" si="13"/>
        <v>239557.83990992553</v>
      </c>
      <c r="G56" s="39">
        <f t="shared" si="13"/>
        <v>259249.83581408436</v>
      </c>
      <c r="H56" s="95">
        <f t="shared" si="11"/>
        <v>1535539.0398649997</v>
      </c>
      <c r="I56" s="46"/>
      <c r="J56" s="3"/>
    </row>
    <row r="57" spans="1:11" x14ac:dyDescent="0.25">
      <c r="A57" s="17" t="s">
        <v>20</v>
      </c>
      <c r="B57" s="30" t="s">
        <v>43</v>
      </c>
      <c r="C57" s="35">
        <f>C54-C55-C56</f>
        <v>5564.6172761311609</v>
      </c>
      <c r="D57" s="36">
        <f t="shared" ref="D57:G57" si="14">D54-D55-D56</f>
        <v>12021.328369779796</v>
      </c>
      <c r="E57" s="37">
        <f t="shared" si="14"/>
        <v>-138154.55552924913</v>
      </c>
      <c r="F57" s="37">
        <f t="shared" si="14"/>
        <v>115340.33461139031</v>
      </c>
      <c r="G57" s="36">
        <f t="shared" si="14"/>
        <v>299229.21270057047</v>
      </c>
      <c r="H57" s="98">
        <f t="shared" si="11"/>
        <v>294000.93742862262</v>
      </c>
      <c r="I57" s="47"/>
      <c r="J57" s="3"/>
    </row>
    <row r="58" spans="1:11" x14ac:dyDescent="0.25">
      <c r="A58" s="76" t="s">
        <v>18</v>
      </c>
      <c r="B58" s="77" t="s">
        <v>44</v>
      </c>
      <c r="C58" s="78">
        <f>IF(C57&gt;0,C57,0)</f>
        <v>5564.6172761311609</v>
      </c>
      <c r="D58" s="79">
        <f t="shared" ref="D58:G58" si="15">IF(D57&gt;0,D57,0)</f>
        <v>12021.328369779796</v>
      </c>
      <c r="E58" s="80">
        <f t="shared" si="15"/>
        <v>0</v>
      </c>
      <c r="F58" s="80">
        <f t="shared" si="15"/>
        <v>115340.33461139031</v>
      </c>
      <c r="G58" s="79">
        <f t="shared" si="15"/>
        <v>299229.21270057047</v>
      </c>
      <c r="H58" s="96">
        <f t="shared" si="11"/>
        <v>432155.49295787176</v>
      </c>
      <c r="I58" s="48"/>
      <c r="J58" s="49"/>
      <c r="K58" s="18"/>
    </row>
    <row r="59" spans="1:11" ht="15.75" thickBot="1" x14ac:dyDescent="0.3">
      <c r="A59" s="81" t="s">
        <v>19</v>
      </c>
      <c r="B59" s="82" t="s">
        <v>45</v>
      </c>
      <c r="C59" s="83">
        <f>IF(C57&lt;0,C57*-1,0)</f>
        <v>0</v>
      </c>
      <c r="D59" s="84">
        <f t="shared" ref="D59:G59" si="16">IF(D57&lt;0,D57*-1,0)</f>
        <v>0</v>
      </c>
      <c r="E59" s="85">
        <f t="shared" si="16"/>
        <v>138154.55552924913</v>
      </c>
      <c r="F59" s="85">
        <f t="shared" si="16"/>
        <v>0</v>
      </c>
      <c r="G59" s="84">
        <f t="shared" si="16"/>
        <v>0</v>
      </c>
      <c r="H59" s="97">
        <f t="shared" si="11"/>
        <v>138154.55552924913</v>
      </c>
      <c r="I59" s="48"/>
      <c r="J59" s="49"/>
      <c r="K59" s="18"/>
    </row>
    <row r="60" spans="1:11" x14ac:dyDescent="0.25">
      <c r="B60" s="16"/>
      <c r="C60" s="18"/>
      <c r="D60" s="18"/>
      <c r="E60" s="18"/>
      <c r="F60" s="18"/>
      <c r="G60" s="18"/>
      <c r="H60" s="49"/>
      <c r="I60" s="49"/>
      <c r="J60" s="49"/>
      <c r="K60" s="18"/>
    </row>
    <row r="61" spans="1:11" ht="15.75" thickBot="1" x14ac:dyDescent="0.3">
      <c r="A61" s="86" t="s">
        <v>36</v>
      </c>
      <c r="H61" s="3"/>
      <c r="I61" s="3"/>
    </row>
    <row r="62" spans="1:11" x14ac:dyDescent="0.25">
      <c r="A62" s="6" t="s">
        <v>100</v>
      </c>
      <c r="B62" s="51"/>
      <c r="C62" s="87">
        <f>C57-C28</f>
        <v>12253.617276131161</v>
      </c>
      <c r="D62" s="88">
        <f t="shared" ref="D62:G62" si="17">D57-D28</f>
        <v>15255.328369779796</v>
      </c>
      <c r="E62" s="89">
        <f t="shared" si="17"/>
        <v>-35199.555529249134</v>
      </c>
      <c r="F62" s="89">
        <f t="shared" si="17"/>
        <v>140459.33461139031</v>
      </c>
      <c r="G62" s="88">
        <f t="shared" si="17"/>
        <v>327440.21270057047</v>
      </c>
      <c r="H62" s="98">
        <f t="shared" ref="H62:H64" si="18">SUM(C62:G62)</f>
        <v>460208.93742862262</v>
      </c>
    </row>
    <row r="63" spans="1:11" x14ac:dyDescent="0.25">
      <c r="A63" s="76" t="s">
        <v>101</v>
      </c>
      <c r="B63" s="77" t="s">
        <v>66</v>
      </c>
      <c r="C63" s="78">
        <f>IF(C62&gt;0,C62,0)</f>
        <v>12253.617276131161</v>
      </c>
      <c r="D63" s="79">
        <f t="shared" ref="D63:G63" si="19">IF(D62&gt;0,D62,0)</f>
        <v>15255.328369779796</v>
      </c>
      <c r="E63" s="80">
        <f t="shared" si="19"/>
        <v>0</v>
      </c>
      <c r="F63" s="80">
        <f t="shared" si="19"/>
        <v>140459.33461139031</v>
      </c>
      <c r="G63" s="79">
        <f t="shared" si="19"/>
        <v>327440.21270057047</v>
      </c>
      <c r="H63" s="96">
        <f t="shared" si="18"/>
        <v>495408.49295787176</v>
      </c>
    </row>
    <row r="64" spans="1:11" ht="15.75" thickBot="1" x14ac:dyDescent="0.3">
      <c r="A64" s="81" t="s">
        <v>102</v>
      </c>
      <c r="B64" s="82" t="s">
        <v>67</v>
      </c>
      <c r="C64" s="83">
        <f>IF(C62&lt;0,C62*-1,0)</f>
        <v>0</v>
      </c>
      <c r="D64" s="84">
        <f t="shared" ref="D64:G64" si="20">IF(D62&lt;0,D62*-1,0)</f>
        <v>0</v>
      </c>
      <c r="E64" s="85">
        <f t="shared" si="20"/>
        <v>35199.555529249134</v>
      </c>
      <c r="F64" s="85">
        <f t="shared" si="20"/>
        <v>0</v>
      </c>
      <c r="G64" s="84">
        <f t="shared" si="20"/>
        <v>0</v>
      </c>
      <c r="H64" s="97">
        <f t="shared" si="18"/>
        <v>35199.555529249134</v>
      </c>
    </row>
    <row r="65" spans="1:8" ht="15.75" thickBot="1" x14ac:dyDescent="0.3">
      <c r="A65" s="151" t="s">
        <v>83</v>
      </c>
      <c r="B65" s="14"/>
      <c r="C65" s="152">
        <f>C52-C23</f>
        <v>51169.517694378388</v>
      </c>
      <c r="D65" s="153">
        <f t="shared" ref="D65:G65" si="21">D52-D23</f>
        <v>36987.692305621575</v>
      </c>
      <c r="E65" s="154">
        <f t="shared" si="21"/>
        <v>-2236437.8674493358</v>
      </c>
      <c r="F65" s="154">
        <f t="shared" si="21"/>
        <v>-354013.98794778483</v>
      </c>
      <c r="G65" s="153">
        <f t="shared" si="21"/>
        <v>-534860.4546028818</v>
      </c>
      <c r="H65" s="155">
        <f>SUM(C65:G65)</f>
        <v>-3037155.1000000024</v>
      </c>
    </row>
  </sheetData>
  <sheetProtection password="CC7B" sheet="1" objects="1" scenarios="1"/>
  <pageMargins left="0.11811023622047245" right="0.11811023622047245" top="0.35433070866141736" bottom="0.35433070866141736" header="0.11811023622047245" footer="0.11811023622047245"/>
  <pageSetup scale="75" orientation="portrait" verticalDpi="0" r:id="rId1"/>
  <headerFooter>
    <oddFooter>&amp;L&amp;9&amp;Z&amp;F  &amp;A  &amp;D  &amp;T&amp;R&amp;P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3:L65"/>
  <sheetViews>
    <sheetView zoomScale="80" zoomScaleNormal="80" workbookViewId="0">
      <selection activeCell="L38" sqref="L38"/>
    </sheetView>
  </sheetViews>
  <sheetFormatPr defaultRowHeight="15" x14ac:dyDescent="0.25"/>
  <cols>
    <col min="1" max="1" width="36" customWidth="1"/>
    <col min="2" max="2" width="11.140625" bestFit="1" customWidth="1"/>
    <col min="3" max="3" width="15.28515625" bestFit="1" customWidth="1"/>
    <col min="4" max="4" width="12.5703125" bestFit="1" customWidth="1"/>
    <col min="5" max="5" width="12.85546875" bestFit="1" customWidth="1"/>
    <col min="6" max="7" width="12.140625" bestFit="1" customWidth="1"/>
    <col min="8" max="8" width="13.28515625" bestFit="1" customWidth="1"/>
    <col min="9" max="9" width="5.28515625" customWidth="1"/>
  </cols>
  <sheetData>
    <row r="3" spans="1:11" ht="5.25" customHeight="1" x14ac:dyDescent="0.25">
      <c r="A3" s="1"/>
      <c r="B3" s="1"/>
      <c r="E3" s="3"/>
    </row>
    <row r="4" spans="1:11" x14ac:dyDescent="0.25">
      <c r="A4" s="1"/>
      <c r="B4" s="1"/>
      <c r="E4" s="3"/>
    </row>
    <row r="5" spans="1:11" s="61" customFormat="1" x14ac:dyDescent="0.25">
      <c r="A5" s="60" t="s">
        <v>34</v>
      </c>
      <c r="B5" s="60"/>
    </row>
    <row r="6" spans="1:11" x14ac:dyDescent="0.25">
      <c r="A6" s="1" t="s">
        <v>5</v>
      </c>
      <c r="B6" s="1"/>
      <c r="E6" s="99" t="s">
        <v>71</v>
      </c>
      <c r="F6" s="99">
        <v>2017</v>
      </c>
    </row>
    <row r="7" spans="1:11" ht="15.75" thickBot="1" x14ac:dyDescent="0.3">
      <c r="A7" s="1"/>
      <c r="B7" s="1"/>
      <c r="E7" s="3"/>
      <c r="J7" s="3"/>
      <c r="K7" s="3"/>
    </row>
    <row r="8" spans="1:11" ht="15.75" thickBot="1" x14ac:dyDescent="0.3">
      <c r="A8" s="12"/>
      <c r="B8" s="12"/>
      <c r="C8" s="14" t="s">
        <v>12</v>
      </c>
      <c r="D8" s="15" t="s">
        <v>13</v>
      </c>
      <c r="E8" s="3"/>
      <c r="J8" s="3"/>
      <c r="K8" s="3"/>
    </row>
    <row r="9" spans="1:11" x14ac:dyDescent="0.25">
      <c r="A9" s="6" t="s">
        <v>9</v>
      </c>
      <c r="B9" s="51" t="s">
        <v>46</v>
      </c>
      <c r="C9" s="180"/>
      <c r="D9" s="189"/>
      <c r="J9" s="3"/>
      <c r="K9" s="3"/>
    </row>
    <row r="10" spans="1:11" ht="17.25" x14ac:dyDescent="0.25">
      <c r="A10" s="7" t="s">
        <v>7</v>
      </c>
      <c r="B10" s="52" t="s">
        <v>47</v>
      </c>
      <c r="C10" s="54">
        <v>1014616</v>
      </c>
      <c r="D10" s="190"/>
      <c r="E10" s="100"/>
      <c r="G10" s="100"/>
      <c r="J10" s="3"/>
      <c r="K10" s="3"/>
    </row>
    <row r="11" spans="1:11" ht="17.25" x14ac:dyDescent="0.25">
      <c r="A11" s="7" t="s">
        <v>8</v>
      </c>
      <c r="B11" s="52" t="s">
        <v>48</v>
      </c>
      <c r="C11" s="54">
        <v>480764</v>
      </c>
      <c r="D11" s="190"/>
      <c r="E11" s="100"/>
      <c r="F11" s="102"/>
      <c r="G11" s="100"/>
      <c r="J11" s="3"/>
      <c r="K11" s="3"/>
    </row>
    <row r="12" spans="1:11" ht="17.25" x14ac:dyDescent="0.25">
      <c r="A12" s="7" t="s">
        <v>6</v>
      </c>
      <c r="B12" s="52" t="s">
        <v>49</v>
      </c>
      <c r="C12" s="54">
        <v>9874894</v>
      </c>
      <c r="D12" s="190"/>
      <c r="G12" s="100"/>
      <c r="J12" s="3"/>
      <c r="K12" s="3"/>
    </row>
    <row r="13" spans="1:11" ht="17.25" x14ac:dyDescent="0.25">
      <c r="A13" s="7" t="s">
        <v>10</v>
      </c>
      <c r="B13" s="52" t="s">
        <v>50</v>
      </c>
      <c r="C13" s="54">
        <v>2598439</v>
      </c>
      <c r="D13" s="190"/>
      <c r="G13" s="100"/>
      <c r="J13" s="3"/>
      <c r="K13" s="3"/>
    </row>
    <row r="14" spans="1:11" ht="17.25" x14ac:dyDescent="0.25">
      <c r="A14" s="7" t="s">
        <v>11</v>
      </c>
      <c r="B14" s="52" t="s">
        <v>51</v>
      </c>
      <c r="C14" s="55">
        <v>2815099</v>
      </c>
      <c r="D14" s="191"/>
      <c r="F14" s="102"/>
      <c r="G14" s="100"/>
      <c r="J14" s="3"/>
      <c r="K14" s="3"/>
    </row>
    <row r="15" spans="1:11" x14ac:dyDescent="0.25">
      <c r="A15" s="17" t="s">
        <v>92</v>
      </c>
      <c r="B15" s="30" t="s">
        <v>52</v>
      </c>
      <c r="C15" s="56">
        <f>SUM(C10:C14)</f>
        <v>16783812</v>
      </c>
      <c r="D15" s="191"/>
      <c r="J15" s="3"/>
      <c r="K15" s="3"/>
    </row>
    <row r="16" spans="1:11" x14ac:dyDescent="0.25">
      <c r="A16" s="8" t="s">
        <v>85</v>
      </c>
      <c r="B16" s="29" t="s">
        <v>53</v>
      </c>
      <c r="C16" s="58">
        <v>2.5936299999999999E-2</v>
      </c>
      <c r="D16" s="4"/>
      <c r="J16" s="3"/>
      <c r="K16" s="3"/>
    </row>
    <row r="17" spans="1:11" ht="17.25" x14ac:dyDescent="0.25">
      <c r="A17" s="8" t="s">
        <v>86</v>
      </c>
      <c r="B17" s="29" t="s">
        <v>54</v>
      </c>
      <c r="C17" s="181"/>
      <c r="D17" s="4"/>
      <c r="I17" s="3"/>
      <c r="J17" s="41"/>
      <c r="K17" s="3"/>
    </row>
    <row r="18" spans="1:11" ht="15.75" thickBot="1" x14ac:dyDescent="0.3">
      <c r="A18" s="9" t="s">
        <v>87</v>
      </c>
      <c r="B18" s="31" t="s">
        <v>55</v>
      </c>
      <c r="C18" s="188">
        <v>8.3599999999999994E-2</v>
      </c>
      <c r="D18" s="5"/>
      <c r="I18" s="3"/>
      <c r="J18" s="3"/>
      <c r="K18" s="3"/>
    </row>
    <row r="19" spans="1:11" ht="8.25" customHeight="1" thickBot="1" x14ac:dyDescent="0.3">
      <c r="B19" s="16"/>
      <c r="I19" s="3"/>
      <c r="J19" s="3"/>
      <c r="K19" s="3"/>
    </row>
    <row r="20" spans="1:11" ht="15.75" thickBot="1" x14ac:dyDescent="0.3">
      <c r="A20" s="22" t="s">
        <v>1</v>
      </c>
      <c r="B20" s="14"/>
      <c r="C20" s="23" t="s">
        <v>14</v>
      </c>
      <c r="D20" s="15" t="s">
        <v>15</v>
      </c>
      <c r="E20" s="24" t="s">
        <v>2</v>
      </c>
      <c r="F20" s="24" t="s">
        <v>3</v>
      </c>
      <c r="G20" s="15" t="s">
        <v>4</v>
      </c>
      <c r="H20" s="90" t="s">
        <v>65</v>
      </c>
      <c r="I20" s="42"/>
      <c r="J20" s="3"/>
      <c r="K20" s="3"/>
    </row>
    <row r="21" spans="1:11" x14ac:dyDescent="0.25">
      <c r="A21" s="8" t="s">
        <v>16</v>
      </c>
      <c r="B21" s="29" t="s">
        <v>56</v>
      </c>
      <c r="C21" s="32">
        <v>0.10299999999999999</v>
      </c>
      <c r="D21" s="19">
        <v>0.121</v>
      </c>
      <c r="E21" s="25">
        <v>8.6999999999999994E-2</v>
      </c>
      <c r="F21" s="25">
        <v>0.13200000000000001</v>
      </c>
      <c r="G21" s="19">
        <v>0.18</v>
      </c>
      <c r="H21" s="91"/>
      <c r="I21" s="43"/>
      <c r="J21" s="3"/>
      <c r="K21" s="3"/>
    </row>
    <row r="22" spans="1:11" x14ac:dyDescent="0.25">
      <c r="A22" s="7" t="s">
        <v>17</v>
      </c>
      <c r="B22" s="52" t="s">
        <v>57</v>
      </c>
      <c r="C22" s="192"/>
      <c r="D22" s="193"/>
      <c r="E22" s="194"/>
      <c r="F22" s="194"/>
      <c r="G22" s="190"/>
      <c r="H22" s="92"/>
      <c r="I22" s="44"/>
      <c r="J22" s="3"/>
      <c r="K22" s="3"/>
    </row>
    <row r="23" spans="1:11" x14ac:dyDescent="0.25">
      <c r="A23" s="8" t="s">
        <v>96</v>
      </c>
      <c r="B23" s="29" t="s">
        <v>58</v>
      </c>
      <c r="C23" s="33">
        <f>C10</f>
        <v>1014616</v>
      </c>
      <c r="D23" s="20">
        <f>C11</f>
        <v>480764</v>
      </c>
      <c r="E23" s="26">
        <f>C12</f>
        <v>9874894</v>
      </c>
      <c r="F23" s="26">
        <f>C13</f>
        <v>2598439</v>
      </c>
      <c r="G23" s="20">
        <f>C14</f>
        <v>2815099</v>
      </c>
      <c r="H23" s="93">
        <f>SUM(C23:G23)</f>
        <v>16783812</v>
      </c>
      <c r="I23" s="45"/>
      <c r="J23" s="3"/>
      <c r="K23" s="3"/>
    </row>
    <row r="24" spans="1:11" ht="9.75" customHeight="1" x14ac:dyDescent="0.25">
      <c r="A24" s="8"/>
      <c r="B24" s="29"/>
      <c r="C24" s="10"/>
      <c r="D24" s="4"/>
      <c r="E24" s="27"/>
      <c r="F24" s="27"/>
      <c r="G24" s="4"/>
      <c r="H24" s="7"/>
      <c r="I24" s="2"/>
      <c r="J24" s="3"/>
    </row>
    <row r="25" spans="1:11" x14ac:dyDescent="0.25">
      <c r="A25" s="8" t="s">
        <v>93</v>
      </c>
      <c r="B25" s="29" t="s">
        <v>59</v>
      </c>
      <c r="C25" s="182">
        <f>C23*C21</f>
        <v>104505.44799999999</v>
      </c>
      <c r="D25" s="183">
        <f t="shared" ref="D25" si="0">D23*D21</f>
        <v>58172.443999999996</v>
      </c>
      <c r="E25" s="184">
        <f>E23*E21</f>
        <v>859115.77799999993</v>
      </c>
      <c r="F25" s="184">
        <f t="shared" ref="F25:G25" si="1">F23*F21</f>
        <v>342993.94800000003</v>
      </c>
      <c r="G25" s="183">
        <f t="shared" si="1"/>
        <v>506717.82</v>
      </c>
      <c r="H25" s="94">
        <f t="shared" ref="H25:H30" si="2">SUM(C25:G25)</f>
        <v>1871505.4380000001</v>
      </c>
      <c r="I25" s="46"/>
      <c r="J25" s="3"/>
    </row>
    <row r="26" spans="1:11" x14ac:dyDescent="0.25">
      <c r="A26" s="8" t="s">
        <v>94</v>
      </c>
      <c r="B26" s="29" t="s">
        <v>60</v>
      </c>
      <c r="C26" s="182">
        <f t="shared" ref="C26:D26" si="3">C23*$C$16</f>
        <v>26315.384960799998</v>
      </c>
      <c r="D26" s="183">
        <f t="shared" si="3"/>
        <v>12469.239333199999</v>
      </c>
      <c r="E26" s="184">
        <f>E23*$C$16</f>
        <v>256118.21325219999</v>
      </c>
      <c r="F26" s="184">
        <f t="shared" ref="F26:G26" si="4">F23*$C$16</f>
        <v>67393.893435699996</v>
      </c>
      <c r="G26" s="183">
        <f t="shared" si="4"/>
        <v>73013.252193699998</v>
      </c>
      <c r="H26" s="94">
        <f t="shared" si="2"/>
        <v>435309.98317559995</v>
      </c>
      <c r="I26" s="46"/>
      <c r="J26" s="3"/>
    </row>
    <row r="27" spans="1:11" ht="15.75" thickBot="1" x14ac:dyDescent="0.3">
      <c r="A27" s="9" t="s">
        <v>95</v>
      </c>
      <c r="B27" s="31" t="s">
        <v>61</v>
      </c>
      <c r="C27" s="185">
        <f>C23*$C$18</f>
        <v>84821.897599999997</v>
      </c>
      <c r="D27" s="186">
        <f t="shared" ref="D27:G27" si="5">D23*$C$18</f>
        <v>40191.8704</v>
      </c>
      <c r="E27" s="187">
        <f t="shared" si="5"/>
        <v>825541.13839999994</v>
      </c>
      <c r="F27" s="187">
        <f t="shared" si="5"/>
        <v>217229.50039999999</v>
      </c>
      <c r="G27" s="186">
        <f t="shared" si="5"/>
        <v>235342.27639999997</v>
      </c>
      <c r="H27" s="95">
        <f t="shared" si="2"/>
        <v>1403126.6831999999</v>
      </c>
      <c r="I27" s="46"/>
      <c r="J27" s="3"/>
    </row>
    <row r="28" spans="1:11" x14ac:dyDescent="0.25">
      <c r="A28" s="17" t="s">
        <v>99</v>
      </c>
      <c r="B28" s="30" t="s">
        <v>62</v>
      </c>
      <c r="C28" s="35">
        <f>86784-84785</f>
        <v>1999</v>
      </c>
      <c r="D28" s="36">
        <f>41121-40174</f>
        <v>947</v>
      </c>
      <c r="E28" s="37">
        <f>844634-825178</f>
        <v>19456</v>
      </c>
      <c r="F28" s="37">
        <f>222253-217134+1</f>
        <v>5120</v>
      </c>
      <c r="G28" s="36">
        <f>240785-235239</f>
        <v>5546</v>
      </c>
      <c r="H28" s="98">
        <f t="shared" si="2"/>
        <v>33068</v>
      </c>
      <c r="I28" s="47"/>
      <c r="J28" s="49"/>
    </row>
    <row r="29" spans="1:11" x14ac:dyDescent="0.25">
      <c r="A29" s="66" t="s">
        <v>97</v>
      </c>
      <c r="B29" s="67" t="s">
        <v>63</v>
      </c>
      <c r="C29" s="68">
        <f>IF(C28&gt;0,C28,0)</f>
        <v>1999</v>
      </c>
      <c r="D29" s="69">
        <f t="shared" ref="D29:G29" si="6">IF(D28&gt;0,D28,0)</f>
        <v>947</v>
      </c>
      <c r="E29" s="70">
        <f t="shared" si="6"/>
        <v>19456</v>
      </c>
      <c r="F29" s="70">
        <f t="shared" si="6"/>
        <v>5120</v>
      </c>
      <c r="G29" s="69">
        <f t="shared" si="6"/>
        <v>5546</v>
      </c>
      <c r="H29" s="96">
        <f t="shared" si="2"/>
        <v>33068</v>
      </c>
      <c r="I29" s="48"/>
      <c r="J29" s="49"/>
      <c r="K29" s="18"/>
    </row>
    <row r="30" spans="1:11" ht="15.75" thickBot="1" x14ac:dyDescent="0.3">
      <c r="A30" s="71" t="s">
        <v>98</v>
      </c>
      <c r="B30" s="72" t="s">
        <v>64</v>
      </c>
      <c r="C30" s="73">
        <f>IF(C28&lt;0,C28*-1,0)</f>
        <v>0</v>
      </c>
      <c r="D30" s="74">
        <f t="shared" ref="D30:G30" si="7">IF(D28&lt;0,D28*-1,0)</f>
        <v>0</v>
      </c>
      <c r="E30" s="75">
        <f t="shared" si="7"/>
        <v>0</v>
      </c>
      <c r="F30" s="75">
        <f t="shared" si="7"/>
        <v>0</v>
      </c>
      <c r="G30" s="74">
        <f t="shared" si="7"/>
        <v>0</v>
      </c>
      <c r="H30" s="97">
        <f t="shared" si="2"/>
        <v>0</v>
      </c>
      <c r="I30" s="48"/>
      <c r="J30" s="49"/>
      <c r="K30" s="18"/>
    </row>
    <row r="31" spans="1:11" x14ac:dyDescent="0.25">
      <c r="B31" s="16"/>
      <c r="C31" s="18"/>
      <c r="D31" s="18"/>
      <c r="E31" s="18"/>
      <c r="F31" s="18"/>
      <c r="G31" s="18"/>
      <c r="H31" s="49"/>
      <c r="I31" s="49"/>
      <c r="J31" s="49"/>
      <c r="K31" s="18"/>
    </row>
    <row r="32" spans="1:11" x14ac:dyDescent="0.25">
      <c r="B32" s="16"/>
      <c r="C32" s="18"/>
      <c r="D32" s="18"/>
      <c r="E32" s="18"/>
      <c r="F32" s="18"/>
      <c r="G32" s="18"/>
      <c r="H32" s="18"/>
      <c r="I32" s="49"/>
      <c r="J32" s="49"/>
      <c r="K32" s="18"/>
    </row>
    <row r="33" spans="1:12" s="62" customFormat="1" x14ac:dyDescent="0.25">
      <c r="A33" s="65" t="s">
        <v>35</v>
      </c>
      <c r="B33" s="63"/>
      <c r="C33" s="64"/>
      <c r="D33" s="64"/>
      <c r="E33" s="64"/>
      <c r="F33" s="64"/>
      <c r="G33" s="64"/>
      <c r="H33" s="64"/>
      <c r="I33" s="64"/>
      <c r="J33" s="64"/>
      <c r="K33" s="64"/>
    </row>
    <row r="34" spans="1:12" x14ac:dyDescent="0.25">
      <c r="A34" s="1" t="s">
        <v>5</v>
      </c>
      <c r="B34" s="1"/>
      <c r="E34" s="3"/>
      <c r="F34" s="118"/>
    </row>
    <row r="35" spans="1:12" ht="15.75" thickBot="1" x14ac:dyDescent="0.3">
      <c r="B35" s="16"/>
      <c r="C35" s="18"/>
      <c r="D35" s="18"/>
      <c r="E35" s="18"/>
      <c r="F35" s="18"/>
      <c r="G35" s="18"/>
      <c r="H35" s="18"/>
      <c r="I35" s="49"/>
      <c r="J35" s="49"/>
      <c r="K35" s="18"/>
    </row>
    <row r="36" spans="1:12" ht="30.75" thickBot="1" x14ac:dyDescent="0.3">
      <c r="A36" s="12"/>
      <c r="B36" s="12"/>
      <c r="C36" s="14" t="s">
        <v>12</v>
      </c>
      <c r="D36" s="15" t="s">
        <v>13</v>
      </c>
      <c r="E36" s="3"/>
      <c r="G36" s="159" t="s">
        <v>84</v>
      </c>
      <c r="J36" s="105"/>
    </row>
    <row r="37" spans="1:12" x14ac:dyDescent="0.25">
      <c r="A37" s="6" t="s">
        <v>9</v>
      </c>
      <c r="B37" s="51" t="s">
        <v>21</v>
      </c>
      <c r="C37" s="53">
        <v>36879706.910000078</v>
      </c>
      <c r="D37" s="13">
        <f>C37/C37</f>
        <v>1</v>
      </c>
    </row>
    <row r="38" spans="1:12" ht="17.25" x14ac:dyDescent="0.25">
      <c r="A38" s="7" t="s">
        <v>103</v>
      </c>
      <c r="B38" s="52" t="s">
        <v>22</v>
      </c>
      <c r="C38" s="54">
        <f>G38*D38</f>
        <v>865764.16435980471</v>
      </c>
      <c r="D38" s="156">
        <v>0.66881107410947005</v>
      </c>
      <c r="F38" s="100">
        <f>G38/G43</f>
        <v>6.9896276236080968E-2</v>
      </c>
      <c r="G38" s="101">
        <v>1294482.4000000001</v>
      </c>
    </row>
    <row r="39" spans="1:12" ht="17.25" x14ac:dyDescent="0.25">
      <c r="A39" s="7" t="s">
        <v>104</v>
      </c>
      <c r="B39" s="52" t="s">
        <v>23</v>
      </c>
      <c r="C39" s="54">
        <f>G38*D39</f>
        <v>428718.23564019537</v>
      </c>
      <c r="D39" s="156">
        <v>0.33118892589052995</v>
      </c>
      <c r="F39" s="100"/>
    </row>
    <row r="40" spans="1:12" ht="17.25" x14ac:dyDescent="0.25">
      <c r="A40" s="7" t="s">
        <v>105</v>
      </c>
      <c r="B40" s="52" t="s">
        <v>24</v>
      </c>
      <c r="C40" s="54">
        <f>G40*D40</f>
        <v>11194396.892287478</v>
      </c>
      <c r="D40" s="156">
        <v>0.64987107348185924</v>
      </c>
      <c r="F40" s="100">
        <f>G40/G43</f>
        <v>0.93010372376391914</v>
      </c>
      <c r="G40" s="101">
        <v>17225565.730000079</v>
      </c>
    </row>
    <row r="41" spans="1:12" ht="17.25" x14ac:dyDescent="0.25">
      <c r="A41" s="7" t="s">
        <v>106</v>
      </c>
      <c r="B41" s="52" t="s">
        <v>25</v>
      </c>
      <c r="C41" s="54">
        <f>G40*D41</f>
        <v>2896534.7752465256</v>
      </c>
      <c r="D41" s="156">
        <v>0.16815324504564255</v>
      </c>
      <c r="F41" s="100"/>
    </row>
    <row r="42" spans="1:12" ht="17.25" x14ac:dyDescent="0.25">
      <c r="A42" s="7" t="s">
        <v>107</v>
      </c>
      <c r="B42" s="52" t="s">
        <v>26</v>
      </c>
      <c r="C42" s="55">
        <f>G40*D42</f>
        <v>3134634.0624660752</v>
      </c>
      <c r="D42" s="157">
        <v>0.18197568147249821</v>
      </c>
      <c r="F42" s="100"/>
    </row>
    <row r="43" spans="1:12" x14ac:dyDescent="0.25">
      <c r="A43" s="17" t="s">
        <v>108</v>
      </c>
      <c r="B43" s="30" t="s">
        <v>27</v>
      </c>
      <c r="C43" s="56">
        <f>SUM(C38:C42)</f>
        <v>18520048.130000077</v>
      </c>
      <c r="D43" s="11">
        <f>C43/C37</f>
        <v>0.50217449328422659</v>
      </c>
      <c r="F43" s="100">
        <f>C43/G43</f>
        <v>1</v>
      </c>
      <c r="G43" s="101">
        <v>18520048.130000077</v>
      </c>
      <c r="H43" s="102">
        <f>F38+F40-F43</f>
        <v>0</v>
      </c>
    </row>
    <row r="44" spans="1:12" x14ac:dyDescent="0.25">
      <c r="A44" s="8" t="s">
        <v>0</v>
      </c>
      <c r="B44" s="29" t="s">
        <v>28</v>
      </c>
      <c r="C44" s="57">
        <f>D45/C45</f>
        <v>1.1509408801371988E-2</v>
      </c>
      <c r="D44" s="4"/>
      <c r="J44" s="3"/>
    </row>
    <row r="45" spans="1:12" ht="17.25" x14ac:dyDescent="0.25">
      <c r="A45" s="8" t="s">
        <v>81</v>
      </c>
      <c r="B45" s="29" t="s">
        <v>29</v>
      </c>
      <c r="C45" s="54">
        <v>36992119</v>
      </c>
      <c r="D45" s="50">
        <v>425757.42</v>
      </c>
      <c r="J45" s="3"/>
      <c r="L45" s="105"/>
    </row>
    <row r="46" spans="1:12" ht="17.25" x14ac:dyDescent="0.25">
      <c r="A46" s="8" t="s">
        <v>32</v>
      </c>
      <c r="B46" s="29" t="s">
        <v>30</v>
      </c>
      <c r="C46" s="58">
        <v>107.78</v>
      </c>
      <c r="D46" s="4"/>
      <c r="I46" s="3"/>
      <c r="J46" s="41"/>
    </row>
    <row r="47" spans="1:12" ht="15.75" thickBot="1" x14ac:dyDescent="0.3">
      <c r="A47" s="9" t="s">
        <v>33</v>
      </c>
      <c r="B47" s="31" t="s">
        <v>31</v>
      </c>
      <c r="C47" s="59">
        <f>C46/1000</f>
        <v>0.10778</v>
      </c>
      <c r="D47" s="5"/>
      <c r="H47" s="3"/>
      <c r="I47" s="3"/>
      <c r="J47" s="3"/>
    </row>
    <row r="48" spans="1:12" ht="15.75" thickBot="1" x14ac:dyDescent="0.3">
      <c r="B48" s="16"/>
      <c r="H48" s="3"/>
      <c r="I48" s="3"/>
      <c r="J48" s="3"/>
    </row>
    <row r="49" spans="1:11" ht="15.75" thickBot="1" x14ac:dyDescent="0.3">
      <c r="A49" s="22" t="s">
        <v>88</v>
      </c>
      <c r="B49" s="14"/>
      <c r="C49" s="23" t="s">
        <v>14</v>
      </c>
      <c r="D49" s="15" t="s">
        <v>15</v>
      </c>
      <c r="E49" s="24" t="s">
        <v>2</v>
      </c>
      <c r="F49" s="24" t="s">
        <v>3</v>
      </c>
      <c r="G49" s="15" t="s">
        <v>4</v>
      </c>
      <c r="H49" s="90" t="s">
        <v>65</v>
      </c>
      <c r="I49" s="42"/>
      <c r="J49" s="3"/>
    </row>
    <row r="50" spans="1:11" x14ac:dyDescent="0.25">
      <c r="A50" s="8" t="s">
        <v>16</v>
      </c>
      <c r="B50" s="29" t="s">
        <v>37</v>
      </c>
      <c r="C50" s="114">
        <f>C21</f>
        <v>0.10299999999999999</v>
      </c>
      <c r="D50" s="115">
        <f t="shared" ref="D50:G50" si="8">D21</f>
        <v>0.121</v>
      </c>
      <c r="E50" s="116">
        <f t="shared" si="8"/>
        <v>8.6999999999999994E-2</v>
      </c>
      <c r="F50" s="116">
        <f t="shared" si="8"/>
        <v>0.13200000000000001</v>
      </c>
      <c r="G50" s="115">
        <f t="shared" si="8"/>
        <v>0.18</v>
      </c>
      <c r="H50" s="91"/>
      <c r="I50" s="43"/>
      <c r="J50" s="3"/>
    </row>
    <row r="51" spans="1:11" x14ac:dyDescent="0.25">
      <c r="A51" s="7" t="s">
        <v>17</v>
      </c>
      <c r="B51" s="52" t="s">
        <v>38</v>
      </c>
      <c r="C51" s="192"/>
      <c r="D51" s="193"/>
      <c r="E51" s="194"/>
      <c r="F51" s="194"/>
      <c r="G51" s="190"/>
      <c r="H51" s="92"/>
      <c r="I51" s="44"/>
      <c r="J51" s="3"/>
    </row>
    <row r="52" spans="1:11" x14ac:dyDescent="0.25">
      <c r="A52" s="8" t="s">
        <v>109</v>
      </c>
      <c r="B52" s="29" t="s">
        <v>39</v>
      </c>
      <c r="C52" s="33">
        <f>C38</f>
        <v>865764.16435980471</v>
      </c>
      <c r="D52" s="20">
        <f>C39</f>
        <v>428718.23564019537</v>
      </c>
      <c r="E52" s="26">
        <f>C40</f>
        <v>11194396.892287478</v>
      </c>
      <c r="F52" s="26">
        <f>C41</f>
        <v>2896534.7752465256</v>
      </c>
      <c r="G52" s="20">
        <f>C42</f>
        <v>3134634.0624660752</v>
      </c>
      <c r="H52" s="93">
        <f>SUM(C52:G52)</f>
        <v>18520048.130000077</v>
      </c>
      <c r="I52" s="45"/>
      <c r="J52" s="3"/>
    </row>
    <row r="53" spans="1:11" x14ac:dyDescent="0.25">
      <c r="A53" s="8"/>
      <c r="B53" s="29"/>
      <c r="C53" s="10"/>
      <c r="D53" s="4"/>
      <c r="E53" s="27"/>
      <c r="F53" s="27"/>
      <c r="G53" s="4"/>
      <c r="H53" s="7"/>
      <c r="I53" s="2"/>
      <c r="J53" s="3"/>
    </row>
    <row r="54" spans="1:11" x14ac:dyDescent="0.25">
      <c r="A54" s="8" t="s">
        <v>89</v>
      </c>
      <c r="B54" s="29" t="s">
        <v>40</v>
      </c>
      <c r="C54" s="34">
        <f>C52*C50</f>
        <v>89173.708929059881</v>
      </c>
      <c r="D54" s="21">
        <f t="shared" ref="D54" si="9">D52*D50</f>
        <v>51874.90651246364</v>
      </c>
      <c r="E54" s="28">
        <f>E52*E50</f>
        <v>973912.52962901047</v>
      </c>
      <c r="F54" s="28">
        <f t="shared" ref="F54:G54" si="10">F52*F50</f>
        <v>382342.59033254138</v>
      </c>
      <c r="G54" s="21">
        <f t="shared" si="10"/>
        <v>564234.13124389353</v>
      </c>
      <c r="H54" s="94">
        <f t="shared" ref="H54:H59" si="11">SUM(C54:G54)</f>
        <v>2061537.8666469688</v>
      </c>
      <c r="I54" s="46"/>
      <c r="J54" s="3"/>
    </row>
    <row r="55" spans="1:11" x14ac:dyDescent="0.25">
      <c r="A55" s="8" t="s">
        <v>90</v>
      </c>
      <c r="B55" s="29" t="s">
        <v>41</v>
      </c>
      <c r="C55" s="34">
        <f>C52*$C$44</f>
        <v>9964.4336931952002</v>
      </c>
      <c r="D55" s="21">
        <f t="shared" ref="D55:G55" si="12">D52*$C$44</f>
        <v>4934.2934345859348</v>
      </c>
      <c r="E55" s="28">
        <f t="shared" si="12"/>
        <v>128840.89011814473</v>
      </c>
      <c r="F55" s="28">
        <f t="shared" si="12"/>
        <v>33337.4028357024</v>
      </c>
      <c r="G55" s="21">
        <f t="shared" si="12"/>
        <v>36077.784867627473</v>
      </c>
      <c r="H55" s="94">
        <f t="shared" si="11"/>
        <v>213154.80494925572</v>
      </c>
      <c r="I55" s="46"/>
      <c r="J55" s="3"/>
    </row>
    <row r="56" spans="1:11" ht="15.75" thickBot="1" x14ac:dyDescent="0.3">
      <c r="A56" s="9" t="s">
        <v>91</v>
      </c>
      <c r="B56" s="31" t="s">
        <v>42</v>
      </c>
      <c r="C56" s="38">
        <f>C52*$C$47</f>
        <v>93312.061634699756</v>
      </c>
      <c r="D56" s="39">
        <f t="shared" ref="D56:G56" si="13">D52*$C$47</f>
        <v>46207.251437300256</v>
      </c>
      <c r="E56" s="40">
        <f t="shared" si="13"/>
        <v>1206532.0970507443</v>
      </c>
      <c r="F56" s="40">
        <f t="shared" si="13"/>
        <v>312188.51807607053</v>
      </c>
      <c r="G56" s="39">
        <f t="shared" si="13"/>
        <v>337850.8592525936</v>
      </c>
      <c r="H56" s="95">
        <f t="shared" si="11"/>
        <v>1996090.7874514083</v>
      </c>
      <c r="I56" s="46"/>
      <c r="J56" s="3"/>
    </row>
    <row r="57" spans="1:11" x14ac:dyDescent="0.25">
      <c r="A57" s="17" t="s">
        <v>20</v>
      </c>
      <c r="B57" s="30" t="s">
        <v>43</v>
      </c>
      <c r="C57" s="35">
        <f>C54-C55-C56</f>
        <v>-14102.786398835073</v>
      </c>
      <c r="D57" s="36">
        <f t="shared" ref="D57:G57" si="14">D54-D55-D56</f>
        <v>733.36164057745191</v>
      </c>
      <c r="E57" s="37">
        <f t="shared" si="14"/>
        <v>-361460.45753987855</v>
      </c>
      <c r="F57" s="37">
        <f t="shared" si="14"/>
        <v>36816.669420768449</v>
      </c>
      <c r="G57" s="36">
        <f t="shared" si="14"/>
        <v>190305.4871236725</v>
      </c>
      <c r="H57" s="98">
        <f t="shared" si="11"/>
        <v>-147707.72575369524</v>
      </c>
      <c r="I57" s="47"/>
      <c r="J57" s="3"/>
    </row>
    <row r="58" spans="1:11" x14ac:dyDescent="0.25">
      <c r="A58" s="76" t="s">
        <v>18</v>
      </c>
      <c r="B58" s="77" t="s">
        <v>44</v>
      </c>
      <c r="C58" s="78">
        <f>IF(C57&gt;0,C57,0)</f>
        <v>0</v>
      </c>
      <c r="D58" s="79">
        <f t="shared" ref="D58:G58" si="15">IF(D57&gt;0,D57,0)</f>
        <v>733.36164057745191</v>
      </c>
      <c r="E58" s="80">
        <f t="shared" si="15"/>
        <v>0</v>
      </c>
      <c r="F58" s="80">
        <f t="shared" si="15"/>
        <v>36816.669420768449</v>
      </c>
      <c r="G58" s="79">
        <f t="shared" si="15"/>
        <v>190305.4871236725</v>
      </c>
      <c r="H58" s="96">
        <f t="shared" si="11"/>
        <v>227855.51818501839</v>
      </c>
      <c r="I58" s="48"/>
      <c r="J58" s="49"/>
      <c r="K58" s="18"/>
    </row>
    <row r="59" spans="1:11" ht="15.75" thickBot="1" x14ac:dyDescent="0.3">
      <c r="A59" s="81" t="s">
        <v>19</v>
      </c>
      <c r="B59" s="82" t="s">
        <v>45</v>
      </c>
      <c r="C59" s="83">
        <f>IF(C57&lt;0,C57*-1,0)</f>
        <v>14102.786398835073</v>
      </c>
      <c r="D59" s="84">
        <f t="shared" ref="D59:G59" si="16">IF(D57&lt;0,D57*-1,0)</f>
        <v>0</v>
      </c>
      <c r="E59" s="85">
        <f t="shared" si="16"/>
        <v>361460.45753987855</v>
      </c>
      <c r="F59" s="85">
        <f t="shared" si="16"/>
        <v>0</v>
      </c>
      <c r="G59" s="84">
        <f t="shared" si="16"/>
        <v>0</v>
      </c>
      <c r="H59" s="97">
        <f t="shared" si="11"/>
        <v>375563.24393871363</v>
      </c>
      <c r="I59" s="48"/>
      <c r="J59" s="49"/>
      <c r="K59" s="18"/>
    </row>
    <row r="60" spans="1:11" x14ac:dyDescent="0.25">
      <c r="B60" s="16"/>
      <c r="C60" s="18"/>
      <c r="D60" s="18"/>
      <c r="E60" s="18"/>
      <c r="F60" s="18"/>
      <c r="G60" s="18"/>
      <c r="H60" s="49"/>
      <c r="I60" s="49"/>
      <c r="J60" s="49"/>
      <c r="K60" s="18"/>
    </row>
    <row r="61" spans="1:11" ht="15.75" thickBot="1" x14ac:dyDescent="0.3">
      <c r="A61" s="86" t="s">
        <v>36</v>
      </c>
      <c r="H61" s="3"/>
      <c r="I61" s="3"/>
    </row>
    <row r="62" spans="1:11" x14ac:dyDescent="0.25">
      <c r="A62" s="6" t="s">
        <v>100</v>
      </c>
      <c r="B62" s="51"/>
      <c r="C62" s="87">
        <f>C57-C28</f>
        <v>-16101.786398835073</v>
      </c>
      <c r="D62" s="88">
        <f t="shared" ref="D62:G62" si="17">D57-D28</f>
        <v>-213.63835942254809</v>
      </c>
      <c r="E62" s="89">
        <f t="shared" si="17"/>
        <v>-380916.45753987855</v>
      </c>
      <c r="F62" s="89">
        <f t="shared" si="17"/>
        <v>31696.669420768449</v>
      </c>
      <c r="G62" s="88">
        <f t="shared" si="17"/>
        <v>184759.4871236725</v>
      </c>
      <c r="H62" s="98">
        <f t="shared" ref="H62:H64" si="18">SUM(C62:G62)</f>
        <v>-180775.72575369524</v>
      </c>
    </row>
    <row r="63" spans="1:11" x14ac:dyDescent="0.25">
      <c r="A63" s="76" t="s">
        <v>101</v>
      </c>
      <c r="B63" s="77" t="s">
        <v>66</v>
      </c>
      <c r="C63" s="78">
        <f>IF(C62&gt;0,C62,0)</f>
        <v>0</v>
      </c>
      <c r="D63" s="79">
        <f t="shared" ref="D63:G63" si="19">IF(D62&gt;0,D62,0)</f>
        <v>0</v>
      </c>
      <c r="E63" s="80">
        <f t="shared" si="19"/>
        <v>0</v>
      </c>
      <c r="F63" s="80">
        <f t="shared" si="19"/>
        <v>31696.669420768449</v>
      </c>
      <c r="G63" s="79">
        <f t="shared" si="19"/>
        <v>184759.4871236725</v>
      </c>
      <c r="H63" s="96">
        <f t="shared" si="18"/>
        <v>216456.15654444095</v>
      </c>
    </row>
    <row r="64" spans="1:11" ht="15.75" thickBot="1" x14ac:dyDescent="0.3">
      <c r="A64" s="81" t="s">
        <v>102</v>
      </c>
      <c r="B64" s="82" t="s">
        <v>67</v>
      </c>
      <c r="C64" s="83">
        <f>IF(C62&lt;0,C62*-1,0)</f>
        <v>16101.786398835073</v>
      </c>
      <c r="D64" s="84">
        <f t="shared" ref="D64:G64" si="20">IF(D62&lt;0,D62*-1,0)</f>
        <v>213.63835942254809</v>
      </c>
      <c r="E64" s="85">
        <f t="shared" si="20"/>
        <v>380916.45753987855</v>
      </c>
      <c r="F64" s="85">
        <f t="shared" si="20"/>
        <v>0</v>
      </c>
      <c r="G64" s="84">
        <f t="shared" si="20"/>
        <v>0</v>
      </c>
      <c r="H64" s="97">
        <f t="shared" si="18"/>
        <v>397231.88229813619</v>
      </c>
    </row>
    <row r="65" spans="1:8" ht="15.75" thickBot="1" x14ac:dyDescent="0.3">
      <c r="A65" s="151" t="s">
        <v>83</v>
      </c>
      <c r="B65" s="14"/>
      <c r="C65" s="152">
        <f>C52-C23</f>
        <v>-148851.83564019529</v>
      </c>
      <c r="D65" s="153">
        <f t="shared" ref="D65:G65" si="21">D52-D23</f>
        <v>-52045.764359804627</v>
      </c>
      <c r="E65" s="154">
        <f t="shared" si="21"/>
        <v>1319502.8922874779</v>
      </c>
      <c r="F65" s="154">
        <f t="shared" si="21"/>
        <v>298095.77524652565</v>
      </c>
      <c r="G65" s="153">
        <f t="shared" si="21"/>
        <v>319535.06246607518</v>
      </c>
      <c r="H65" s="155">
        <f>SUM(C65:G65)</f>
        <v>1736236.1300000788</v>
      </c>
    </row>
  </sheetData>
  <sheetProtection password="CC7B" sheet="1" objects="1" scenarios="1"/>
  <pageMargins left="0.11811023622047245" right="0.11811023622047245" top="0.35433070866141736" bottom="0.35433070866141736" header="0.11811023622047245" footer="0.11811023622047245"/>
  <pageSetup scale="75" orientation="portrait" verticalDpi="0" r:id="rId1"/>
  <headerFooter>
    <oddFooter>&amp;L&amp;9&amp;Z&amp;F  &amp;A  &amp;D  &amp;T&amp;R&amp;P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3:L65"/>
  <sheetViews>
    <sheetView topLeftCell="A7" zoomScale="80" zoomScaleNormal="80" workbookViewId="0">
      <selection activeCell="L38" sqref="L38"/>
    </sheetView>
  </sheetViews>
  <sheetFormatPr defaultRowHeight="15" x14ac:dyDescent="0.25"/>
  <cols>
    <col min="1" max="1" width="36" customWidth="1"/>
    <col min="2" max="2" width="11.140625" bestFit="1" customWidth="1"/>
    <col min="3" max="3" width="15.28515625" bestFit="1" customWidth="1"/>
    <col min="4" max="4" width="12.5703125" bestFit="1" customWidth="1"/>
    <col min="5" max="5" width="12.85546875" bestFit="1" customWidth="1"/>
    <col min="6" max="7" width="12.140625" bestFit="1" customWidth="1"/>
    <col min="8" max="8" width="13.28515625" bestFit="1" customWidth="1"/>
    <col min="9" max="9" width="5.28515625" customWidth="1"/>
  </cols>
  <sheetData>
    <row r="3" spans="1:11" ht="5.25" customHeight="1" x14ac:dyDescent="0.25">
      <c r="A3" s="1"/>
      <c r="B3" s="1"/>
      <c r="E3" s="3"/>
    </row>
    <row r="4" spans="1:11" x14ac:dyDescent="0.25">
      <c r="A4" s="1"/>
      <c r="B4" s="1"/>
      <c r="E4" s="3"/>
    </row>
    <row r="5" spans="1:11" s="61" customFormat="1" x14ac:dyDescent="0.25">
      <c r="A5" s="60" t="s">
        <v>34</v>
      </c>
      <c r="B5" s="60"/>
    </row>
    <row r="6" spans="1:11" x14ac:dyDescent="0.25">
      <c r="A6" s="1" t="s">
        <v>5</v>
      </c>
      <c r="B6" s="1"/>
      <c r="E6" s="99" t="s">
        <v>72</v>
      </c>
      <c r="F6" s="99">
        <v>2017</v>
      </c>
    </row>
    <row r="7" spans="1:11" ht="15.75" thickBot="1" x14ac:dyDescent="0.3">
      <c r="A7" s="1"/>
      <c r="B7" s="1"/>
      <c r="E7" s="3"/>
      <c r="J7" s="3"/>
      <c r="K7" s="3"/>
    </row>
    <row r="8" spans="1:11" ht="15.75" thickBot="1" x14ac:dyDescent="0.3">
      <c r="A8" s="12"/>
      <c r="B8" s="12"/>
      <c r="C8" s="14" t="s">
        <v>12</v>
      </c>
      <c r="D8" s="15" t="s">
        <v>13</v>
      </c>
      <c r="E8" s="3"/>
      <c r="J8" s="3"/>
      <c r="K8" s="3"/>
    </row>
    <row r="9" spans="1:11" x14ac:dyDescent="0.25">
      <c r="A9" s="6" t="s">
        <v>9</v>
      </c>
      <c r="B9" s="51" t="s">
        <v>46</v>
      </c>
      <c r="C9" s="180"/>
      <c r="D9" s="189"/>
      <c r="J9" s="3"/>
      <c r="K9" s="3"/>
    </row>
    <row r="10" spans="1:11" ht="17.25" x14ac:dyDescent="0.25">
      <c r="A10" s="7" t="s">
        <v>7</v>
      </c>
      <c r="B10" s="52" t="s">
        <v>47</v>
      </c>
      <c r="C10" s="54">
        <v>956085</v>
      </c>
      <c r="D10" s="190"/>
      <c r="E10" s="100"/>
      <c r="G10" s="100"/>
      <c r="J10" s="3"/>
      <c r="K10" s="3"/>
    </row>
    <row r="11" spans="1:11" ht="17.25" x14ac:dyDescent="0.25">
      <c r="A11" s="7" t="s">
        <v>8</v>
      </c>
      <c r="B11" s="52" t="s">
        <v>48</v>
      </c>
      <c r="C11" s="54">
        <v>380359</v>
      </c>
      <c r="D11" s="190"/>
      <c r="E11" s="100"/>
      <c r="F11" s="102"/>
      <c r="G11" s="100"/>
      <c r="J11" s="3"/>
      <c r="K11" s="3"/>
    </row>
    <row r="12" spans="1:11" ht="17.25" x14ac:dyDescent="0.25">
      <c r="A12" s="7" t="s">
        <v>6</v>
      </c>
      <c r="B12" s="52" t="s">
        <v>49</v>
      </c>
      <c r="C12" s="54">
        <v>13051998</v>
      </c>
      <c r="D12" s="190"/>
      <c r="G12" s="100"/>
      <c r="J12" s="3"/>
      <c r="K12" s="3"/>
    </row>
    <row r="13" spans="1:11" ht="17.25" x14ac:dyDescent="0.25">
      <c r="A13" s="7" t="s">
        <v>10</v>
      </c>
      <c r="B13" s="52" t="s">
        <v>50</v>
      </c>
      <c r="C13" s="54">
        <v>3346356</v>
      </c>
      <c r="D13" s="190"/>
      <c r="G13" s="100"/>
      <c r="J13" s="3"/>
      <c r="K13" s="3"/>
    </row>
    <row r="14" spans="1:11" ht="17.25" x14ac:dyDescent="0.25">
      <c r="A14" s="7" t="s">
        <v>11</v>
      </c>
      <c r="B14" s="52" t="s">
        <v>51</v>
      </c>
      <c r="C14" s="55">
        <v>3486555</v>
      </c>
      <c r="D14" s="191"/>
      <c r="F14" s="102"/>
      <c r="G14" s="100"/>
      <c r="J14" s="3"/>
      <c r="K14" s="3"/>
    </row>
    <row r="15" spans="1:11" x14ac:dyDescent="0.25">
      <c r="A15" s="17" t="s">
        <v>92</v>
      </c>
      <c r="B15" s="30" t="s">
        <v>52</v>
      </c>
      <c r="C15" s="56">
        <f>SUM(C10:C14)</f>
        <v>21221353</v>
      </c>
      <c r="D15" s="191"/>
      <c r="J15" s="3"/>
      <c r="K15" s="3"/>
    </row>
    <row r="16" spans="1:11" x14ac:dyDescent="0.25">
      <c r="A16" s="8" t="s">
        <v>85</v>
      </c>
      <c r="B16" s="29" t="s">
        <v>53</v>
      </c>
      <c r="C16" s="58">
        <v>2.6878000000000002E-3</v>
      </c>
      <c r="D16" s="4"/>
      <c r="J16" s="3"/>
      <c r="K16" s="3"/>
    </row>
    <row r="17" spans="1:12" ht="17.25" x14ac:dyDescent="0.25">
      <c r="A17" s="8" t="s">
        <v>86</v>
      </c>
      <c r="B17" s="29" t="s">
        <v>54</v>
      </c>
      <c r="C17" s="181"/>
      <c r="D17" s="4"/>
      <c r="I17" s="3"/>
      <c r="J17" s="41"/>
      <c r="K17" s="3"/>
    </row>
    <row r="18" spans="1:12" ht="15.75" thickBot="1" x14ac:dyDescent="0.3">
      <c r="A18" s="9" t="s">
        <v>87</v>
      </c>
      <c r="B18" s="31" t="s">
        <v>55</v>
      </c>
      <c r="C18" s="188">
        <v>7.6144521588039069E-2</v>
      </c>
      <c r="D18" s="5"/>
      <c r="I18" s="3"/>
      <c r="J18" s="3"/>
      <c r="K18" s="3"/>
    </row>
    <row r="19" spans="1:12" ht="8.25" customHeight="1" thickBot="1" x14ac:dyDescent="0.3">
      <c r="B19" s="16"/>
      <c r="I19" s="3"/>
      <c r="J19" s="3"/>
      <c r="K19" s="3"/>
    </row>
    <row r="20" spans="1:12" ht="15.75" thickBot="1" x14ac:dyDescent="0.3">
      <c r="A20" s="22" t="s">
        <v>1</v>
      </c>
      <c r="B20" s="14"/>
      <c r="C20" s="23" t="s">
        <v>14</v>
      </c>
      <c r="D20" s="15" t="s">
        <v>15</v>
      </c>
      <c r="E20" s="24" t="s">
        <v>2</v>
      </c>
      <c r="F20" s="24" t="s">
        <v>3</v>
      </c>
      <c r="G20" s="15" t="s">
        <v>4</v>
      </c>
      <c r="H20" s="90" t="s">
        <v>65</v>
      </c>
      <c r="I20" s="42"/>
      <c r="J20" s="3"/>
      <c r="K20" s="3"/>
    </row>
    <row r="21" spans="1:12" x14ac:dyDescent="0.25">
      <c r="A21" s="8" t="s">
        <v>16</v>
      </c>
      <c r="B21" s="29" t="s">
        <v>56</v>
      </c>
      <c r="C21" s="32">
        <v>9.0999999999999998E-2</v>
      </c>
      <c r="D21" s="19">
        <v>0.106</v>
      </c>
      <c r="E21" s="25">
        <v>7.6999999999999999E-2</v>
      </c>
      <c r="F21" s="25">
        <v>0.113</v>
      </c>
      <c r="G21" s="19">
        <v>0.157</v>
      </c>
      <c r="H21" s="91"/>
      <c r="I21" s="43"/>
      <c r="J21" s="3"/>
      <c r="K21" s="3"/>
    </row>
    <row r="22" spans="1:12" x14ac:dyDescent="0.25">
      <c r="A22" s="7" t="s">
        <v>17</v>
      </c>
      <c r="B22" s="52" t="s">
        <v>57</v>
      </c>
      <c r="C22" s="192"/>
      <c r="D22" s="193"/>
      <c r="E22" s="194"/>
      <c r="F22" s="194"/>
      <c r="G22" s="190"/>
      <c r="H22" s="92"/>
      <c r="I22" s="44"/>
      <c r="J22" s="3"/>
      <c r="K22" s="3"/>
    </row>
    <row r="23" spans="1:12" x14ac:dyDescent="0.25">
      <c r="A23" s="8" t="s">
        <v>96</v>
      </c>
      <c r="B23" s="29" t="s">
        <v>58</v>
      </c>
      <c r="C23" s="33">
        <f>C10</f>
        <v>956085</v>
      </c>
      <c r="D23" s="20">
        <f>C11</f>
        <v>380359</v>
      </c>
      <c r="E23" s="26">
        <f>C12</f>
        <v>13051998</v>
      </c>
      <c r="F23" s="26">
        <f>C13</f>
        <v>3346356</v>
      </c>
      <c r="G23" s="20">
        <f>C14</f>
        <v>3486555</v>
      </c>
      <c r="H23" s="93">
        <f>SUM(C23:G23)</f>
        <v>21221353</v>
      </c>
      <c r="I23" s="45"/>
      <c r="J23" s="3"/>
      <c r="K23" s="3"/>
    </row>
    <row r="24" spans="1:12" ht="9.75" customHeight="1" x14ac:dyDescent="0.25">
      <c r="A24" s="8"/>
      <c r="B24" s="29"/>
      <c r="C24" s="10"/>
      <c r="D24" s="4"/>
      <c r="E24" s="27"/>
      <c r="F24" s="27"/>
      <c r="G24" s="4"/>
      <c r="H24" s="7"/>
      <c r="I24" s="2"/>
      <c r="J24" s="3"/>
    </row>
    <row r="25" spans="1:12" x14ac:dyDescent="0.25">
      <c r="A25" s="8" t="s">
        <v>93</v>
      </c>
      <c r="B25" s="29" t="s">
        <v>59</v>
      </c>
      <c r="C25" s="182">
        <f>C23*C21</f>
        <v>87003.735000000001</v>
      </c>
      <c r="D25" s="183">
        <f t="shared" ref="D25:G25" si="0">D23*D21</f>
        <v>40318.053999999996</v>
      </c>
      <c r="E25" s="184">
        <f t="shared" si="0"/>
        <v>1005003.846</v>
      </c>
      <c r="F25" s="184">
        <f t="shared" si="0"/>
        <v>378138.228</v>
      </c>
      <c r="G25" s="183">
        <f t="shared" si="0"/>
        <v>547389.13500000001</v>
      </c>
      <c r="H25" s="94">
        <f t="shared" ref="H25:H30" si="1">SUM(C25:G25)</f>
        <v>2057852.9979999999</v>
      </c>
      <c r="I25" s="46"/>
      <c r="J25" s="3"/>
    </row>
    <row r="26" spans="1:12" x14ac:dyDescent="0.25">
      <c r="A26" s="8" t="s">
        <v>94</v>
      </c>
      <c r="B26" s="29" t="s">
        <v>60</v>
      </c>
      <c r="C26" s="182">
        <f>C$23*$C$16</f>
        <v>2569.7652630000002</v>
      </c>
      <c r="D26" s="183">
        <f t="shared" ref="D26:G26" si="2">D$23*$C$16</f>
        <v>1022.3289202000001</v>
      </c>
      <c r="E26" s="184">
        <f t="shared" si="2"/>
        <v>35081.160224400002</v>
      </c>
      <c r="F26" s="184">
        <f t="shared" si="2"/>
        <v>8994.3356567999999</v>
      </c>
      <c r="G26" s="183">
        <f t="shared" si="2"/>
        <v>9371.1625290000011</v>
      </c>
      <c r="H26" s="94">
        <f t="shared" si="1"/>
        <v>57038.752593400008</v>
      </c>
      <c r="I26" s="46"/>
      <c r="J26" s="3"/>
    </row>
    <row r="27" spans="1:12" ht="15.75" thickBot="1" x14ac:dyDescent="0.3">
      <c r="A27" s="9" t="s">
        <v>95</v>
      </c>
      <c r="B27" s="31" t="s">
        <v>61</v>
      </c>
      <c r="C27" s="185">
        <f>C$23*$C$18</f>
        <v>72800.634922500336</v>
      </c>
      <c r="D27" s="186">
        <f t="shared" ref="D27:G27" si="3">D$23*$C$18</f>
        <v>28962.254086704954</v>
      </c>
      <c r="E27" s="187">
        <f t="shared" si="3"/>
        <v>993838.1434780428</v>
      </c>
      <c r="F27" s="187">
        <f t="shared" si="3"/>
        <v>254806.67668326406</v>
      </c>
      <c r="G27" s="186">
        <f t="shared" si="3"/>
        <v>265482.06246538553</v>
      </c>
      <c r="H27" s="95">
        <f t="shared" si="1"/>
        <v>1615889.7716358977</v>
      </c>
      <c r="I27" s="46"/>
      <c r="J27" s="3"/>
    </row>
    <row r="28" spans="1:12" x14ac:dyDescent="0.25">
      <c r="A28" s="17" t="s">
        <v>99</v>
      </c>
      <c r="B28" s="30" t="s">
        <v>62</v>
      </c>
      <c r="C28" s="35">
        <f>90155-72813+1</f>
        <v>17343</v>
      </c>
      <c r="D28" s="36">
        <f>35866-28967</f>
        <v>6899</v>
      </c>
      <c r="E28" s="37">
        <f>1230747-994003</f>
        <v>236744</v>
      </c>
      <c r="F28" s="37">
        <f>315547-254849</f>
        <v>60698</v>
      </c>
      <c r="G28" s="36">
        <f>328767-265526</f>
        <v>63241</v>
      </c>
      <c r="H28" s="98">
        <f t="shared" si="1"/>
        <v>384925</v>
      </c>
      <c r="I28" s="47"/>
      <c r="J28" s="49"/>
      <c r="L28" s="18"/>
    </row>
    <row r="29" spans="1:12" x14ac:dyDescent="0.25">
      <c r="A29" s="66" t="s">
        <v>97</v>
      </c>
      <c r="B29" s="67" t="s">
        <v>63</v>
      </c>
      <c r="C29" s="68">
        <f>IF(C28&gt;0,C28,0)</f>
        <v>17343</v>
      </c>
      <c r="D29" s="69">
        <f t="shared" ref="D29:G29" si="4">IF(D28&gt;0,D28,0)</f>
        <v>6899</v>
      </c>
      <c r="E29" s="70">
        <f t="shared" si="4"/>
        <v>236744</v>
      </c>
      <c r="F29" s="70">
        <f t="shared" si="4"/>
        <v>60698</v>
      </c>
      <c r="G29" s="69">
        <f t="shared" si="4"/>
        <v>63241</v>
      </c>
      <c r="H29" s="96">
        <f t="shared" si="1"/>
        <v>384925</v>
      </c>
      <c r="I29" s="48"/>
      <c r="J29" s="49"/>
      <c r="K29" s="18"/>
    </row>
    <row r="30" spans="1:12" ht="15.75" thickBot="1" x14ac:dyDescent="0.3">
      <c r="A30" s="71" t="s">
        <v>98</v>
      </c>
      <c r="B30" s="72" t="s">
        <v>64</v>
      </c>
      <c r="C30" s="73">
        <f>IF(C28&lt;0,C28*-1,0)</f>
        <v>0</v>
      </c>
      <c r="D30" s="74">
        <f t="shared" ref="D30:G30" si="5">IF(D28&lt;0,D28*-1,0)</f>
        <v>0</v>
      </c>
      <c r="E30" s="75">
        <f t="shared" si="5"/>
        <v>0</v>
      </c>
      <c r="F30" s="75">
        <f t="shared" si="5"/>
        <v>0</v>
      </c>
      <c r="G30" s="74">
        <f t="shared" si="5"/>
        <v>0</v>
      </c>
      <c r="H30" s="97">
        <f t="shared" si="1"/>
        <v>0</v>
      </c>
      <c r="I30" s="48"/>
      <c r="J30" s="49"/>
      <c r="K30" s="18"/>
    </row>
    <row r="31" spans="1:12" x14ac:dyDescent="0.25">
      <c r="B31" s="16"/>
      <c r="C31" s="18"/>
      <c r="D31" s="18"/>
      <c r="E31" s="18"/>
      <c r="F31" s="18"/>
      <c r="G31" s="18"/>
      <c r="H31" s="49"/>
      <c r="I31" s="49"/>
      <c r="J31" s="49"/>
      <c r="K31" s="18"/>
    </row>
    <row r="32" spans="1:12" x14ac:dyDescent="0.25">
      <c r="B32" s="16"/>
      <c r="C32" s="18"/>
      <c r="D32" s="18"/>
      <c r="E32" s="18"/>
      <c r="F32" s="18"/>
      <c r="G32" s="18"/>
      <c r="H32" s="18"/>
      <c r="I32" s="49"/>
      <c r="J32" s="49"/>
      <c r="K32" s="18"/>
    </row>
    <row r="33" spans="1:12" s="62" customFormat="1" x14ac:dyDescent="0.25">
      <c r="A33" s="65" t="s">
        <v>35</v>
      </c>
      <c r="B33" s="63"/>
      <c r="C33" s="64"/>
      <c r="D33" s="64"/>
      <c r="E33" s="64"/>
      <c r="F33" s="64"/>
      <c r="G33" s="64"/>
      <c r="H33" s="64"/>
      <c r="I33" s="64"/>
      <c r="J33" s="64"/>
      <c r="K33" s="64"/>
    </row>
    <row r="34" spans="1:12" x14ac:dyDescent="0.25">
      <c r="A34" s="1" t="s">
        <v>5</v>
      </c>
      <c r="B34" s="1"/>
      <c r="E34" s="3"/>
      <c r="F34" s="118"/>
      <c r="G34" s="3"/>
    </row>
    <row r="35" spans="1:12" ht="15.75" thickBot="1" x14ac:dyDescent="0.3">
      <c r="B35" s="16"/>
      <c r="C35" s="18"/>
      <c r="D35" s="18"/>
      <c r="E35" s="18"/>
      <c r="F35" s="18"/>
      <c r="G35" s="18"/>
      <c r="H35" s="18"/>
      <c r="I35" s="49"/>
      <c r="J35" s="49"/>
      <c r="K35" s="18"/>
    </row>
    <row r="36" spans="1:12" ht="30.75" thickBot="1" x14ac:dyDescent="0.3">
      <c r="A36" s="12"/>
      <c r="B36" s="12"/>
      <c r="C36" s="14" t="s">
        <v>12</v>
      </c>
      <c r="D36" s="15" t="s">
        <v>13</v>
      </c>
      <c r="E36" s="3"/>
      <c r="G36" s="159" t="s">
        <v>84</v>
      </c>
      <c r="J36" s="105"/>
    </row>
    <row r="37" spans="1:12" x14ac:dyDescent="0.25">
      <c r="A37" s="6" t="s">
        <v>9</v>
      </c>
      <c r="B37" s="51" t="s">
        <v>21</v>
      </c>
      <c r="C37" s="53">
        <v>38390729.510000028</v>
      </c>
      <c r="D37" s="13">
        <f>C37/C37</f>
        <v>1</v>
      </c>
    </row>
    <row r="38" spans="1:12" ht="17.25" x14ac:dyDescent="0.25">
      <c r="A38" s="7" t="s">
        <v>103</v>
      </c>
      <c r="B38" s="52" t="s">
        <v>22</v>
      </c>
      <c r="C38" s="54">
        <f>G38*D38</f>
        <v>863547.83146997751</v>
      </c>
      <c r="D38" s="156">
        <v>0.66881107410947005</v>
      </c>
      <c r="F38" s="100">
        <f>G38/G43</f>
        <v>6.7597807110597888E-2</v>
      </c>
      <c r="G38" s="101">
        <v>1291168.5599999996</v>
      </c>
    </row>
    <row r="39" spans="1:12" ht="17.25" x14ac:dyDescent="0.25">
      <c r="A39" s="7" t="s">
        <v>104</v>
      </c>
      <c r="B39" s="52" t="s">
        <v>23</v>
      </c>
      <c r="C39" s="54">
        <f>G38*D39</f>
        <v>427620.72853002214</v>
      </c>
      <c r="D39" s="156">
        <v>0.33118892589052995</v>
      </c>
      <c r="F39" s="100"/>
    </row>
    <row r="40" spans="1:12" ht="17.25" x14ac:dyDescent="0.25">
      <c r="A40" s="7" t="s">
        <v>105</v>
      </c>
      <c r="B40" s="52" t="s">
        <v>24</v>
      </c>
      <c r="C40" s="54">
        <f>G40*D40</f>
        <v>11573929.365160177</v>
      </c>
      <c r="D40" s="156">
        <v>0.64987107348185924</v>
      </c>
      <c r="F40" s="100">
        <f>G40/G43</f>
        <v>0.93240219288940218</v>
      </c>
      <c r="G40" s="101">
        <v>17809577.680000026</v>
      </c>
    </row>
    <row r="41" spans="1:12" ht="17.25" x14ac:dyDescent="0.25">
      <c r="A41" s="7" t="s">
        <v>106</v>
      </c>
      <c r="B41" s="52" t="s">
        <v>25</v>
      </c>
      <c r="C41" s="54">
        <f>G40*D41</f>
        <v>2994738.2797844503</v>
      </c>
      <c r="D41" s="156">
        <v>0.16815324504564255</v>
      </c>
      <c r="F41" s="100"/>
    </row>
    <row r="42" spans="1:12" ht="17.25" x14ac:dyDescent="0.25">
      <c r="A42" s="7" t="s">
        <v>107</v>
      </c>
      <c r="B42" s="52" t="s">
        <v>26</v>
      </c>
      <c r="C42" s="55">
        <f>G40*D42</f>
        <v>3240910.0350553985</v>
      </c>
      <c r="D42" s="157">
        <v>0.18197568147249821</v>
      </c>
      <c r="F42" s="100"/>
    </row>
    <row r="43" spans="1:12" x14ac:dyDescent="0.25">
      <c r="A43" s="17" t="s">
        <v>108</v>
      </c>
      <c r="B43" s="30" t="s">
        <v>27</v>
      </c>
      <c r="C43" s="56">
        <f>SUM(C38:C42)</f>
        <v>19100746.240000024</v>
      </c>
      <c r="D43" s="11">
        <f>C43/C37</f>
        <v>0.49753538116603535</v>
      </c>
      <c r="E43" s="127"/>
      <c r="F43" s="100">
        <f>C43/G43</f>
        <v>1</v>
      </c>
      <c r="G43" s="101">
        <v>19100746.240000024</v>
      </c>
      <c r="H43" s="102">
        <f>F38+F40-F43</f>
        <v>0</v>
      </c>
    </row>
    <row r="44" spans="1:12" x14ac:dyDescent="0.25">
      <c r="A44" s="8" t="s">
        <v>0</v>
      </c>
      <c r="B44" s="29" t="s">
        <v>28</v>
      </c>
      <c r="C44" s="57">
        <f>D45/C45</f>
        <v>3.294447114872299E-3</v>
      </c>
      <c r="D44" s="4"/>
      <c r="E44" s="128"/>
      <c r="J44" s="3"/>
    </row>
    <row r="45" spans="1:12" ht="17.25" x14ac:dyDescent="0.25">
      <c r="A45" s="8" t="s">
        <v>81</v>
      </c>
      <c r="B45" s="29" t="s">
        <v>29</v>
      </c>
      <c r="C45" s="54">
        <v>37865343</v>
      </c>
      <c r="D45" s="50">
        <v>124745.37</v>
      </c>
      <c r="J45" s="3"/>
      <c r="L45" s="105"/>
    </row>
    <row r="46" spans="1:12" ht="17.25" x14ac:dyDescent="0.25">
      <c r="A46" s="8" t="s">
        <v>32</v>
      </c>
      <c r="B46" s="29" t="s">
        <v>30</v>
      </c>
      <c r="C46" s="58">
        <v>123.07</v>
      </c>
      <c r="D46" s="4"/>
      <c r="E46" s="127"/>
      <c r="I46" s="3"/>
      <c r="J46" s="41"/>
    </row>
    <row r="47" spans="1:12" ht="15.75" thickBot="1" x14ac:dyDescent="0.3">
      <c r="A47" s="9" t="s">
        <v>33</v>
      </c>
      <c r="B47" s="31" t="s">
        <v>31</v>
      </c>
      <c r="C47" s="59">
        <f>C46/1000</f>
        <v>0.12307</v>
      </c>
      <c r="D47" s="5"/>
      <c r="E47" s="128"/>
      <c r="H47" s="3"/>
      <c r="I47" s="3"/>
      <c r="J47" s="3"/>
    </row>
    <row r="48" spans="1:12" ht="15.75" thickBot="1" x14ac:dyDescent="0.3">
      <c r="B48" s="16"/>
      <c r="H48" s="3"/>
      <c r="I48" s="3"/>
      <c r="J48" s="3"/>
    </row>
    <row r="49" spans="1:11" ht="15.75" thickBot="1" x14ac:dyDescent="0.3">
      <c r="A49" s="22" t="s">
        <v>88</v>
      </c>
      <c r="B49" s="14"/>
      <c r="C49" s="23" t="s">
        <v>14</v>
      </c>
      <c r="D49" s="15" t="s">
        <v>15</v>
      </c>
      <c r="E49" s="24" t="s">
        <v>2</v>
      </c>
      <c r="F49" s="24" t="s">
        <v>3</v>
      </c>
      <c r="G49" s="15" t="s">
        <v>4</v>
      </c>
      <c r="H49" s="90" t="s">
        <v>65</v>
      </c>
      <c r="I49" s="42"/>
      <c r="J49" s="3"/>
    </row>
    <row r="50" spans="1:11" x14ac:dyDescent="0.25">
      <c r="A50" s="8" t="s">
        <v>16</v>
      </c>
      <c r="B50" s="29" t="s">
        <v>37</v>
      </c>
      <c r="C50" s="114">
        <f>C21</f>
        <v>9.0999999999999998E-2</v>
      </c>
      <c r="D50" s="115">
        <f t="shared" ref="D50:G50" si="6">D21</f>
        <v>0.106</v>
      </c>
      <c r="E50" s="116">
        <f t="shared" si="6"/>
        <v>7.6999999999999999E-2</v>
      </c>
      <c r="F50" s="116">
        <f t="shared" si="6"/>
        <v>0.113</v>
      </c>
      <c r="G50" s="115">
        <f t="shared" si="6"/>
        <v>0.157</v>
      </c>
      <c r="H50" s="91"/>
      <c r="I50" s="43"/>
      <c r="J50" s="3"/>
    </row>
    <row r="51" spans="1:11" x14ac:dyDescent="0.25">
      <c r="A51" s="7" t="s">
        <v>17</v>
      </c>
      <c r="B51" s="52" t="s">
        <v>38</v>
      </c>
      <c r="C51" s="192"/>
      <c r="D51" s="193"/>
      <c r="E51" s="194"/>
      <c r="F51" s="194"/>
      <c r="G51" s="190"/>
      <c r="H51" s="92"/>
      <c r="I51" s="44"/>
      <c r="J51" s="3"/>
    </row>
    <row r="52" spans="1:11" x14ac:dyDescent="0.25">
      <c r="A52" s="8" t="s">
        <v>109</v>
      </c>
      <c r="B52" s="29" t="s">
        <v>39</v>
      </c>
      <c r="C52" s="33">
        <f>C38</f>
        <v>863547.83146997751</v>
      </c>
      <c r="D52" s="20">
        <f>C39</f>
        <v>427620.72853002214</v>
      </c>
      <c r="E52" s="26">
        <f>C40</f>
        <v>11573929.365160177</v>
      </c>
      <c r="F52" s="26">
        <f>C41</f>
        <v>2994738.2797844503</v>
      </c>
      <c r="G52" s="20">
        <f>C42</f>
        <v>3240910.0350553985</v>
      </c>
      <c r="H52" s="93">
        <f>SUM(C52:G52)</f>
        <v>19100746.240000024</v>
      </c>
      <c r="I52" s="45"/>
      <c r="J52" s="3"/>
    </row>
    <row r="53" spans="1:11" x14ac:dyDescent="0.25">
      <c r="A53" s="8"/>
      <c r="B53" s="29"/>
      <c r="C53" s="10"/>
      <c r="D53" s="4"/>
      <c r="E53" s="27"/>
      <c r="F53" s="27"/>
      <c r="G53" s="4"/>
      <c r="H53" s="7"/>
      <c r="I53" s="2"/>
      <c r="J53" s="3"/>
    </row>
    <row r="54" spans="1:11" x14ac:dyDescent="0.25">
      <c r="A54" s="8" t="s">
        <v>89</v>
      </c>
      <c r="B54" s="29" t="s">
        <v>40</v>
      </c>
      <c r="C54" s="34">
        <f>C52*C50</f>
        <v>78582.852663767946</v>
      </c>
      <c r="D54" s="21">
        <f t="shared" ref="D54" si="7">D52*D50</f>
        <v>45327.797224182345</v>
      </c>
      <c r="E54" s="28">
        <f>E52*E50</f>
        <v>891192.56111733359</v>
      </c>
      <c r="F54" s="28">
        <f t="shared" ref="F54:G54" si="8">F52*F50</f>
        <v>338405.42561564292</v>
      </c>
      <c r="G54" s="21">
        <f t="shared" si="8"/>
        <v>508822.87550369755</v>
      </c>
      <c r="H54" s="94">
        <f t="shared" ref="H54:H59" si="9">SUM(C54:G54)</f>
        <v>1862331.5121246241</v>
      </c>
      <c r="I54" s="46"/>
      <c r="J54" s="3"/>
    </row>
    <row r="55" spans="1:11" x14ac:dyDescent="0.25">
      <c r="A55" s="8" t="s">
        <v>90</v>
      </c>
      <c r="B55" s="29" t="s">
        <v>41</v>
      </c>
      <c r="C55" s="34">
        <f>C52*$C$44</f>
        <v>2844.9126619404979</v>
      </c>
      <c r="D55" s="21">
        <f t="shared" ref="D55:G55" si="10">D52*$C$44</f>
        <v>1408.7738753653221</v>
      </c>
      <c r="E55" s="28">
        <f t="shared" si="10"/>
        <v>38129.698204787725</v>
      </c>
      <c r="F55" s="28">
        <f t="shared" si="10"/>
        <v>9866.0068856335147</v>
      </c>
      <c r="G55" s="21">
        <f t="shared" si="10"/>
        <v>10677.006714548939</v>
      </c>
      <c r="H55" s="94">
        <f t="shared" si="9"/>
        <v>62926.398342275992</v>
      </c>
      <c r="I55" s="46"/>
      <c r="J55" s="3"/>
    </row>
    <row r="56" spans="1:11" ht="15.75" thickBot="1" x14ac:dyDescent="0.3">
      <c r="A56" s="9" t="s">
        <v>91</v>
      </c>
      <c r="B56" s="31" t="s">
        <v>42</v>
      </c>
      <c r="C56" s="38">
        <f>C52*$C$47</f>
        <v>106276.83161901013</v>
      </c>
      <c r="D56" s="39">
        <f t="shared" ref="D56:G56" si="11">D52*$C$47</f>
        <v>52627.283060189824</v>
      </c>
      <c r="E56" s="40">
        <f t="shared" si="11"/>
        <v>1424403.4869702628</v>
      </c>
      <c r="F56" s="40">
        <f t="shared" si="11"/>
        <v>368562.44009307231</v>
      </c>
      <c r="G56" s="39">
        <f t="shared" si="11"/>
        <v>398858.79801426787</v>
      </c>
      <c r="H56" s="95">
        <f t="shared" si="9"/>
        <v>2350728.8397568031</v>
      </c>
      <c r="I56" s="46"/>
      <c r="J56" s="3"/>
    </row>
    <row r="57" spans="1:11" x14ac:dyDescent="0.25">
      <c r="A57" s="17" t="s">
        <v>20</v>
      </c>
      <c r="B57" s="30" t="s">
        <v>43</v>
      </c>
      <c r="C57" s="35">
        <f>C54-C55-C56</f>
        <v>-30538.891617182686</v>
      </c>
      <c r="D57" s="36">
        <f t="shared" ref="D57:G57" si="12">D54-D55-D56</f>
        <v>-8708.2597113728043</v>
      </c>
      <c r="E57" s="37">
        <f t="shared" si="12"/>
        <v>-571340.62405771692</v>
      </c>
      <c r="F57" s="37">
        <f t="shared" si="12"/>
        <v>-40023.0213630629</v>
      </c>
      <c r="G57" s="36">
        <f t="shared" si="12"/>
        <v>99287.070774880762</v>
      </c>
      <c r="H57" s="98">
        <f t="shared" si="9"/>
        <v>-551323.72597445454</v>
      </c>
      <c r="I57" s="47"/>
      <c r="J57" s="3"/>
    </row>
    <row r="58" spans="1:11" x14ac:dyDescent="0.25">
      <c r="A58" s="76" t="s">
        <v>18</v>
      </c>
      <c r="B58" s="77" t="s">
        <v>44</v>
      </c>
      <c r="C58" s="78">
        <f>IF(C57&gt;0,C57,0)</f>
        <v>0</v>
      </c>
      <c r="D58" s="79">
        <f t="shared" ref="D58:G58" si="13">IF(D57&gt;0,D57,0)</f>
        <v>0</v>
      </c>
      <c r="E58" s="80">
        <f t="shared" si="13"/>
        <v>0</v>
      </c>
      <c r="F58" s="80">
        <f t="shared" si="13"/>
        <v>0</v>
      </c>
      <c r="G58" s="79">
        <f t="shared" si="13"/>
        <v>99287.070774880762</v>
      </c>
      <c r="H58" s="96">
        <f t="shared" si="9"/>
        <v>99287.070774880762</v>
      </c>
      <c r="I58" s="48"/>
      <c r="J58" s="49"/>
      <c r="K58" s="18"/>
    </row>
    <row r="59" spans="1:11" ht="15.75" thickBot="1" x14ac:dyDescent="0.3">
      <c r="A59" s="81" t="s">
        <v>19</v>
      </c>
      <c r="B59" s="82" t="s">
        <v>45</v>
      </c>
      <c r="C59" s="83">
        <f>IF(C57&lt;0,C57*-1,0)</f>
        <v>30538.891617182686</v>
      </c>
      <c r="D59" s="84">
        <f t="shared" ref="D59:G59" si="14">IF(D57&lt;0,D57*-1,0)</f>
        <v>8708.2597113728043</v>
      </c>
      <c r="E59" s="85">
        <f t="shared" si="14"/>
        <v>571340.62405771692</v>
      </c>
      <c r="F59" s="85">
        <f t="shared" si="14"/>
        <v>40023.0213630629</v>
      </c>
      <c r="G59" s="84">
        <f t="shared" si="14"/>
        <v>0</v>
      </c>
      <c r="H59" s="97">
        <f t="shared" si="9"/>
        <v>650610.79674933536</v>
      </c>
      <c r="I59" s="48"/>
      <c r="J59" s="49"/>
      <c r="K59" s="18"/>
    </row>
    <row r="60" spans="1:11" x14ac:dyDescent="0.25">
      <c r="B60" s="16"/>
      <c r="C60" s="18"/>
      <c r="D60" s="18"/>
      <c r="E60" s="18"/>
      <c r="F60" s="18"/>
      <c r="G60" s="18"/>
      <c r="H60" s="49"/>
      <c r="I60" s="49"/>
      <c r="J60" s="49"/>
      <c r="K60" s="18"/>
    </row>
    <row r="61" spans="1:11" ht="15.75" thickBot="1" x14ac:dyDescent="0.3">
      <c r="A61" s="86" t="s">
        <v>36</v>
      </c>
      <c r="H61" s="3"/>
      <c r="I61" s="3"/>
    </row>
    <row r="62" spans="1:11" x14ac:dyDescent="0.25">
      <c r="A62" s="6" t="s">
        <v>100</v>
      </c>
      <c r="B62" s="51"/>
      <c r="C62" s="87">
        <f>C57-C28</f>
        <v>-47881.891617182686</v>
      </c>
      <c r="D62" s="88">
        <f t="shared" ref="D62:G62" si="15">D57-D28</f>
        <v>-15607.259711372804</v>
      </c>
      <c r="E62" s="89">
        <f t="shared" si="15"/>
        <v>-808084.62405771692</v>
      </c>
      <c r="F62" s="89">
        <f t="shared" si="15"/>
        <v>-100721.0213630629</v>
      </c>
      <c r="G62" s="88">
        <f t="shared" si="15"/>
        <v>36046.070774880762</v>
      </c>
      <c r="H62" s="98">
        <f t="shared" ref="H62:H64" si="16">SUM(C62:G62)</f>
        <v>-936248.72597445454</v>
      </c>
    </row>
    <row r="63" spans="1:11" x14ac:dyDescent="0.25">
      <c r="A63" s="76" t="s">
        <v>101</v>
      </c>
      <c r="B63" s="77" t="s">
        <v>66</v>
      </c>
      <c r="C63" s="78">
        <f>IF(C62&gt;0,C62,0)</f>
        <v>0</v>
      </c>
      <c r="D63" s="79">
        <f t="shared" ref="D63:G63" si="17">IF(D62&gt;0,D62,0)</f>
        <v>0</v>
      </c>
      <c r="E63" s="80">
        <f t="shared" si="17"/>
        <v>0</v>
      </c>
      <c r="F63" s="80">
        <f t="shared" si="17"/>
        <v>0</v>
      </c>
      <c r="G63" s="79">
        <f t="shared" si="17"/>
        <v>36046.070774880762</v>
      </c>
      <c r="H63" s="96">
        <f t="shared" si="16"/>
        <v>36046.070774880762</v>
      </c>
    </row>
    <row r="64" spans="1:11" ht="15.75" thickBot="1" x14ac:dyDescent="0.3">
      <c r="A64" s="81" t="s">
        <v>102</v>
      </c>
      <c r="B64" s="82" t="s">
        <v>67</v>
      </c>
      <c r="C64" s="83">
        <f>IF(C62&lt;0,C62*-1,0)</f>
        <v>47881.891617182686</v>
      </c>
      <c r="D64" s="84">
        <f t="shared" ref="D64:G64" si="18">IF(D62&lt;0,D62*-1,0)</f>
        <v>15607.259711372804</v>
      </c>
      <c r="E64" s="85">
        <f t="shared" si="18"/>
        <v>808084.62405771692</v>
      </c>
      <c r="F64" s="85">
        <f t="shared" si="18"/>
        <v>100721.0213630629</v>
      </c>
      <c r="G64" s="84">
        <f t="shared" si="18"/>
        <v>0</v>
      </c>
      <c r="H64" s="97">
        <f t="shared" si="16"/>
        <v>972294.79674933536</v>
      </c>
    </row>
    <row r="65" spans="1:8" ht="15.75" thickBot="1" x14ac:dyDescent="0.3">
      <c r="A65" s="151" t="s">
        <v>83</v>
      </c>
      <c r="B65" s="14"/>
      <c r="C65" s="152">
        <f>C52-C23</f>
        <v>-92537.168530022493</v>
      </c>
      <c r="D65" s="153">
        <f t="shared" ref="D65:G65" si="19">D52-D23</f>
        <v>47261.728530022141</v>
      </c>
      <c r="E65" s="154">
        <f t="shared" si="19"/>
        <v>-1478068.6348398235</v>
      </c>
      <c r="F65" s="154">
        <f t="shared" si="19"/>
        <v>-351617.72021554969</v>
      </c>
      <c r="G65" s="153">
        <f t="shared" si="19"/>
        <v>-245644.96494460152</v>
      </c>
      <c r="H65" s="155">
        <f>SUM(C65:G65)</f>
        <v>-2120606.7599999751</v>
      </c>
    </row>
  </sheetData>
  <sheetProtection password="CC7B" sheet="1" objects="1" scenarios="1"/>
  <pageMargins left="0.11811023622047245" right="0.11811023622047245" top="0.35433070866141736" bottom="0.35433070866141736" header="0.11811023622047245" footer="0.11811023622047245"/>
  <pageSetup scale="75" orientation="portrait" verticalDpi="0" r:id="rId1"/>
  <headerFooter>
    <oddFooter>&amp;L&amp;9&amp;Z&amp;F  &amp;A  &amp;D  &amp;T&amp;R&amp;P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3:L65"/>
  <sheetViews>
    <sheetView zoomScale="80" zoomScaleNormal="80" workbookViewId="0">
      <selection activeCell="L38" sqref="L38"/>
    </sheetView>
  </sheetViews>
  <sheetFormatPr defaultRowHeight="15" x14ac:dyDescent="0.25"/>
  <cols>
    <col min="1" max="1" width="36" customWidth="1"/>
    <col min="2" max="2" width="11.140625" bestFit="1" customWidth="1"/>
    <col min="3" max="3" width="15.28515625" bestFit="1" customWidth="1"/>
    <col min="4" max="4" width="12.5703125" bestFit="1" customWidth="1"/>
    <col min="5" max="5" width="12.85546875" bestFit="1" customWidth="1"/>
    <col min="6" max="7" width="12.140625" bestFit="1" customWidth="1"/>
    <col min="8" max="8" width="13.28515625" bestFit="1" customWidth="1"/>
    <col min="9" max="9" width="5.28515625" customWidth="1"/>
    <col min="12" max="12" width="11.42578125" bestFit="1" customWidth="1"/>
  </cols>
  <sheetData>
    <row r="3" spans="1:11" ht="5.25" customHeight="1" x14ac:dyDescent="0.25">
      <c r="A3" s="1"/>
      <c r="B3" s="1"/>
      <c r="E3" s="3"/>
    </row>
    <row r="4" spans="1:11" x14ac:dyDescent="0.25">
      <c r="A4" s="1"/>
      <c r="B4" s="1"/>
      <c r="E4" s="3"/>
    </row>
    <row r="5" spans="1:11" s="61" customFormat="1" x14ac:dyDescent="0.25">
      <c r="A5" s="60" t="s">
        <v>34</v>
      </c>
      <c r="B5" s="60"/>
    </row>
    <row r="6" spans="1:11" x14ac:dyDescent="0.25">
      <c r="A6" s="1" t="s">
        <v>5</v>
      </c>
      <c r="B6" s="1"/>
      <c r="E6" s="99" t="s">
        <v>73</v>
      </c>
      <c r="F6" s="99">
        <v>2017</v>
      </c>
    </row>
    <row r="7" spans="1:11" ht="15.75" thickBot="1" x14ac:dyDescent="0.3">
      <c r="A7" s="1"/>
      <c r="B7" s="1"/>
      <c r="E7" s="3"/>
      <c r="J7" s="3"/>
      <c r="K7" s="3"/>
    </row>
    <row r="8" spans="1:11" ht="15.75" thickBot="1" x14ac:dyDescent="0.3">
      <c r="A8" s="12"/>
      <c r="B8" s="12"/>
      <c r="C8" s="14" t="s">
        <v>12</v>
      </c>
      <c r="D8" s="15" t="s">
        <v>13</v>
      </c>
      <c r="E8" s="3"/>
      <c r="J8" s="3"/>
      <c r="K8" s="3"/>
    </row>
    <row r="9" spans="1:11" x14ac:dyDescent="0.25">
      <c r="A9" s="6" t="s">
        <v>9</v>
      </c>
      <c r="B9" s="51" t="s">
        <v>46</v>
      </c>
      <c r="C9" s="180"/>
      <c r="D9" s="189"/>
      <c r="J9" s="3"/>
      <c r="K9" s="3"/>
    </row>
    <row r="10" spans="1:11" ht="17.25" x14ac:dyDescent="0.25">
      <c r="A10" s="7" t="s">
        <v>7</v>
      </c>
      <c r="B10" s="52" t="s">
        <v>47</v>
      </c>
      <c r="C10" s="54">
        <v>815034</v>
      </c>
      <c r="D10" s="190"/>
      <c r="E10" s="100"/>
      <c r="G10" s="100"/>
      <c r="J10" s="3"/>
      <c r="K10" s="3"/>
    </row>
    <row r="11" spans="1:11" ht="17.25" x14ac:dyDescent="0.25">
      <c r="A11" s="7" t="s">
        <v>8</v>
      </c>
      <c r="B11" s="52" t="s">
        <v>48</v>
      </c>
      <c r="C11" s="54">
        <v>523693</v>
      </c>
      <c r="D11" s="190"/>
      <c r="E11" s="100"/>
      <c r="F11" s="102"/>
      <c r="G11" s="100"/>
      <c r="J11" s="3"/>
      <c r="K11" s="3"/>
    </row>
    <row r="12" spans="1:11" ht="17.25" x14ac:dyDescent="0.25">
      <c r="A12" s="7" t="s">
        <v>6</v>
      </c>
      <c r="B12" s="52" t="s">
        <v>49</v>
      </c>
      <c r="C12" s="54">
        <v>11419155</v>
      </c>
      <c r="D12" s="190"/>
      <c r="G12" s="100"/>
      <c r="J12" s="3"/>
      <c r="K12" s="3"/>
    </row>
    <row r="13" spans="1:11" ht="17.25" x14ac:dyDescent="0.25">
      <c r="A13" s="7" t="s">
        <v>10</v>
      </c>
      <c r="B13" s="52" t="s">
        <v>50</v>
      </c>
      <c r="C13" s="54">
        <v>3109591</v>
      </c>
      <c r="D13" s="190"/>
      <c r="G13" s="100"/>
      <c r="J13" s="3"/>
      <c r="K13" s="3"/>
    </row>
    <row r="14" spans="1:11" ht="17.25" x14ac:dyDescent="0.25">
      <c r="A14" s="7" t="s">
        <v>11</v>
      </c>
      <c r="B14" s="52" t="s">
        <v>51</v>
      </c>
      <c r="C14" s="55">
        <v>2970108</v>
      </c>
      <c r="D14" s="191"/>
      <c r="F14" s="102"/>
      <c r="G14" s="100"/>
      <c r="J14" s="3"/>
      <c r="K14" s="3"/>
    </row>
    <row r="15" spans="1:11" x14ac:dyDescent="0.25">
      <c r="A15" s="17" t="s">
        <v>92</v>
      </c>
      <c r="B15" s="30" t="s">
        <v>52</v>
      </c>
      <c r="C15" s="56">
        <f>SUM(C10:C14)</f>
        <v>18837581</v>
      </c>
      <c r="D15" s="191"/>
      <c r="J15" s="3"/>
      <c r="K15" s="3"/>
    </row>
    <row r="16" spans="1:11" x14ac:dyDescent="0.25">
      <c r="A16" s="8" t="s">
        <v>85</v>
      </c>
      <c r="B16" s="29" t="s">
        <v>53</v>
      </c>
      <c r="C16" s="58">
        <v>2.1810000000000002E-3</v>
      </c>
      <c r="D16" s="4"/>
      <c r="J16" s="3"/>
      <c r="K16" s="3"/>
    </row>
    <row r="17" spans="1:12" ht="17.25" x14ac:dyDescent="0.25">
      <c r="A17" s="8" t="s">
        <v>86</v>
      </c>
      <c r="B17" s="29" t="s">
        <v>54</v>
      </c>
      <c r="C17" s="181"/>
      <c r="D17" s="4"/>
      <c r="I17" s="3"/>
      <c r="J17" s="41"/>
      <c r="K17" s="3"/>
    </row>
    <row r="18" spans="1:12" ht="15.75" thickBot="1" x14ac:dyDescent="0.3">
      <c r="A18" s="9" t="s">
        <v>87</v>
      </c>
      <c r="B18" s="31" t="s">
        <v>55</v>
      </c>
      <c r="C18" s="188">
        <v>0.10589999999999999</v>
      </c>
      <c r="D18" s="5"/>
      <c r="I18" s="3"/>
      <c r="J18" s="3"/>
      <c r="K18" s="3"/>
    </row>
    <row r="19" spans="1:12" ht="8.25" customHeight="1" thickBot="1" x14ac:dyDescent="0.3">
      <c r="B19" s="16"/>
      <c r="I19" s="3"/>
      <c r="J19" s="3"/>
      <c r="K19" s="3"/>
    </row>
    <row r="20" spans="1:12" ht="15.75" thickBot="1" x14ac:dyDescent="0.3">
      <c r="A20" s="22" t="s">
        <v>1</v>
      </c>
      <c r="B20" s="14"/>
      <c r="C20" s="23" t="s">
        <v>14</v>
      </c>
      <c r="D20" s="15" t="s">
        <v>15</v>
      </c>
      <c r="E20" s="24" t="s">
        <v>2</v>
      </c>
      <c r="F20" s="24" t="s">
        <v>3</v>
      </c>
      <c r="G20" s="15" t="s">
        <v>4</v>
      </c>
      <c r="H20" s="90" t="s">
        <v>65</v>
      </c>
      <c r="I20" s="42"/>
      <c r="J20" s="3"/>
      <c r="K20" s="3"/>
    </row>
    <row r="21" spans="1:12" x14ac:dyDescent="0.25">
      <c r="A21" s="8" t="s">
        <v>16</v>
      </c>
      <c r="B21" s="29" t="s">
        <v>56</v>
      </c>
      <c r="C21" s="32">
        <v>9.0999999999999998E-2</v>
      </c>
      <c r="D21" s="19">
        <v>0.106</v>
      </c>
      <c r="E21" s="25">
        <v>7.6999999999999999E-2</v>
      </c>
      <c r="F21" s="25">
        <v>0.113</v>
      </c>
      <c r="G21" s="19">
        <v>0.157</v>
      </c>
      <c r="H21" s="91"/>
      <c r="I21" s="43"/>
      <c r="J21" s="3"/>
      <c r="K21" s="3"/>
    </row>
    <row r="22" spans="1:12" x14ac:dyDescent="0.25">
      <c r="A22" s="7" t="s">
        <v>17</v>
      </c>
      <c r="B22" s="52" t="s">
        <v>57</v>
      </c>
      <c r="C22" s="192"/>
      <c r="D22" s="193"/>
      <c r="E22" s="194"/>
      <c r="F22" s="194"/>
      <c r="G22" s="190"/>
      <c r="H22" s="92"/>
      <c r="I22" s="44"/>
      <c r="J22" s="3"/>
      <c r="K22" s="3"/>
    </row>
    <row r="23" spans="1:12" x14ac:dyDescent="0.25">
      <c r="A23" s="8" t="s">
        <v>96</v>
      </c>
      <c r="B23" s="29" t="s">
        <v>58</v>
      </c>
      <c r="C23" s="33">
        <f>C10</f>
        <v>815034</v>
      </c>
      <c r="D23" s="20">
        <f>C11</f>
        <v>523693</v>
      </c>
      <c r="E23" s="26">
        <f>C12</f>
        <v>11419155</v>
      </c>
      <c r="F23" s="26">
        <f>C13</f>
        <v>3109591</v>
      </c>
      <c r="G23" s="20">
        <f>C14</f>
        <v>2970108</v>
      </c>
      <c r="H23" s="93">
        <f>SUM(C23:G23)</f>
        <v>18837581</v>
      </c>
      <c r="I23" s="45"/>
      <c r="J23" s="3"/>
      <c r="K23" s="3"/>
    </row>
    <row r="24" spans="1:12" ht="9.75" customHeight="1" x14ac:dyDescent="0.25">
      <c r="A24" s="8"/>
      <c r="B24" s="29"/>
      <c r="C24" s="10"/>
      <c r="D24" s="4"/>
      <c r="E24" s="27"/>
      <c r="F24" s="27"/>
      <c r="G24" s="4"/>
      <c r="H24" s="7"/>
      <c r="I24" s="2"/>
      <c r="J24" s="3"/>
    </row>
    <row r="25" spans="1:12" x14ac:dyDescent="0.25">
      <c r="A25" s="8" t="s">
        <v>93</v>
      </c>
      <c r="B25" s="29" t="s">
        <v>59</v>
      </c>
      <c r="C25" s="182">
        <f t="shared" ref="C25:D25" si="0">C23*C21</f>
        <v>74168.093999999997</v>
      </c>
      <c r="D25" s="183">
        <f t="shared" si="0"/>
        <v>55511.457999999999</v>
      </c>
      <c r="E25" s="184">
        <f>E23*E21</f>
        <v>879274.93499999994</v>
      </c>
      <c r="F25" s="184">
        <f t="shared" ref="F25:G25" si="1">F23*F21</f>
        <v>351383.783</v>
      </c>
      <c r="G25" s="183">
        <f t="shared" si="1"/>
        <v>466306.95600000001</v>
      </c>
      <c r="H25" s="94">
        <f t="shared" ref="H25:H30" si="2">SUM(C25:G25)</f>
        <v>1826645.226</v>
      </c>
      <c r="I25" s="46"/>
      <c r="J25" s="3"/>
    </row>
    <row r="26" spans="1:12" x14ac:dyDescent="0.25">
      <c r="A26" s="8" t="s">
        <v>94</v>
      </c>
      <c r="B26" s="29" t="s">
        <v>60</v>
      </c>
      <c r="C26" s="182">
        <f t="shared" ref="C26:D26" si="3">C23*$C$16</f>
        <v>1777.5891540000002</v>
      </c>
      <c r="D26" s="183">
        <f t="shared" si="3"/>
        <v>1142.1744330000001</v>
      </c>
      <c r="E26" s="184">
        <f>E23*$C$16</f>
        <v>24905.177055000004</v>
      </c>
      <c r="F26" s="184">
        <f t="shared" ref="F26:G26" si="4">F23*$C$16</f>
        <v>6782.0179710000002</v>
      </c>
      <c r="G26" s="183">
        <f t="shared" si="4"/>
        <v>6477.8055480000003</v>
      </c>
      <c r="H26" s="94">
        <f t="shared" si="2"/>
        <v>41084.764160999999</v>
      </c>
      <c r="I26" s="46"/>
      <c r="J26" s="3"/>
    </row>
    <row r="27" spans="1:12" ht="15.75" thickBot="1" x14ac:dyDescent="0.3">
      <c r="A27" s="9" t="s">
        <v>95</v>
      </c>
      <c r="B27" s="31" t="s">
        <v>61</v>
      </c>
      <c r="C27" s="185">
        <f>C23*$C$18</f>
        <v>86312.100599999991</v>
      </c>
      <c r="D27" s="186">
        <f t="shared" ref="D27:G27" si="5">D23*$C$18</f>
        <v>55459.0887</v>
      </c>
      <c r="E27" s="187">
        <f t="shared" si="5"/>
        <v>1209288.5145</v>
      </c>
      <c r="F27" s="187">
        <f t="shared" si="5"/>
        <v>329305.68689999997</v>
      </c>
      <c r="G27" s="186">
        <f t="shared" si="5"/>
        <v>314534.43719999999</v>
      </c>
      <c r="H27" s="95">
        <f t="shared" si="2"/>
        <v>1994899.8278999999</v>
      </c>
      <c r="I27" s="46"/>
      <c r="J27" s="3"/>
    </row>
    <row r="28" spans="1:12" x14ac:dyDescent="0.25">
      <c r="A28" s="17" t="s">
        <v>99</v>
      </c>
      <c r="B28" s="30" t="s">
        <v>62</v>
      </c>
      <c r="C28" s="35">
        <f>77264-86322</f>
        <v>-9058</v>
      </c>
      <c r="D28" s="36">
        <f>49646-55465</f>
        <v>-5819</v>
      </c>
      <c r="E28" s="37">
        <f>1082526-1209426</f>
        <v>-126900</v>
      </c>
      <c r="F28" s="37">
        <f>294786-329343</f>
        <v>-34557</v>
      </c>
      <c r="G28" s="36">
        <f>281564-314570</f>
        <v>-33006</v>
      </c>
      <c r="H28" s="98">
        <f t="shared" si="2"/>
        <v>-209340</v>
      </c>
      <c r="I28" s="47"/>
      <c r="J28" s="49"/>
      <c r="L28" s="18"/>
    </row>
    <row r="29" spans="1:12" x14ac:dyDescent="0.25">
      <c r="A29" s="66" t="s">
        <v>97</v>
      </c>
      <c r="B29" s="67" t="s">
        <v>63</v>
      </c>
      <c r="C29" s="68">
        <f>IF(C28&gt;0,C28,0)</f>
        <v>0</v>
      </c>
      <c r="D29" s="69">
        <f t="shared" ref="D29:G29" si="6">IF(D28&gt;0,D28,0)</f>
        <v>0</v>
      </c>
      <c r="E29" s="70">
        <f t="shared" si="6"/>
        <v>0</v>
      </c>
      <c r="F29" s="70">
        <f t="shared" si="6"/>
        <v>0</v>
      </c>
      <c r="G29" s="69">
        <f t="shared" si="6"/>
        <v>0</v>
      </c>
      <c r="H29" s="96">
        <f t="shared" si="2"/>
        <v>0</v>
      </c>
      <c r="I29" s="48"/>
      <c r="J29" s="49"/>
      <c r="K29" s="18"/>
    </row>
    <row r="30" spans="1:12" ht="15.75" thickBot="1" x14ac:dyDescent="0.3">
      <c r="A30" s="71" t="s">
        <v>98</v>
      </c>
      <c r="B30" s="72" t="s">
        <v>64</v>
      </c>
      <c r="C30" s="73">
        <f>IF(C28&lt;0,C28*-1,0)</f>
        <v>9058</v>
      </c>
      <c r="D30" s="74">
        <f t="shared" ref="D30:G30" si="7">IF(D28&lt;0,D28*-1,0)</f>
        <v>5819</v>
      </c>
      <c r="E30" s="75">
        <f t="shared" si="7"/>
        <v>126900</v>
      </c>
      <c r="F30" s="75">
        <f t="shared" si="7"/>
        <v>34557</v>
      </c>
      <c r="G30" s="74">
        <f t="shared" si="7"/>
        <v>33006</v>
      </c>
      <c r="H30" s="97">
        <f t="shared" si="2"/>
        <v>209340</v>
      </c>
      <c r="I30" s="48"/>
      <c r="J30" s="49"/>
      <c r="K30" s="18"/>
    </row>
    <row r="31" spans="1:12" x14ac:dyDescent="0.25">
      <c r="B31" s="16"/>
      <c r="C31" s="18"/>
      <c r="D31" s="18"/>
      <c r="E31" s="18"/>
      <c r="F31" s="18"/>
      <c r="G31" s="18"/>
      <c r="H31" s="49"/>
      <c r="I31" s="49"/>
      <c r="J31" s="49"/>
      <c r="K31" s="18"/>
    </row>
    <row r="32" spans="1:12" x14ac:dyDescent="0.25">
      <c r="B32" s="16"/>
      <c r="C32" s="18"/>
      <c r="D32" s="18"/>
      <c r="E32" s="18"/>
      <c r="F32" s="18"/>
      <c r="G32" s="18"/>
      <c r="H32" s="18"/>
      <c r="I32" s="49"/>
      <c r="J32" s="49"/>
      <c r="K32" s="18"/>
    </row>
    <row r="33" spans="1:12" s="62" customFormat="1" x14ac:dyDescent="0.25">
      <c r="A33" s="65" t="s">
        <v>35</v>
      </c>
      <c r="B33" s="63"/>
      <c r="C33" s="64"/>
      <c r="D33" s="64"/>
      <c r="E33" s="64"/>
      <c r="F33" s="64"/>
      <c r="G33" s="64"/>
      <c r="H33" s="64"/>
      <c r="I33" s="64"/>
      <c r="J33" s="64"/>
      <c r="K33" s="64"/>
    </row>
    <row r="34" spans="1:12" x14ac:dyDescent="0.25">
      <c r="A34" s="1" t="s">
        <v>5</v>
      </c>
      <c r="B34" s="1"/>
      <c r="E34" s="3"/>
      <c r="F34" s="118"/>
    </row>
    <row r="35" spans="1:12" ht="15.75" thickBot="1" x14ac:dyDescent="0.3">
      <c r="B35" s="16"/>
      <c r="C35" s="18"/>
      <c r="D35" s="18"/>
      <c r="E35" s="18"/>
      <c r="F35" s="18"/>
      <c r="G35" s="18"/>
      <c r="H35" s="18"/>
      <c r="I35" s="49"/>
      <c r="J35" s="49"/>
      <c r="K35" s="18"/>
    </row>
    <row r="36" spans="1:12" ht="30.75" thickBot="1" x14ac:dyDescent="0.3">
      <c r="A36" s="12"/>
      <c r="B36" s="12"/>
      <c r="C36" s="14" t="s">
        <v>12</v>
      </c>
      <c r="D36" s="15" t="s">
        <v>13</v>
      </c>
      <c r="E36" s="3"/>
      <c r="G36" s="159" t="s">
        <v>84</v>
      </c>
      <c r="J36" s="105"/>
    </row>
    <row r="37" spans="1:12" x14ac:dyDescent="0.25">
      <c r="A37" s="6" t="s">
        <v>9</v>
      </c>
      <c r="B37" s="51" t="s">
        <v>21</v>
      </c>
      <c r="C37" s="53">
        <v>41172178.64000006</v>
      </c>
      <c r="D37" s="13">
        <f>C37/C37</f>
        <v>1</v>
      </c>
    </row>
    <row r="38" spans="1:12" ht="17.25" x14ac:dyDescent="0.25">
      <c r="A38" s="7" t="s">
        <v>103</v>
      </c>
      <c r="B38" s="52" t="s">
        <v>22</v>
      </c>
      <c r="C38" s="54">
        <f>G38*D38</f>
        <v>876822.66788144282</v>
      </c>
      <c r="D38" s="156">
        <v>0.66881107410947005</v>
      </c>
      <c r="F38" s="100">
        <f>G38/G43</f>
        <v>6.1179339601068992E-2</v>
      </c>
      <c r="G38" s="101">
        <v>1311016.97</v>
      </c>
    </row>
    <row r="39" spans="1:12" ht="17.25" x14ac:dyDescent="0.25">
      <c r="A39" s="7" t="s">
        <v>104</v>
      </c>
      <c r="B39" s="52" t="s">
        <v>23</v>
      </c>
      <c r="C39" s="54">
        <f>G38*D39</f>
        <v>434194.3021185571</v>
      </c>
      <c r="D39" s="156">
        <v>0.33118892589052995</v>
      </c>
      <c r="F39" s="100"/>
    </row>
    <row r="40" spans="1:12" ht="17.25" x14ac:dyDescent="0.25">
      <c r="A40" s="7" t="s">
        <v>105</v>
      </c>
      <c r="B40" s="52" t="s">
        <v>24</v>
      </c>
      <c r="C40" s="54">
        <f>G40*D40</f>
        <v>13074147.295666374</v>
      </c>
      <c r="D40" s="156">
        <v>0.64987107348185924</v>
      </c>
      <c r="F40" s="100">
        <f>G40/G43</f>
        <v>0.93882066039893108</v>
      </c>
      <c r="G40" s="101">
        <v>20118063.150000062</v>
      </c>
    </row>
    <row r="41" spans="1:12" ht="17.25" x14ac:dyDescent="0.25">
      <c r="A41" s="7" t="s">
        <v>106</v>
      </c>
      <c r="B41" s="52" t="s">
        <v>25</v>
      </c>
      <c r="C41" s="54">
        <f>G40*D41</f>
        <v>3382917.6027056719</v>
      </c>
      <c r="D41" s="156">
        <v>0.16815324504564255</v>
      </c>
      <c r="F41" s="100"/>
    </row>
    <row r="42" spans="1:12" ht="17.25" x14ac:dyDescent="0.25">
      <c r="A42" s="7" t="s">
        <v>107</v>
      </c>
      <c r="B42" s="52" t="s">
        <v>26</v>
      </c>
      <c r="C42" s="55">
        <f>G40*D42</f>
        <v>3660998.2516280152</v>
      </c>
      <c r="D42" s="157">
        <v>0.18197568147249821</v>
      </c>
      <c r="F42" s="100"/>
    </row>
    <row r="43" spans="1:12" x14ac:dyDescent="0.25">
      <c r="A43" s="17" t="s">
        <v>108</v>
      </c>
      <c r="B43" s="30" t="s">
        <v>27</v>
      </c>
      <c r="C43" s="56">
        <f>SUM(C38:C42)</f>
        <v>21429080.120000061</v>
      </c>
      <c r="D43" s="11">
        <f>C43/C37</f>
        <v>0.52047476786134994</v>
      </c>
      <c r="F43" s="100">
        <f>C43/G43</f>
        <v>1</v>
      </c>
      <c r="G43" s="101">
        <v>21429080.120000061</v>
      </c>
      <c r="H43" s="102">
        <f>F38+F40-F43</f>
        <v>0</v>
      </c>
    </row>
    <row r="44" spans="1:12" x14ac:dyDescent="0.25">
      <c r="A44" s="8" t="s">
        <v>0</v>
      </c>
      <c r="B44" s="29" t="s">
        <v>28</v>
      </c>
      <c r="C44" s="57">
        <f>D45/C45</f>
        <v>6.3189842183620625E-3</v>
      </c>
      <c r="D44" s="4"/>
      <c r="J44" s="3"/>
    </row>
    <row r="45" spans="1:12" ht="17.25" x14ac:dyDescent="0.25">
      <c r="A45" s="8" t="s">
        <v>81</v>
      </c>
      <c r="B45" s="29" t="s">
        <v>29</v>
      </c>
      <c r="C45" s="54">
        <v>41420162</v>
      </c>
      <c r="D45" s="50">
        <v>261733.35</v>
      </c>
      <c r="J45" s="3"/>
      <c r="L45" s="105"/>
    </row>
    <row r="46" spans="1:12" ht="17.25" x14ac:dyDescent="0.25">
      <c r="A46" s="8" t="s">
        <v>32</v>
      </c>
      <c r="B46" s="29" t="s">
        <v>30</v>
      </c>
      <c r="C46" s="58">
        <v>118.48</v>
      </c>
      <c r="D46" s="4"/>
      <c r="I46" s="3"/>
      <c r="J46" s="41"/>
    </row>
    <row r="47" spans="1:12" ht="15.75" thickBot="1" x14ac:dyDescent="0.3">
      <c r="A47" s="9" t="s">
        <v>33</v>
      </c>
      <c r="B47" s="31" t="s">
        <v>31</v>
      </c>
      <c r="C47" s="59">
        <f>C46/1000</f>
        <v>0.11848</v>
      </c>
      <c r="D47" s="5"/>
      <c r="H47" s="3"/>
      <c r="I47" s="3"/>
      <c r="J47" s="3"/>
    </row>
    <row r="48" spans="1:12" ht="15.75" thickBot="1" x14ac:dyDescent="0.3">
      <c r="B48" s="16"/>
      <c r="H48" s="3"/>
      <c r="I48" s="3"/>
      <c r="J48" s="3"/>
    </row>
    <row r="49" spans="1:11" ht="15.75" thickBot="1" x14ac:dyDescent="0.3">
      <c r="A49" s="22" t="s">
        <v>88</v>
      </c>
      <c r="B49" s="14"/>
      <c r="C49" s="23" t="s">
        <v>14</v>
      </c>
      <c r="D49" s="15" t="s">
        <v>15</v>
      </c>
      <c r="E49" s="24" t="s">
        <v>2</v>
      </c>
      <c r="F49" s="24" t="s">
        <v>3</v>
      </c>
      <c r="G49" s="15" t="s">
        <v>4</v>
      </c>
      <c r="H49" s="90" t="s">
        <v>65</v>
      </c>
      <c r="I49" s="42"/>
      <c r="J49" s="3"/>
    </row>
    <row r="50" spans="1:11" x14ac:dyDescent="0.25">
      <c r="A50" s="8" t="s">
        <v>16</v>
      </c>
      <c r="B50" s="29" t="s">
        <v>37</v>
      </c>
      <c r="C50" s="114">
        <f>C21</f>
        <v>9.0999999999999998E-2</v>
      </c>
      <c r="D50" s="115">
        <f t="shared" ref="D50:G50" si="8">D21</f>
        <v>0.106</v>
      </c>
      <c r="E50" s="116">
        <f t="shared" si="8"/>
        <v>7.6999999999999999E-2</v>
      </c>
      <c r="F50" s="116">
        <f t="shared" si="8"/>
        <v>0.113</v>
      </c>
      <c r="G50" s="115">
        <f t="shared" si="8"/>
        <v>0.157</v>
      </c>
      <c r="H50" s="91"/>
      <c r="I50" s="43"/>
      <c r="J50" s="3"/>
    </row>
    <row r="51" spans="1:11" x14ac:dyDescent="0.25">
      <c r="A51" s="7" t="s">
        <v>17</v>
      </c>
      <c r="B51" s="52" t="s">
        <v>38</v>
      </c>
      <c r="C51" s="192"/>
      <c r="D51" s="193"/>
      <c r="E51" s="194"/>
      <c r="F51" s="194"/>
      <c r="G51" s="190"/>
      <c r="H51" s="92"/>
      <c r="I51" s="44"/>
      <c r="J51" s="3"/>
    </row>
    <row r="52" spans="1:11" x14ac:dyDescent="0.25">
      <c r="A52" s="8" t="s">
        <v>109</v>
      </c>
      <c r="B52" s="29" t="s">
        <v>39</v>
      </c>
      <c r="C52" s="33">
        <f>C38</f>
        <v>876822.66788144282</v>
      </c>
      <c r="D52" s="20">
        <f>C39</f>
        <v>434194.3021185571</v>
      </c>
      <c r="E52" s="26">
        <f>C40</f>
        <v>13074147.295666374</v>
      </c>
      <c r="F52" s="26">
        <f>C41</f>
        <v>3382917.6027056719</v>
      </c>
      <c r="G52" s="20">
        <f>C42</f>
        <v>3660998.2516280152</v>
      </c>
      <c r="H52" s="93">
        <f>SUM(C52:G52)</f>
        <v>21429080.120000061</v>
      </c>
      <c r="I52" s="45"/>
      <c r="J52" s="3"/>
    </row>
    <row r="53" spans="1:11" x14ac:dyDescent="0.25">
      <c r="A53" s="8"/>
      <c r="B53" s="29"/>
      <c r="C53" s="10"/>
      <c r="D53" s="4"/>
      <c r="E53" s="27"/>
      <c r="F53" s="27"/>
      <c r="G53" s="4"/>
      <c r="H53" s="7"/>
      <c r="I53" s="2"/>
      <c r="J53" s="3"/>
    </row>
    <row r="54" spans="1:11" x14ac:dyDescent="0.25">
      <c r="A54" s="8" t="s">
        <v>89</v>
      </c>
      <c r="B54" s="29" t="s">
        <v>40</v>
      </c>
      <c r="C54" s="34">
        <f>C52*C50</f>
        <v>79790.862777211296</v>
      </c>
      <c r="D54" s="21">
        <f t="shared" ref="D54" si="9">D52*D50</f>
        <v>46024.59602456705</v>
      </c>
      <c r="E54" s="28">
        <f>E52*E50</f>
        <v>1006709.3417663109</v>
      </c>
      <c r="F54" s="28">
        <f t="shared" ref="F54:G54" si="10">F52*F50</f>
        <v>382269.68910574092</v>
      </c>
      <c r="G54" s="21">
        <f t="shared" si="10"/>
        <v>574776.72550559836</v>
      </c>
      <c r="H54" s="94">
        <f t="shared" ref="H54:H59" si="11">SUM(C54:G54)</f>
        <v>2089571.2151794285</v>
      </c>
      <c r="I54" s="46"/>
      <c r="J54" s="3"/>
    </row>
    <row r="55" spans="1:11" x14ac:dyDescent="0.25">
      <c r="A55" s="8" t="s">
        <v>90</v>
      </c>
      <c r="B55" s="29" t="s">
        <v>41</v>
      </c>
      <c r="C55" s="34">
        <f>C52*$C$44</f>
        <v>5540.6286006449573</v>
      </c>
      <c r="D55" s="21">
        <f t="shared" ref="D55:G55" si="12">D52*$C$44</f>
        <v>2743.6669427898919</v>
      </c>
      <c r="E55" s="28">
        <f t="shared" si="12"/>
        <v>82615.330429856855</v>
      </c>
      <c r="F55" s="28">
        <f t="shared" si="12"/>
        <v>21376.602943516362</v>
      </c>
      <c r="G55" s="21">
        <f t="shared" si="12"/>
        <v>23133.790175488532</v>
      </c>
      <c r="H55" s="94">
        <f t="shared" si="11"/>
        <v>135410.0190922966</v>
      </c>
      <c r="I55" s="46"/>
      <c r="J55" s="3"/>
    </row>
    <row r="56" spans="1:11" ht="15.75" thickBot="1" x14ac:dyDescent="0.3">
      <c r="A56" s="9" t="s">
        <v>91</v>
      </c>
      <c r="B56" s="31" t="s">
        <v>42</v>
      </c>
      <c r="C56" s="38">
        <f>C52*$C$47</f>
        <v>103885.94969059335</v>
      </c>
      <c r="D56" s="39">
        <f t="shared" ref="D56:G56" si="13">D52*$C$47</f>
        <v>51443.340915006644</v>
      </c>
      <c r="E56" s="40">
        <f t="shared" si="13"/>
        <v>1549024.971590552</v>
      </c>
      <c r="F56" s="40">
        <f t="shared" si="13"/>
        <v>400808.077568568</v>
      </c>
      <c r="G56" s="39">
        <f t="shared" si="13"/>
        <v>433755.07285288727</v>
      </c>
      <c r="H56" s="95">
        <f t="shared" si="11"/>
        <v>2538917.412617607</v>
      </c>
      <c r="I56" s="46"/>
      <c r="J56" s="3"/>
    </row>
    <row r="57" spans="1:11" x14ac:dyDescent="0.25">
      <c r="A57" s="17" t="s">
        <v>20</v>
      </c>
      <c r="B57" s="30" t="s">
        <v>43</v>
      </c>
      <c r="C57" s="35">
        <f>C54-C55-C56</f>
        <v>-29635.715514027004</v>
      </c>
      <c r="D57" s="36">
        <f t="shared" ref="D57:G57" si="14">D54-D55-D56</f>
        <v>-8162.411833229482</v>
      </c>
      <c r="E57" s="37">
        <f t="shared" si="14"/>
        <v>-624930.96025409806</v>
      </c>
      <c r="F57" s="37">
        <f t="shared" si="14"/>
        <v>-39914.991406343412</v>
      </c>
      <c r="G57" s="36">
        <f t="shared" si="14"/>
        <v>117887.86247722252</v>
      </c>
      <c r="H57" s="98">
        <f t="shared" si="11"/>
        <v>-584756.21653047553</v>
      </c>
      <c r="I57" s="47"/>
      <c r="J57" s="3"/>
    </row>
    <row r="58" spans="1:11" x14ac:dyDescent="0.25">
      <c r="A58" s="76" t="s">
        <v>18</v>
      </c>
      <c r="B58" s="77" t="s">
        <v>44</v>
      </c>
      <c r="C58" s="78">
        <f>IF(C57&gt;0,C57,0)</f>
        <v>0</v>
      </c>
      <c r="D58" s="79">
        <f t="shared" ref="D58:G58" si="15">IF(D57&gt;0,D57,0)</f>
        <v>0</v>
      </c>
      <c r="E58" s="80">
        <f t="shared" si="15"/>
        <v>0</v>
      </c>
      <c r="F58" s="80">
        <f t="shared" si="15"/>
        <v>0</v>
      </c>
      <c r="G58" s="79">
        <f t="shared" si="15"/>
        <v>117887.86247722252</v>
      </c>
      <c r="H58" s="96">
        <f t="shared" si="11"/>
        <v>117887.86247722252</v>
      </c>
      <c r="I58" s="48"/>
      <c r="J58" s="49"/>
      <c r="K58" s="18"/>
    </row>
    <row r="59" spans="1:11" ht="15.75" thickBot="1" x14ac:dyDescent="0.3">
      <c r="A59" s="81" t="s">
        <v>19</v>
      </c>
      <c r="B59" s="82" t="s">
        <v>45</v>
      </c>
      <c r="C59" s="83">
        <f>IF(C57&lt;0,C57*-1,0)</f>
        <v>29635.715514027004</v>
      </c>
      <c r="D59" s="84">
        <f t="shared" ref="D59:G59" si="16">IF(D57&lt;0,D57*-1,0)</f>
        <v>8162.411833229482</v>
      </c>
      <c r="E59" s="85">
        <f t="shared" si="16"/>
        <v>624930.96025409806</v>
      </c>
      <c r="F59" s="85">
        <f t="shared" si="16"/>
        <v>39914.991406343412</v>
      </c>
      <c r="G59" s="84">
        <f t="shared" si="16"/>
        <v>0</v>
      </c>
      <c r="H59" s="97">
        <f t="shared" si="11"/>
        <v>702644.07900769799</v>
      </c>
      <c r="I59" s="48"/>
      <c r="J59" s="49"/>
      <c r="K59" s="18"/>
    </row>
    <row r="60" spans="1:11" x14ac:dyDescent="0.25">
      <c r="B60" s="16"/>
      <c r="C60" s="18"/>
      <c r="D60" s="18"/>
      <c r="E60" s="18"/>
      <c r="F60" s="18"/>
      <c r="G60" s="18"/>
      <c r="H60" s="49"/>
      <c r="I60" s="49"/>
      <c r="J60" s="49"/>
      <c r="K60" s="18"/>
    </row>
    <row r="61" spans="1:11" ht="15.75" thickBot="1" x14ac:dyDescent="0.3">
      <c r="A61" s="86" t="s">
        <v>36</v>
      </c>
      <c r="H61" s="3"/>
      <c r="I61" s="3"/>
    </row>
    <row r="62" spans="1:11" x14ac:dyDescent="0.25">
      <c r="A62" s="6" t="s">
        <v>100</v>
      </c>
      <c r="B62" s="51"/>
      <c r="C62" s="87">
        <f>C57-C28</f>
        <v>-20577.715514027004</v>
      </c>
      <c r="D62" s="88">
        <f t="shared" ref="D62:G62" si="17">D57-D28</f>
        <v>-2343.411833229482</v>
      </c>
      <c r="E62" s="89">
        <f t="shared" si="17"/>
        <v>-498030.96025409806</v>
      </c>
      <c r="F62" s="89">
        <f t="shared" si="17"/>
        <v>-5357.9914063434117</v>
      </c>
      <c r="G62" s="88">
        <f t="shared" si="17"/>
        <v>150893.86247722252</v>
      </c>
      <c r="H62" s="98">
        <f t="shared" ref="H62:H64" si="18">SUM(C62:G62)</f>
        <v>-375416.21653047547</v>
      </c>
    </row>
    <row r="63" spans="1:11" x14ac:dyDescent="0.25">
      <c r="A63" s="76" t="s">
        <v>101</v>
      </c>
      <c r="B63" s="77" t="s">
        <v>66</v>
      </c>
      <c r="C63" s="78">
        <f>IF(C62&gt;0,C62,0)</f>
        <v>0</v>
      </c>
      <c r="D63" s="79">
        <f t="shared" ref="D63:G63" si="19">IF(D62&gt;0,D62,0)</f>
        <v>0</v>
      </c>
      <c r="E63" s="80">
        <f t="shared" si="19"/>
        <v>0</v>
      </c>
      <c r="F63" s="80">
        <f t="shared" si="19"/>
        <v>0</v>
      </c>
      <c r="G63" s="79">
        <f t="shared" si="19"/>
        <v>150893.86247722252</v>
      </c>
      <c r="H63" s="96">
        <f t="shared" si="18"/>
        <v>150893.86247722252</v>
      </c>
    </row>
    <row r="64" spans="1:11" ht="15.75" thickBot="1" x14ac:dyDescent="0.3">
      <c r="A64" s="81" t="s">
        <v>102</v>
      </c>
      <c r="B64" s="82" t="s">
        <v>67</v>
      </c>
      <c r="C64" s="83">
        <f>IF(C62&lt;0,C62*-1,0)</f>
        <v>20577.715514027004</v>
      </c>
      <c r="D64" s="84">
        <f t="shared" ref="D64:G64" si="20">IF(D62&lt;0,D62*-1,0)</f>
        <v>2343.411833229482</v>
      </c>
      <c r="E64" s="85">
        <f t="shared" si="20"/>
        <v>498030.96025409806</v>
      </c>
      <c r="F64" s="85">
        <f t="shared" si="20"/>
        <v>5357.9914063434117</v>
      </c>
      <c r="G64" s="84">
        <f t="shared" si="20"/>
        <v>0</v>
      </c>
      <c r="H64" s="97">
        <f t="shared" si="18"/>
        <v>526310.07900769799</v>
      </c>
    </row>
    <row r="65" spans="1:8" ht="15.75" thickBot="1" x14ac:dyDescent="0.3">
      <c r="A65" s="151" t="s">
        <v>83</v>
      </c>
      <c r="B65" s="14"/>
      <c r="C65" s="152">
        <f>C52-C23</f>
        <v>61788.667881442816</v>
      </c>
      <c r="D65" s="153">
        <f t="shared" ref="D65:G65" si="21">D52-D23</f>
        <v>-89498.697881442902</v>
      </c>
      <c r="E65" s="154">
        <f t="shared" si="21"/>
        <v>1654992.2956663743</v>
      </c>
      <c r="F65" s="154">
        <f t="shared" si="21"/>
        <v>273326.60270567192</v>
      </c>
      <c r="G65" s="153">
        <f t="shared" si="21"/>
        <v>690890.25162801519</v>
      </c>
      <c r="H65" s="155">
        <f>SUM(C65:G65)</f>
        <v>2591499.1200000616</v>
      </c>
    </row>
  </sheetData>
  <sheetProtection password="CC7B" sheet="1" objects="1" scenarios="1"/>
  <pageMargins left="0.11811023622047245" right="0.11811023622047245" top="0.35433070866141736" bottom="0.35433070866141736" header="0.11811023622047245" footer="0.11811023622047245"/>
  <pageSetup scale="75" orientation="portrait" verticalDpi="0" r:id="rId1"/>
  <headerFooter>
    <oddFooter>&amp;L&amp;9&amp;Z&amp;F  &amp;A  &amp;D  &amp;T&amp;R&amp;P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3:L65"/>
  <sheetViews>
    <sheetView topLeftCell="A4" zoomScale="80" zoomScaleNormal="80" workbookViewId="0">
      <selection activeCell="L38" sqref="L38"/>
    </sheetView>
  </sheetViews>
  <sheetFormatPr defaultRowHeight="15" x14ac:dyDescent="0.25"/>
  <cols>
    <col min="1" max="1" width="36" customWidth="1"/>
    <col min="2" max="2" width="11.140625" bestFit="1" customWidth="1"/>
    <col min="3" max="3" width="15.28515625" bestFit="1" customWidth="1"/>
    <col min="4" max="4" width="12.5703125" bestFit="1" customWidth="1"/>
    <col min="5" max="5" width="12.85546875" bestFit="1" customWidth="1"/>
    <col min="6" max="7" width="12.140625" bestFit="1" customWidth="1"/>
    <col min="8" max="8" width="13.28515625" bestFit="1" customWidth="1"/>
    <col min="9" max="9" width="5.28515625" customWidth="1"/>
  </cols>
  <sheetData>
    <row r="3" spans="1:11" ht="5.25" customHeight="1" x14ac:dyDescent="0.25">
      <c r="A3" s="1"/>
      <c r="B3" s="1"/>
      <c r="E3" s="3"/>
    </row>
    <row r="4" spans="1:11" x14ac:dyDescent="0.25">
      <c r="A4" s="1"/>
      <c r="B4" s="1"/>
      <c r="E4" s="3"/>
    </row>
    <row r="5" spans="1:11" s="61" customFormat="1" x14ac:dyDescent="0.25">
      <c r="A5" s="60" t="s">
        <v>34</v>
      </c>
      <c r="B5" s="60"/>
    </row>
    <row r="6" spans="1:11" x14ac:dyDescent="0.25">
      <c r="A6" s="1" t="s">
        <v>5</v>
      </c>
      <c r="B6" s="1"/>
      <c r="E6" s="119" t="s">
        <v>74</v>
      </c>
      <c r="F6" s="99">
        <v>2017</v>
      </c>
    </row>
    <row r="7" spans="1:11" ht="15.75" thickBot="1" x14ac:dyDescent="0.3">
      <c r="A7" s="1"/>
      <c r="B7" s="1"/>
      <c r="E7" s="3"/>
      <c r="J7" s="3"/>
      <c r="K7" s="3"/>
    </row>
    <row r="8" spans="1:11" ht="15.75" thickBot="1" x14ac:dyDescent="0.3">
      <c r="A8" s="12"/>
      <c r="B8" s="12"/>
      <c r="C8" s="14" t="s">
        <v>12</v>
      </c>
      <c r="D8" s="15" t="s">
        <v>13</v>
      </c>
      <c r="E8" s="3"/>
      <c r="J8" s="3"/>
      <c r="K8" s="3"/>
    </row>
    <row r="9" spans="1:11" x14ac:dyDescent="0.25">
      <c r="A9" s="6" t="s">
        <v>9</v>
      </c>
      <c r="B9" s="51" t="s">
        <v>46</v>
      </c>
      <c r="C9" s="180"/>
      <c r="D9" s="189"/>
      <c r="J9" s="3"/>
      <c r="K9" s="3"/>
    </row>
    <row r="10" spans="1:11" ht="17.25" x14ac:dyDescent="0.25">
      <c r="A10" s="7" t="s">
        <v>7</v>
      </c>
      <c r="B10" s="52" t="s">
        <v>47</v>
      </c>
      <c r="C10" s="54">
        <v>724102</v>
      </c>
      <c r="D10" s="190"/>
      <c r="E10" s="100"/>
      <c r="G10" s="100"/>
      <c r="J10" s="3"/>
      <c r="K10" s="3"/>
    </row>
    <row r="11" spans="1:11" ht="17.25" x14ac:dyDescent="0.25">
      <c r="A11" s="7" t="s">
        <v>8</v>
      </c>
      <c r="B11" s="52" t="s">
        <v>48</v>
      </c>
      <c r="C11" s="54">
        <v>511747</v>
      </c>
      <c r="D11" s="190"/>
      <c r="E11" s="100"/>
      <c r="F11" s="102"/>
      <c r="G11" s="100"/>
      <c r="J11" s="3"/>
      <c r="K11" s="3"/>
    </row>
    <row r="12" spans="1:11" ht="17.25" x14ac:dyDescent="0.25">
      <c r="A12" s="7" t="s">
        <v>6</v>
      </c>
      <c r="B12" s="52" t="s">
        <v>49</v>
      </c>
      <c r="C12" s="54">
        <v>12354738</v>
      </c>
      <c r="D12" s="190"/>
      <c r="G12" s="100"/>
      <c r="J12" s="3"/>
      <c r="K12" s="3"/>
    </row>
    <row r="13" spans="1:11" ht="17.25" x14ac:dyDescent="0.25">
      <c r="A13" s="7" t="s">
        <v>10</v>
      </c>
      <c r="B13" s="52" t="s">
        <v>50</v>
      </c>
      <c r="C13" s="54">
        <v>3325128</v>
      </c>
      <c r="D13" s="190"/>
      <c r="G13" s="100"/>
      <c r="J13" s="3"/>
      <c r="K13" s="3"/>
    </row>
    <row r="14" spans="1:11" ht="17.25" x14ac:dyDescent="0.25">
      <c r="A14" s="7" t="s">
        <v>11</v>
      </c>
      <c r="B14" s="52" t="s">
        <v>51</v>
      </c>
      <c r="C14" s="55">
        <v>3380856</v>
      </c>
      <c r="D14" s="191"/>
      <c r="F14" s="102"/>
      <c r="G14" s="100"/>
      <c r="J14" s="3"/>
      <c r="K14" s="3"/>
    </row>
    <row r="15" spans="1:11" x14ac:dyDescent="0.25">
      <c r="A15" s="17" t="s">
        <v>92</v>
      </c>
      <c r="B15" s="30" t="s">
        <v>52</v>
      </c>
      <c r="C15" s="56">
        <f>SUM(C10:C14)</f>
        <v>20296571</v>
      </c>
      <c r="D15" s="191"/>
      <c r="J15" s="3"/>
      <c r="K15" s="3"/>
    </row>
    <row r="16" spans="1:11" x14ac:dyDescent="0.25">
      <c r="A16" s="8" t="s">
        <v>85</v>
      </c>
      <c r="B16" s="29" t="s">
        <v>53</v>
      </c>
      <c r="C16" s="58">
        <v>9.5790000000000007E-3</v>
      </c>
      <c r="D16" s="4"/>
      <c r="J16" s="3"/>
      <c r="K16" s="3"/>
    </row>
    <row r="17" spans="1:12" ht="17.25" x14ac:dyDescent="0.25">
      <c r="A17" s="8" t="s">
        <v>86</v>
      </c>
      <c r="B17" s="29" t="s">
        <v>54</v>
      </c>
      <c r="C17" s="181"/>
      <c r="D17" s="4"/>
      <c r="I17" s="3"/>
      <c r="J17" s="41"/>
      <c r="K17" s="3"/>
    </row>
    <row r="18" spans="1:12" ht="15.75" thickBot="1" x14ac:dyDescent="0.3">
      <c r="A18" s="9" t="s">
        <v>87</v>
      </c>
      <c r="B18" s="31" t="s">
        <v>55</v>
      </c>
      <c r="C18" s="188">
        <v>0.11609999999999999</v>
      </c>
      <c r="D18" s="5"/>
      <c r="I18" s="3"/>
      <c r="J18" s="3"/>
      <c r="K18" s="3"/>
    </row>
    <row r="19" spans="1:12" ht="8.25" customHeight="1" thickBot="1" x14ac:dyDescent="0.3">
      <c r="B19" s="16"/>
      <c r="I19" s="3"/>
      <c r="J19" s="3"/>
      <c r="K19" s="3"/>
    </row>
    <row r="20" spans="1:12" ht="15.75" thickBot="1" x14ac:dyDescent="0.3">
      <c r="A20" s="22" t="s">
        <v>1</v>
      </c>
      <c r="B20" s="14"/>
      <c r="C20" s="23" t="s">
        <v>14</v>
      </c>
      <c r="D20" s="15" t="s">
        <v>15</v>
      </c>
      <c r="E20" s="24" t="s">
        <v>2</v>
      </c>
      <c r="F20" s="24" t="s">
        <v>3</v>
      </c>
      <c r="G20" s="15" t="s">
        <v>4</v>
      </c>
      <c r="H20" s="90" t="s">
        <v>65</v>
      </c>
      <c r="I20" s="42"/>
      <c r="J20" s="3"/>
      <c r="K20" s="3"/>
    </row>
    <row r="21" spans="1:12" x14ac:dyDescent="0.25">
      <c r="A21" s="8" t="s">
        <v>16</v>
      </c>
      <c r="B21" s="29" t="s">
        <v>56</v>
      </c>
      <c r="C21" s="32">
        <v>9.0999999999999998E-2</v>
      </c>
      <c r="D21" s="19">
        <v>0.106</v>
      </c>
      <c r="E21" s="25">
        <v>7.6999999999999999E-2</v>
      </c>
      <c r="F21" s="25">
        <v>0.113</v>
      </c>
      <c r="G21" s="19">
        <v>0.157</v>
      </c>
      <c r="H21" s="91"/>
      <c r="I21" s="43"/>
      <c r="J21" s="3"/>
      <c r="K21" s="3"/>
    </row>
    <row r="22" spans="1:12" x14ac:dyDescent="0.25">
      <c r="A22" s="7" t="s">
        <v>17</v>
      </c>
      <c r="B22" s="52" t="s">
        <v>57</v>
      </c>
      <c r="C22" s="192"/>
      <c r="D22" s="193"/>
      <c r="E22" s="194"/>
      <c r="F22" s="194"/>
      <c r="G22" s="190"/>
      <c r="H22" s="92"/>
      <c r="I22" s="44"/>
      <c r="J22" s="3"/>
      <c r="K22" s="3"/>
    </row>
    <row r="23" spans="1:12" x14ac:dyDescent="0.25">
      <c r="A23" s="8" t="s">
        <v>96</v>
      </c>
      <c r="B23" s="29" t="s">
        <v>58</v>
      </c>
      <c r="C23" s="33">
        <f>C10</f>
        <v>724102</v>
      </c>
      <c r="D23" s="20">
        <f>C11</f>
        <v>511747</v>
      </c>
      <c r="E23" s="26">
        <f>C12</f>
        <v>12354738</v>
      </c>
      <c r="F23" s="26">
        <f>C13</f>
        <v>3325128</v>
      </c>
      <c r="G23" s="20">
        <f>C14</f>
        <v>3380856</v>
      </c>
      <c r="H23" s="93">
        <f>SUM(C23:G23)</f>
        <v>20296571</v>
      </c>
      <c r="I23" s="45"/>
      <c r="J23" s="3"/>
      <c r="K23" s="3"/>
    </row>
    <row r="24" spans="1:12" ht="9.75" customHeight="1" x14ac:dyDescent="0.25">
      <c r="A24" s="8"/>
      <c r="B24" s="29"/>
      <c r="C24" s="10"/>
      <c r="D24" s="4"/>
      <c r="E24" s="27"/>
      <c r="F24" s="27"/>
      <c r="G24" s="4"/>
      <c r="H24" s="7"/>
      <c r="I24" s="2"/>
      <c r="J24" s="3"/>
    </row>
    <row r="25" spans="1:12" x14ac:dyDescent="0.25">
      <c r="A25" s="8" t="s">
        <v>93</v>
      </c>
      <c r="B25" s="29" t="s">
        <v>59</v>
      </c>
      <c r="C25" s="182">
        <f t="shared" ref="C25:D25" si="0">C23*C21</f>
        <v>65893.281999999992</v>
      </c>
      <c r="D25" s="183">
        <f t="shared" si="0"/>
        <v>54245.182000000001</v>
      </c>
      <c r="E25" s="184">
        <f>E23*E21</f>
        <v>951314.826</v>
      </c>
      <c r="F25" s="184">
        <f t="shared" ref="F25:G25" si="1">F23*F21</f>
        <v>375739.46400000004</v>
      </c>
      <c r="G25" s="183">
        <f t="shared" si="1"/>
        <v>530794.39199999999</v>
      </c>
      <c r="H25" s="94">
        <f t="shared" ref="H25:H30" si="2">SUM(C25:G25)</f>
        <v>1977987.1460000002</v>
      </c>
      <c r="I25" s="46"/>
      <c r="J25" s="3"/>
    </row>
    <row r="26" spans="1:12" x14ac:dyDescent="0.25">
      <c r="A26" s="8" t="s">
        <v>94</v>
      </c>
      <c r="B26" s="29" t="s">
        <v>60</v>
      </c>
      <c r="C26" s="182">
        <f t="shared" ref="C26:D26" si="3">C23*$C$16</f>
        <v>6936.1730580000003</v>
      </c>
      <c r="D26" s="183">
        <f t="shared" si="3"/>
        <v>4902.0245130000003</v>
      </c>
      <c r="E26" s="184">
        <f>E23*$C$16</f>
        <v>118346.035302</v>
      </c>
      <c r="F26" s="184">
        <f t="shared" ref="F26:G26" si="4">F23*$C$16</f>
        <v>31851.401112000003</v>
      </c>
      <c r="G26" s="183">
        <f t="shared" si="4"/>
        <v>32385.219624000001</v>
      </c>
      <c r="H26" s="94">
        <f t="shared" si="2"/>
        <v>194420.85360899998</v>
      </c>
      <c r="I26" s="46"/>
      <c r="J26" s="3"/>
    </row>
    <row r="27" spans="1:12" ht="15.75" thickBot="1" x14ac:dyDescent="0.3">
      <c r="A27" s="9" t="s">
        <v>95</v>
      </c>
      <c r="B27" s="31" t="s">
        <v>61</v>
      </c>
      <c r="C27" s="185">
        <f>C23*$C$18</f>
        <v>84068.242199999993</v>
      </c>
      <c r="D27" s="186">
        <f t="shared" ref="D27:G27" si="5">D23*$C$18</f>
        <v>59413.826699999998</v>
      </c>
      <c r="E27" s="187">
        <f t="shared" si="5"/>
        <v>1434385.0818</v>
      </c>
      <c r="F27" s="187">
        <f t="shared" si="5"/>
        <v>386047.36079999997</v>
      </c>
      <c r="G27" s="186">
        <f t="shared" si="5"/>
        <v>392517.38159999996</v>
      </c>
      <c r="H27" s="95">
        <f t="shared" si="2"/>
        <v>2356431.8931</v>
      </c>
      <c r="I27" s="46"/>
      <c r="J27" s="3"/>
    </row>
    <row r="28" spans="1:12" x14ac:dyDescent="0.25">
      <c r="A28" s="17" t="s">
        <v>99</v>
      </c>
      <c r="B28" s="30" t="s">
        <v>62</v>
      </c>
      <c r="C28" s="123">
        <f>63672-84110</f>
        <v>-20438</v>
      </c>
      <c r="D28" s="124">
        <f>44999-59443</f>
        <v>-14444</v>
      </c>
      <c r="E28" s="125">
        <f>1086381-1435090</f>
        <v>-348709</v>
      </c>
      <c r="F28" s="125">
        <f>292386-386237</f>
        <v>-93851</v>
      </c>
      <c r="G28" s="124">
        <f>297287-392710</f>
        <v>-95423</v>
      </c>
      <c r="H28" s="98">
        <f t="shared" si="2"/>
        <v>-572865</v>
      </c>
      <c r="I28" s="47"/>
      <c r="J28" s="49"/>
      <c r="L28" s="18"/>
    </row>
    <row r="29" spans="1:12" x14ac:dyDescent="0.25">
      <c r="A29" s="66" t="s">
        <v>97</v>
      </c>
      <c r="B29" s="67" t="s">
        <v>63</v>
      </c>
      <c r="C29" s="68">
        <f>IF(C28&gt;0,C28,0)</f>
        <v>0</v>
      </c>
      <c r="D29" s="69">
        <f t="shared" ref="D29:G29" si="6">IF(D28&gt;0,D28,0)</f>
        <v>0</v>
      </c>
      <c r="E29" s="70">
        <f t="shared" si="6"/>
        <v>0</v>
      </c>
      <c r="F29" s="70">
        <f t="shared" si="6"/>
        <v>0</v>
      </c>
      <c r="G29" s="69">
        <f t="shared" si="6"/>
        <v>0</v>
      </c>
      <c r="H29" s="96">
        <f t="shared" si="2"/>
        <v>0</v>
      </c>
      <c r="I29" s="48"/>
      <c r="J29" s="49"/>
      <c r="K29" s="18"/>
    </row>
    <row r="30" spans="1:12" ht="15.75" thickBot="1" x14ac:dyDescent="0.3">
      <c r="A30" s="71" t="s">
        <v>98</v>
      </c>
      <c r="B30" s="72" t="s">
        <v>64</v>
      </c>
      <c r="C30" s="73">
        <f>IF(C28&lt;0,C28*-1,0)</f>
        <v>20438</v>
      </c>
      <c r="D30" s="74">
        <f t="shared" ref="D30:G30" si="7">IF(D28&lt;0,D28*-1,0)</f>
        <v>14444</v>
      </c>
      <c r="E30" s="75">
        <f t="shared" si="7"/>
        <v>348709</v>
      </c>
      <c r="F30" s="75">
        <f t="shared" si="7"/>
        <v>93851</v>
      </c>
      <c r="G30" s="74">
        <f t="shared" si="7"/>
        <v>95423</v>
      </c>
      <c r="H30" s="97">
        <f t="shared" si="2"/>
        <v>572865</v>
      </c>
      <c r="I30" s="48"/>
      <c r="J30" s="49"/>
      <c r="K30" s="18"/>
    </row>
    <row r="31" spans="1:12" x14ac:dyDescent="0.25">
      <c r="B31" s="16"/>
      <c r="C31" s="18"/>
      <c r="D31" s="18"/>
      <c r="E31" s="18"/>
      <c r="F31" s="18"/>
      <c r="G31" s="18"/>
      <c r="H31" s="49"/>
      <c r="I31" s="49"/>
      <c r="J31" s="49"/>
      <c r="K31" s="18"/>
    </row>
    <row r="32" spans="1:12" x14ac:dyDescent="0.25">
      <c r="B32" s="16"/>
      <c r="C32" s="18"/>
      <c r="D32" s="18"/>
      <c r="E32" s="18"/>
      <c r="F32" s="18"/>
      <c r="G32" s="18"/>
      <c r="H32" s="18"/>
      <c r="I32" s="49"/>
      <c r="J32" s="49"/>
      <c r="K32" s="18"/>
    </row>
    <row r="33" spans="1:12" s="62" customFormat="1" x14ac:dyDescent="0.25">
      <c r="A33" s="65" t="s">
        <v>35</v>
      </c>
      <c r="B33" s="63"/>
      <c r="C33" s="64"/>
      <c r="D33" s="64"/>
      <c r="E33" s="64"/>
      <c r="F33" s="64"/>
      <c r="G33" s="64"/>
      <c r="H33" s="64"/>
      <c r="I33" s="64"/>
      <c r="J33" s="64"/>
      <c r="K33" s="64"/>
    </row>
    <row r="34" spans="1:12" x14ac:dyDescent="0.25">
      <c r="A34" s="1" t="s">
        <v>5</v>
      </c>
      <c r="B34" s="1"/>
      <c r="E34" s="3"/>
      <c r="F34" s="118"/>
    </row>
    <row r="35" spans="1:12" ht="15.75" thickBot="1" x14ac:dyDescent="0.3">
      <c r="B35" s="16"/>
      <c r="C35" s="18"/>
      <c r="D35" s="18"/>
      <c r="E35" s="18"/>
      <c r="F35" s="18"/>
      <c r="G35" s="18"/>
      <c r="H35" s="18"/>
      <c r="I35" s="49"/>
      <c r="J35" s="49"/>
      <c r="K35" s="18"/>
    </row>
    <row r="36" spans="1:12" ht="30.75" thickBot="1" x14ac:dyDescent="0.3">
      <c r="A36" s="12"/>
      <c r="B36" s="12"/>
      <c r="C36" s="14" t="s">
        <v>12</v>
      </c>
      <c r="D36" s="15" t="s">
        <v>13</v>
      </c>
      <c r="E36" s="3"/>
      <c r="G36" s="159" t="s">
        <v>84</v>
      </c>
      <c r="J36" s="105"/>
    </row>
    <row r="37" spans="1:12" x14ac:dyDescent="0.25">
      <c r="A37" s="6" t="s">
        <v>9</v>
      </c>
      <c r="B37" s="51" t="s">
        <v>21</v>
      </c>
      <c r="C37" s="53">
        <v>38785383.460000001</v>
      </c>
      <c r="D37" s="13">
        <f>C37/C37</f>
        <v>1</v>
      </c>
    </row>
    <row r="38" spans="1:12" ht="17.25" x14ac:dyDescent="0.25">
      <c r="A38" s="7" t="s">
        <v>103</v>
      </c>
      <c r="B38" s="52" t="s">
        <v>22</v>
      </c>
      <c r="C38" s="54">
        <f>G38*D38</f>
        <v>925107.88466342073</v>
      </c>
      <c r="D38" s="156">
        <v>0.66881107410947005</v>
      </c>
      <c r="F38" s="100">
        <f>G38/G43</f>
        <v>5.6560747345672784E-2</v>
      </c>
      <c r="G38" s="101">
        <v>1383212.5700000003</v>
      </c>
    </row>
    <row r="39" spans="1:12" ht="17.25" x14ac:dyDescent="0.25">
      <c r="A39" s="7" t="s">
        <v>104</v>
      </c>
      <c r="B39" s="52" t="s">
        <v>23</v>
      </c>
      <c r="C39" s="54">
        <f>G38*D39</f>
        <v>458104.68533657957</v>
      </c>
      <c r="D39" s="156">
        <v>0.33118892589052995</v>
      </c>
      <c r="F39" s="100"/>
    </row>
    <row r="40" spans="1:12" ht="17.25" x14ac:dyDescent="0.25">
      <c r="A40" s="7" t="s">
        <v>105</v>
      </c>
      <c r="B40" s="52" t="s">
        <v>24</v>
      </c>
      <c r="C40" s="54">
        <f>G40*D40</f>
        <v>14993911.242344838</v>
      </c>
      <c r="D40" s="156">
        <v>0.64987107348185924</v>
      </c>
      <c r="F40" s="100">
        <f>G40/G43</f>
        <v>0.94343925265432727</v>
      </c>
      <c r="G40" s="101">
        <v>23072132.079999994</v>
      </c>
    </row>
    <row r="41" spans="1:12" ht="17.25" x14ac:dyDescent="0.25">
      <c r="A41" s="7" t="s">
        <v>106</v>
      </c>
      <c r="B41" s="52" t="s">
        <v>25</v>
      </c>
      <c r="C41" s="54">
        <f>G40*D41</f>
        <v>3879653.8793736696</v>
      </c>
      <c r="D41" s="156">
        <v>0.16815324504564255</v>
      </c>
      <c r="F41" s="100"/>
    </row>
    <row r="42" spans="1:12" ht="17.25" x14ac:dyDescent="0.25">
      <c r="A42" s="7" t="s">
        <v>107</v>
      </c>
      <c r="B42" s="52" t="s">
        <v>26</v>
      </c>
      <c r="C42" s="55">
        <f>G40*D42</f>
        <v>4198566.9582814863</v>
      </c>
      <c r="D42" s="157">
        <v>0.18197568147249821</v>
      </c>
      <c r="F42" s="100"/>
    </row>
    <row r="43" spans="1:12" x14ac:dyDescent="0.25">
      <c r="A43" s="17" t="s">
        <v>108</v>
      </c>
      <c r="B43" s="30" t="s">
        <v>27</v>
      </c>
      <c r="C43" s="56">
        <f>SUM(C38:C42)</f>
        <v>24455344.649999995</v>
      </c>
      <c r="D43" s="11">
        <f>C43/C37</f>
        <v>0.63052991793213009</v>
      </c>
      <c r="F43" s="100">
        <f>C43/G43</f>
        <v>1</v>
      </c>
      <c r="G43" s="101">
        <v>24455344.649999995</v>
      </c>
      <c r="H43" s="102">
        <f>F38+F40-F43</f>
        <v>0</v>
      </c>
    </row>
    <row r="44" spans="1:12" x14ac:dyDescent="0.25">
      <c r="A44" s="8" t="s">
        <v>0</v>
      </c>
      <c r="B44" s="29" t="s">
        <v>28</v>
      </c>
      <c r="C44" s="57">
        <f>D45/C45</f>
        <v>1.437143120646947E-2</v>
      </c>
      <c r="D44" s="4"/>
      <c r="J44" s="3"/>
    </row>
    <row r="45" spans="1:12" ht="17.25" x14ac:dyDescent="0.25">
      <c r="A45" s="8" t="s">
        <v>81</v>
      </c>
      <c r="B45" s="29" t="s">
        <v>29</v>
      </c>
      <c r="C45" s="54">
        <v>45550933</v>
      </c>
      <c r="D45" s="50">
        <v>654632.1</v>
      </c>
      <c r="J45" s="3"/>
      <c r="L45" s="105"/>
    </row>
    <row r="46" spans="1:12" ht="17.25" x14ac:dyDescent="0.25">
      <c r="A46" s="8" t="s">
        <v>32</v>
      </c>
      <c r="B46" s="29" t="s">
        <v>30</v>
      </c>
      <c r="C46" s="58">
        <v>112.8</v>
      </c>
      <c r="D46" s="4"/>
      <c r="I46" s="3"/>
      <c r="J46" s="41"/>
    </row>
    <row r="47" spans="1:12" ht="15.75" thickBot="1" x14ac:dyDescent="0.3">
      <c r="A47" s="9" t="s">
        <v>33</v>
      </c>
      <c r="B47" s="31" t="s">
        <v>31</v>
      </c>
      <c r="C47" s="59">
        <f>C46/1000</f>
        <v>0.1128</v>
      </c>
      <c r="D47" s="5"/>
      <c r="H47" s="3"/>
      <c r="I47" s="3"/>
      <c r="J47" s="3"/>
    </row>
    <row r="48" spans="1:12" ht="15.75" thickBot="1" x14ac:dyDescent="0.3">
      <c r="B48" s="16"/>
      <c r="H48" s="3"/>
      <c r="I48" s="3"/>
      <c r="J48" s="3"/>
    </row>
    <row r="49" spans="1:11" ht="15.75" thickBot="1" x14ac:dyDescent="0.3">
      <c r="A49" s="22" t="s">
        <v>88</v>
      </c>
      <c r="B49" s="14"/>
      <c r="C49" s="23" t="s">
        <v>14</v>
      </c>
      <c r="D49" s="15" t="s">
        <v>15</v>
      </c>
      <c r="E49" s="24" t="s">
        <v>2</v>
      </c>
      <c r="F49" s="24" t="s">
        <v>3</v>
      </c>
      <c r="G49" s="15" t="s">
        <v>4</v>
      </c>
      <c r="H49" s="90" t="s">
        <v>65</v>
      </c>
      <c r="I49" s="42"/>
      <c r="J49" s="3"/>
    </row>
    <row r="50" spans="1:11" x14ac:dyDescent="0.25">
      <c r="A50" s="8" t="s">
        <v>16</v>
      </c>
      <c r="B50" s="29" t="s">
        <v>37</v>
      </c>
      <c r="C50" s="114">
        <f>C21</f>
        <v>9.0999999999999998E-2</v>
      </c>
      <c r="D50" s="115">
        <f t="shared" ref="D50:G50" si="8">D21</f>
        <v>0.106</v>
      </c>
      <c r="E50" s="116">
        <f t="shared" si="8"/>
        <v>7.6999999999999999E-2</v>
      </c>
      <c r="F50" s="116">
        <f t="shared" si="8"/>
        <v>0.113</v>
      </c>
      <c r="G50" s="115">
        <f t="shared" si="8"/>
        <v>0.157</v>
      </c>
      <c r="H50" s="91"/>
      <c r="I50" s="43"/>
      <c r="J50" s="3"/>
    </row>
    <row r="51" spans="1:11" x14ac:dyDescent="0.25">
      <c r="A51" s="7" t="s">
        <v>17</v>
      </c>
      <c r="B51" s="52" t="s">
        <v>38</v>
      </c>
      <c r="C51" s="192"/>
      <c r="D51" s="193"/>
      <c r="E51" s="194"/>
      <c r="F51" s="194"/>
      <c r="G51" s="190"/>
      <c r="H51" s="92"/>
      <c r="I51" s="44"/>
      <c r="J51" s="3"/>
    </row>
    <row r="52" spans="1:11" x14ac:dyDescent="0.25">
      <c r="A52" s="8" t="s">
        <v>109</v>
      </c>
      <c r="B52" s="29" t="s">
        <v>39</v>
      </c>
      <c r="C52" s="33">
        <f>C38</f>
        <v>925107.88466342073</v>
      </c>
      <c r="D52" s="20">
        <f>C39</f>
        <v>458104.68533657957</v>
      </c>
      <c r="E52" s="26">
        <f>C40</f>
        <v>14993911.242344838</v>
      </c>
      <c r="F52" s="26">
        <f>C41</f>
        <v>3879653.8793736696</v>
      </c>
      <c r="G52" s="20">
        <f>C42</f>
        <v>4198566.9582814863</v>
      </c>
      <c r="H52" s="93">
        <f>SUM(C52:G52)</f>
        <v>24455344.649999995</v>
      </c>
      <c r="I52" s="45"/>
      <c r="J52" s="3"/>
    </row>
    <row r="53" spans="1:11" x14ac:dyDescent="0.25">
      <c r="A53" s="8"/>
      <c r="B53" s="29"/>
      <c r="C53" s="10"/>
      <c r="D53" s="4"/>
      <c r="E53" s="27"/>
      <c r="F53" s="27"/>
      <c r="G53" s="4"/>
      <c r="H53" s="7"/>
      <c r="I53" s="2"/>
      <c r="J53" s="3"/>
    </row>
    <row r="54" spans="1:11" x14ac:dyDescent="0.25">
      <c r="A54" s="8" t="s">
        <v>89</v>
      </c>
      <c r="B54" s="29" t="s">
        <v>40</v>
      </c>
      <c r="C54" s="34">
        <f>C52*C50</f>
        <v>84184.817504371284</v>
      </c>
      <c r="D54" s="21">
        <f t="shared" ref="D54" si="9">D52*D50</f>
        <v>48559.096645677433</v>
      </c>
      <c r="E54" s="28">
        <f>E52*E50</f>
        <v>1154531.1656605524</v>
      </c>
      <c r="F54" s="28">
        <f t="shared" ref="F54:G54" si="10">F52*F50</f>
        <v>438400.88836922467</v>
      </c>
      <c r="G54" s="21">
        <f t="shared" si="10"/>
        <v>659175.0124501934</v>
      </c>
      <c r="H54" s="94">
        <f t="shared" ref="H54:H59" si="11">SUM(C54:G54)</f>
        <v>2384850.9806300192</v>
      </c>
      <c r="I54" s="46"/>
      <c r="J54" s="3"/>
    </row>
    <row r="55" spans="1:11" x14ac:dyDescent="0.25">
      <c r="A55" s="8" t="s">
        <v>90</v>
      </c>
      <c r="B55" s="29" t="s">
        <v>41</v>
      </c>
      <c r="C55" s="34">
        <f>C52*$C$44</f>
        <v>13295.124323002845</v>
      </c>
      <c r="D55" s="21">
        <f t="shared" ref="D55:G55" si="12">D52*$C$44</f>
        <v>6583.6199706759971</v>
      </c>
      <c r="E55" s="28">
        <f t="shared" si="12"/>
        <v>215483.96393526802</v>
      </c>
      <c r="F55" s="28">
        <f t="shared" si="12"/>
        <v>55756.178832331098</v>
      </c>
      <c r="G55" s="21">
        <f t="shared" si="12"/>
        <v>60339.416206698159</v>
      </c>
      <c r="H55" s="94">
        <f t="shared" si="11"/>
        <v>351458.30326797615</v>
      </c>
      <c r="I55" s="46"/>
      <c r="J55" s="3"/>
    </row>
    <row r="56" spans="1:11" ht="15.75" thickBot="1" x14ac:dyDescent="0.3">
      <c r="A56" s="9" t="s">
        <v>91</v>
      </c>
      <c r="B56" s="31" t="s">
        <v>42</v>
      </c>
      <c r="C56" s="38">
        <f>C52*$C$47</f>
        <v>104352.16939003386</v>
      </c>
      <c r="D56" s="39">
        <f t="shared" ref="D56:G56" si="13">D52*$C$47</f>
        <v>51674.208505966177</v>
      </c>
      <c r="E56" s="40">
        <f t="shared" si="13"/>
        <v>1691313.1881364977</v>
      </c>
      <c r="F56" s="40">
        <f t="shared" si="13"/>
        <v>437624.95759334991</v>
      </c>
      <c r="G56" s="39">
        <f t="shared" si="13"/>
        <v>473598.35289415164</v>
      </c>
      <c r="H56" s="95">
        <f t="shared" si="11"/>
        <v>2758562.876519999</v>
      </c>
      <c r="I56" s="46"/>
      <c r="J56" s="3"/>
    </row>
    <row r="57" spans="1:11" x14ac:dyDescent="0.25">
      <c r="A57" s="17" t="s">
        <v>20</v>
      </c>
      <c r="B57" s="30" t="s">
        <v>43</v>
      </c>
      <c r="C57" s="35">
        <f>C54-C55-C56</f>
        <v>-33462.476208665423</v>
      </c>
      <c r="D57" s="36">
        <f t="shared" ref="D57:G57" si="14">D54-D55-D56</f>
        <v>-9698.731830964738</v>
      </c>
      <c r="E57" s="37">
        <f t="shared" si="14"/>
        <v>-752265.98641121329</v>
      </c>
      <c r="F57" s="37">
        <f t="shared" si="14"/>
        <v>-54980.24805645633</v>
      </c>
      <c r="G57" s="36">
        <f t="shared" si="14"/>
        <v>125237.2433493436</v>
      </c>
      <c r="H57" s="98">
        <f t="shared" si="11"/>
        <v>-725170.19915795629</v>
      </c>
      <c r="I57" s="47"/>
      <c r="J57" s="3"/>
    </row>
    <row r="58" spans="1:11" x14ac:dyDescent="0.25">
      <c r="A58" s="76" t="s">
        <v>18</v>
      </c>
      <c r="B58" s="77" t="s">
        <v>44</v>
      </c>
      <c r="C58" s="78">
        <f>IF(C57&gt;0,C57,0)</f>
        <v>0</v>
      </c>
      <c r="D58" s="79">
        <f t="shared" ref="D58:G58" si="15">IF(D57&gt;0,D57,0)</f>
        <v>0</v>
      </c>
      <c r="E58" s="80">
        <f t="shared" si="15"/>
        <v>0</v>
      </c>
      <c r="F58" s="80">
        <f t="shared" si="15"/>
        <v>0</v>
      </c>
      <c r="G58" s="79">
        <f t="shared" si="15"/>
        <v>125237.2433493436</v>
      </c>
      <c r="H58" s="96">
        <f t="shared" si="11"/>
        <v>125237.2433493436</v>
      </c>
      <c r="I58" s="48"/>
      <c r="J58" s="49"/>
      <c r="K58" s="18"/>
    </row>
    <row r="59" spans="1:11" ht="15.75" thickBot="1" x14ac:dyDescent="0.3">
      <c r="A59" s="81" t="s">
        <v>19</v>
      </c>
      <c r="B59" s="82" t="s">
        <v>45</v>
      </c>
      <c r="C59" s="83">
        <f>IF(C57&lt;0,C57*-1,0)</f>
        <v>33462.476208665423</v>
      </c>
      <c r="D59" s="84">
        <f t="shared" ref="D59:G59" si="16">IF(D57&lt;0,D57*-1,0)</f>
        <v>9698.731830964738</v>
      </c>
      <c r="E59" s="85">
        <f t="shared" si="16"/>
        <v>752265.98641121329</v>
      </c>
      <c r="F59" s="85">
        <f t="shared" si="16"/>
        <v>54980.24805645633</v>
      </c>
      <c r="G59" s="84">
        <f t="shared" si="16"/>
        <v>0</v>
      </c>
      <c r="H59" s="97">
        <f t="shared" si="11"/>
        <v>850407.44250729983</v>
      </c>
      <c r="I59" s="48"/>
      <c r="J59" s="49"/>
      <c r="K59" s="18"/>
    </row>
    <row r="60" spans="1:11" x14ac:dyDescent="0.25">
      <c r="B60" s="16"/>
      <c r="C60" s="18"/>
      <c r="D60" s="18"/>
      <c r="E60" s="18"/>
      <c r="F60" s="18"/>
      <c r="G60" s="18"/>
      <c r="H60" s="49"/>
      <c r="I60" s="49"/>
      <c r="J60" s="49"/>
      <c r="K60" s="18"/>
    </row>
    <row r="61" spans="1:11" ht="15.75" thickBot="1" x14ac:dyDescent="0.3">
      <c r="A61" s="86" t="s">
        <v>36</v>
      </c>
      <c r="H61" s="3"/>
      <c r="I61" s="3"/>
    </row>
    <row r="62" spans="1:11" x14ac:dyDescent="0.25">
      <c r="A62" s="6" t="s">
        <v>100</v>
      </c>
      <c r="B62" s="51"/>
      <c r="C62" s="87">
        <f>C57-C28</f>
        <v>-13024.476208665423</v>
      </c>
      <c r="D62" s="88">
        <f t="shared" ref="D62:G62" si="17">D57-D28</f>
        <v>4745.268169035262</v>
      </c>
      <c r="E62" s="89">
        <f t="shared" si="17"/>
        <v>-403556.98641121329</v>
      </c>
      <c r="F62" s="89">
        <f t="shared" si="17"/>
        <v>38870.75194354367</v>
      </c>
      <c r="G62" s="88">
        <f t="shared" si="17"/>
        <v>220660.2433493436</v>
      </c>
      <c r="H62" s="98">
        <f t="shared" ref="H62:H64" si="18">SUM(C62:G62)</f>
        <v>-152305.19915795617</v>
      </c>
    </row>
    <row r="63" spans="1:11" x14ac:dyDescent="0.25">
      <c r="A63" s="76" t="s">
        <v>101</v>
      </c>
      <c r="B63" s="77" t="s">
        <v>66</v>
      </c>
      <c r="C63" s="78">
        <f>IF(C62&gt;0,C62,0)</f>
        <v>0</v>
      </c>
      <c r="D63" s="79">
        <f t="shared" ref="D63:G63" si="19">IF(D62&gt;0,D62,0)</f>
        <v>4745.268169035262</v>
      </c>
      <c r="E63" s="80">
        <f t="shared" si="19"/>
        <v>0</v>
      </c>
      <c r="F63" s="80">
        <f t="shared" si="19"/>
        <v>38870.75194354367</v>
      </c>
      <c r="G63" s="79">
        <f t="shared" si="19"/>
        <v>220660.2433493436</v>
      </c>
      <c r="H63" s="96">
        <f t="shared" si="18"/>
        <v>264276.26346192253</v>
      </c>
    </row>
    <row r="64" spans="1:11" ht="15.75" thickBot="1" x14ac:dyDescent="0.3">
      <c r="A64" s="81" t="s">
        <v>102</v>
      </c>
      <c r="B64" s="82" t="s">
        <v>67</v>
      </c>
      <c r="C64" s="83">
        <f>IF(C62&lt;0,C62*-1,0)</f>
        <v>13024.476208665423</v>
      </c>
      <c r="D64" s="84">
        <f t="shared" ref="D64:G64" si="20">IF(D62&lt;0,D62*-1,0)</f>
        <v>0</v>
      </c>
      <c r="E64" s="85">
        <f t="shared" si="20"/>
        <v>403556.98641121329</v>
      </c>
      <c r="F64" s="85">
        <f t="shared" si="20"/>
        <v>0</v>
      </c>
      <c r="G64" s="84">
        <f t="shared" si="20"/>
        <v>0</v>
      </c>
      <c r="H64" s="97">
        <f t="shared" si="18"/>
        <v>416581.4626198787</v>
      </c>
    </row>
    <row r="65" spans="1:8" ht="15.75" thickBot="1" x14ac:dyDescent="0.3">
      <c r="A65" s="151" t="s">
        <v>83</v>
      </c>
      <c r="B65" s="14"/>
      <c r="C65" s="152">
        <f>C52-C23</f>
        <v>201005.88466342073</v>
      </c>
      <c r="D65" s="153">
        <f t="shared" ref="D65:G65" si="21">D52-D23</f>
        <v>-53642.314663420431</v>
      </c>
      <c r="E65" s="154">
        <f t="shared" si="21"/>
        <v>2639173.2423448376</v>
      </c>
      <c r="F65" s="154">
        <f t="shared" si="21"/>
        <v>554525.87937366962</v>
      </c>
      <c r="G65" s="153">
        <f t="shared" si="21"/>
        <v>817710.9582814863</v>
      </c>
      <c r="H65" s="155">
        <f>SUM(C65:G65)</f>
        <v>4158773.6499999939</v>
      </c>
    </row>
  </sheetData>
  <sheetProtection password="CC7B" sheet="1" objects="1" scenarios="1"/>
  <pageMargins left="0.11811023622047245" right="0.11811023622047245" top="0.35433070866141736" bottom="0.35433070866141736" header="0.11811023622047245" footer="0.11811023622047245"/>
  <pageSetup scale="75" orientation="portrait" verticalDpi="0" r:id="rId1"/>
  <headerFooter>
    <oddFooter>&amp;L&amp;9&amp;Z&amp;F  &amp;A  &amp;D  &amp;T&amp;R&amp;P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3:L65"/>
  <sheetViews>
    <sheetView topLeftCell="A4" zoomScale="80" zoomScaleNormal="80" workbookViewId="0">
      <selection activeCell="L38" sqref="L38"/>
    </sheetView>
  </sheetViews>
  <sheetFormatPr defaultRowHeight="15" x14ac:dyDescent="0.25"/>
  <cols>
    <col min="1" max="1" width="36" customWidth="1"/>
    <col min="2" max="2" width="11.140625" bestFit="1" customWidth="1"/>
    <col min="3" max="3" width="15.28515625" bestFit="1" customWidth="1"/>
    <col min="4" max="4" width="12.5703125" bestFit="1" customWidth="1"/>
    <col min="5" max="5" width="12.85546875" bestFit="1" customWidth="1"/>
    <col min="6" max="7" width="12.140625" bestFit="1" customWidth="1"/>
    <col min="8" max="8" width="13.28515625" bestFit="1" customWidth="1"/>
    <col min="9" max="9" width="5.28515625" customWidth="1"/>
  </cols>
  <sheetData>
    <row r="3" spans="1:11" ht="5.25" customHeight="1" x14ac:dyDescent="0.25">
      <c r="A3" s="1"/>
      <c r="B3" s="1"/>
      <c r="E3" s="3"/>
    </row>
    <row r="4" spans="1:11" x14ac:dyDescent="0.25">
      <c r="A4" s="1"/>
      <c r="B4" s="1"/>
      <c r="E4" s="3"/>
    </row>
    <row r="5" spans="1:11" s="61" customFormat="1" x14ac:dyDescent="0.25">
      <c r="A5" s="60" t="s">
        <v>34</v>
      </c>
      <c r="B5" s="60"/>
    </row>
    <row r="6" spans="1:11" x14ac:dyDescent="0.25">
      <c r="A6" s="1" t="s">
        <v>5</v>
      </c>
      <c r="B6" s="1"/>
      <c r="E6" s="99" t="s">
        <v>75</v>
      </c>
      <c r="F6" s="99">
        <v>2017</v>
      </c>
    </row>
    <row r="7" spans="1:11" ht="15.75" thickBot="1" x14ac:dyDescent="0.3">
      <c r="A7" s="1"/>
      <c r="B7" s="1"/>
      <c r="E7" s="3"/>
      <c r="J7" s="3"/>
      <c r="K7" s="3"/>
    </row>
    <row r="8" spans="1:11" ht="15.75" thickBot="1" x14ac:dyDescent="0.3">
      <c r="A8" s="12"/>
      <c r="B8" s="12"/>
      <c r="C8" s="14" t="s">
        <v>12</v>
      </c>
      <c r="D8" s="15" t="s">
        <v>13</v>
      </c>
      <c r="E8" s="3"/>
      <c r="J8" s="3"/>
      <c r="K8" s="3"/>
    </row>
    <row r="9" spans="1:11" x14ac:dyDescent="0.25">
      <c r="A9" s="6" t="s">
        <v>9</v>
      </c>
      <c r="B9" s="51" t="s">
        <v>46</v>
      </c>
      <c r="C9" s="180"/>
      <c r="D9" s="189"/>
      <c r="J9" s="3"/>
      <c r="K9" s="3"/>
    </row>
    <row r="10" spans="1:11" ht="17.25" x14ac:dyDescent="0.25">
      <c r="A10" s="7" t="s">
        <v>7</v>
      </c>
      <c r="B10" s="52" t="s">
        <v>47</v>
      </c>
      <c r="C10" s="54">
        <v>801784</v>
      </c>
      <c r="D10" s="190"/>
      <c r="E10" s="100"/>
      <c r="G10" s="100"/>
      <c r="J10" s="3"/>
      <c r="K10" s="3"/>
    </row>
    <row r="11" spans="1:11" ht="17.25" x14ac:dyDescent="0.25">
      <c r="A11" s="7" t="s">
        <v>8</v>
      </c>
      <c r="B11" s="52" t="s">
        <v>48</v>
      </c>
      <c r="C11" s="54">
        <v>571418</v>
      </c>
      <c r="D11" s="190"/>
      <c r="E11" s="100"/>
      <c r="F11" s="102"/>
      <c r="G11" s="100"/>
      <c r="J11" s="3"/>
      <c r="K11" s="3"/>
    </row>
    <row r="12" spans="1:11" ht="17.25" x14ac:dyDescent="0.25">
      <c r="A12" s="7" t="s">
        <v>6</v>
      </c>
      <c r="B12" s="52" t="s">
        <v>49</v>
      </c>
      <c r="C12" s="54">
        <v>13273686</v>
      </c>
      <c r="D12" s="190"/>
      <c r="G12" s="100"/>
      <c r="J12" s="3"/>
      <c r="K12" s="3"/>
    </row>
    <row r="13" spans="1:11" ht="17.25" x14ac:dyDescent="0.25">
      <c r="A13" s="7" t="s">
        <v>10</v>
      </c>
      <c r="B13" s="52" t="s">
        <v>50</v>
      </c>
      <c r="C13" s="54">
        <v>3811642</v>
      </c>
      <c r="D13" s="190"/>
      <c r="G13" s="100"/>
      <c r="J13" s="3"/>
      <c r="K13" s="3"/>
    </row>
    <row r="14" spans="1:11" ht="17.25" x14ac:dyDescent="0.25">
      <c r="A14" s="7" t="s">
        <v>11</v>
      </c>
      <c r="B14" s="52" t="s">
        <v>51</v>
      </c>
      <c r="C14" s="55">
        <v>4151405</v>
      </c>
      <c r="D14" s="191"/>
      <c r="F14" s="102"/>
      <c r="G14" s="100"/>
      <c r="J14" s="3"/>
      <c r="K14" s="3"/>
    </row>
    <row r="15" spans="1:11" x14ac:dyDescent="0.25">
      <c r="A15" s="17" t="s">
        <v>92</v>
      </c>
      <c r="B15" s="30" t="s">
        <v>52</v>
      </c>
      <c r="C15" s="56">
        <f>SUM(C10:C14)</f>
        <v>22609935</v>
      </c>
      <c r="D15" s="191"/>
      <c r="J15" s="3"/>
      <c r="K15" s="3"/>
    </row>
    <row r="16" spans="1:11" x14ac:dyDescent="0.25">
      <c r="A16" s="8" t="s">
        <v>85</v>
      </c>
      <c r="B16" s="29" t="s">
        <v>53</v>
      </c>
      <c r="C16" s="58">
        <v>2.7562320000000001E-2</v>
      </c>
      <c r="D16" s="193"/>
      <c r="J16" s="3"/>
      <c r="K16" s="3"/>
    </row>
    <row r="17" spans="1:12" ht="17.25" x14ac:dyDescent="0.25">
      <c r="A17" s="8" t="s">
        <v>86</v>
      </c>
      <c r="B17" s="29" t="s">
        <v>54</v>
      </c>
      <c r="C17" s="181"/>
      <c r="D17" s="4"/>
      <c r="I17" s="3"/>
      <c r="J17" s="41"/>
      <c r="K17" s="3"/>
    </row>
    <row r="18" spans="1:12" ht="15.75" thickBot="1" x14ac:dyDescent="0.3">
      <c r="A18" s="9" t="s">
        <v>87</v>
      </c>
      <c r="B18" s="31" t="s">
        <v>55</v>
      </c>
      <c r="C18" s="188">
        <v>0.10920000000000001</v>
      </c>
      <c r="D18" s="5"/>
      <c r="I18" s="3"/>
      <c r="J18" s="3"/>
      <c r="K18" s="3"/>
    </row>
    <row r="19" spans="1:12" ht="8.25" customHeight="1" thickBot="1" x14ac:dyDescent="0.3">
      <c r="B19" s="16"/>
      <c r="I19" s="3"/>
      <c r="J19" s="3"/>
      <c r="K19" s="3"/>
    </row>
    <row r="20" spans="1:12" ht="15.75" thickBot="1" x14ac:dyDescent="0.3">
      <c r="A20" s="22" t="s">
        <v>1</v>
      </c>
      <c r="B20" s="14"/>
      <c r="C20" s="23" t="s">
        <v>14</v>
      </c>
      <c r="D20" s="15" t="s">
        <v>15</v>
      </c>
      <c r="E20" s="24" t="s">
        <v>2</v>
      </c>
      <c r="F20" s="24" t="s">
        <v>3</v>
      </c>
      <c r="G20" s="15" t="s">
        <v>4</v>
      </c>
      <c r="H20" s="90" t="s">
        <v>65</v>
      </c>
      <c r="I20" s="42"/>
      <c r="J20" s="3"/>
      <c r="K20" s="3"/>
    </row>
    <row r="21" spans="1:12" x14ac:dyDescent="0.25">
      <c r="A21" s="8" t="s">
        <v>16</v>
      </c>
      <c r="B21" s="29" t="s">
        <v>56</v>
      </c>
      <c r="C21" s="32">
        <v>9.0999999999999998E-2</v>
      </c>
      <c r="D21" s="19">
        <v>0.106</v>
      </c>
      <c r="E21" s="25">
        <v>7.6999999999999999E-2</v>
      </c>
      <c r="F21" s="25">
        <v>0.113</v>
      </c>
      <c r="G21" s="19">
        <v>0.157</v>
      </c>
      <c r="H21" s="91"/>
      <c r="I21" s="43"/>
      <c r="J21" s="3"/>
      <c r="K21" s="3"/>
    </row>
    <row r="22" spans="1:12" x14ac:dyDescent="0.25">
      <c r="A22" s="7" t="s">
        <v>17</v>
      </c>
      <c r="B22" s="52" t="s">
        <v>57</v>
      </c>
      <c r="C22" s="192"/>
      <c r="D22" s="193"/>
      <c r="E22" s="194"/>
      <c r="F22" s="194"/>
      <c r="G22" s="190"/>
      <c r="H22" s="92"/>
      <c r="I22" s="44"/>
      <c r="J22" s="3"/>
      <c r="K22" s="3"/>
    </row>
    <row r="23" spans="1:12" x14ac:dyDescent="0.25">
      <c r="A23" s="8" t="s">
        <v>96</v>
      </c>
      <c r="B23" s="29" t="s">
        <v>58</v>
      </c>
      <c r="C23" s="33">
        <f>C10</f>
        <v>801784</v>
      </c>
      <c r="D23" s="20">
        <f>C11</f>
        <v>571418</v>
      </c>
      <c r="E23" s="26">
        <f>C12</f>
        <v>13273686</v>
      </c>
      <c r="F23" s="26">
        <f>C13</f>
        <v>3811642</v>
      </c>
      <c r="G23" s="20">
        <f>C14</f>
        <v>4151405</v>
      </c>
      <c r="H23" s="93">
        <f>SUM(C23:G23)</f>
        <v>22609935</v>
      </c>
      <c r="I23" s="45"/>
      <c r="J23" s="3"/>
      <c r="K23" s="3"/>
    </row>
    <row r="24" spans="1:12" ht="9.75" customHeight="1" x14ac:dyDescent="0.25">
      <c r="A24" s="8"/>
      <c r="B24" s="29"/>
      <c r="C24" s="10"/>
      <c r="D24" s="4"/>
      <c r="E24" s="27"/>
      <c r="F24" s="27"/>
      <c r="G24" s="4"/>
      <c r="H24" s="7"/>
      <c r="I24" s="2"/>
      <c r="J24" s="3"/>
    </row>
    <row r="25" spans="1:12" x14ac:dyDescent="0.25">
      <c r="A25" s="8" t="s">
        <v>93</v>
      </c>
      <c r="B25" s="29" t="s">
        <v>59</v>
      </c>
      <c r="C25" s="182">
        <f t="shared" ref="C25:D25" si="0">C23*C21</f>
        <v>72962.343999999997</v>
      </c>
      <c r="D25" s="183">
        <f t="shared" si="0"/>
        <v>60570.307999999997</v>
      </c>
      <c r="E25" s="184">
        <f>E23*E21</f>
        <v>1022073.822</v>
      </c>
      <c r="F25" s="184">
        <f t="shared" ref="F25:G25" si="1">F23*F21</f>
        <v>430715.54600000003</v>
      </c>
      <c r="G25" s="183">
        <f t="shared" si="1"/>
        <v>651770.58499999996</v>
      </c>
      <c r="H25" s="94">
        <f t="shared" ref="H25:H30" si="2">SUM(C25:G25)</f>
        <v>2238092.605</v>
      </c>
      <c r="I25" s="46"/>
      <c r="J25" s="3"/>
    </row>
    <row r="26" spans="1:12" x14ac:dyDescent="0.25">
      <c r="A26" s="8" t="s">
        <v>94</v>
      </c>
      <c r="B26" s="29" t="s">
        <v>60</v>
      </c>
      <c r="C26" s="182">
        <f t="shared" ref="C26:D26" si="3">C23*$C$16</f>
        <v>22099.027178880002</v>
      </c>
      <c r="D26" s="183">
        <f t="shared" si="3"/>
        <v>15749.605769760001</v>
      </c>
      <c r="E26" s="184">
        <f>E23*$C$16</f>
        <v>365853.58111152</v>
      </c>
      <c r="F26" s="184">
        <f t="shared" ref="F26:G26" si="4">F23*$C$16</f>
        <v>105057.69652944</v>
      </c>
      <c r="G26" s="183">
        <f t="shared" si="4"/>
        <v>114422.35305960001</v>
      </c>
      <c r="H26" s="94">
        <f t="shared" si="2"/>
        <v>623182.26364919997</v>
      </c>
      <c r="I26" s="46"/>
      <c r="J26" s="3"/>
    </row>
    <row r="27" spans="1:12" ht="15.75" thickBot="1" x14ac:dyDescent="0.3">
      <c r="A27" s="9" t="s">
        <v>95</v>
      </c>
      <c r="B27" s="31" t="s">
        <v>61</v>
      </c>
      <c r="C27" s="185">
        <f>C23*$C$18</f>
        <v>87554.8128</v>
      </c>
      <c r="D27" s="186">
        <f t="shared" ref="D27:G27" si="5">D23*$C$18</f>
        <v>62398.845600000001</v>
      </c>
      <c r="E27" s="187">
        <f t="shared" si="5"/>
        <v>1449486.5112000001</v>
      </c>
      <c r="F27" s="187">
        <f t="shared" si="5"/>
        <v>416231.3064</v>
      </c>
      <c r="G27" s="186">
        <f t="shared" si="5"/>
        <v>453333.42600000004</v>
      </c>
      <c r="H27" s="95">
        <f t="shared" si="2"/>
        <v>2469004.9020000002</v>
      </c>
      <c r="I27" s="46"/>
      <c r="J27" s="3"/>
    </row>
    <row r="28" spans="1:12" x14ac:dyDescent="0.25">
      <c r="A28" s="17" t="s">
        <v>99</v>
      </c>
      <c r="B28" s="30" t="s">
        <v>62</v>
      </c>
      <c r="C28" s="120">
        <f>57234-87521-1</f>
        <v>-30288</v>
      </c>
      <c r="D28" s="121">
        <f>40790-62375</f>
        <v>-21585</v>
      </c>
      <c r="E28" s="122">
        <f>947518-1448935</f>
        <v>-501417</v>
      </c>
      <c r="F28" s="122">
        <f>272087-416073</f>
        <v>-143986</v>
      </c>
      <c r="G28" s="121">
        <f>296341-453161</f>
        <v>-156820</v>
      </c>
      <c r="H28" s="98">
        <f t="shared" si="2"/>
        <v>-854096</v>
      </c>
      <c r="I28" s="47"/>
      <c r="J28" s="49"/>
      <c r="L28" s="18"/>
    </row>
    <row r="29" spans="1:12" x14ac:dyDescent="0.25">
      <c r="A29" s="66" t="s">
        <v>97</v>
      </c>
      <c r="B29" s="67" t="s">
        <v>63</v>
      </c>
      <c r="C29" s="68">
        <f>IF(C28&gt;0,C28,0)</f>
        <v>0</v>
      </c>
      <c r="D29" s="69">
        <f t="shared" ref="D29:G29" si="6">IF(D28&gt;0,D28,0)</f>
        <v>0</v>
      </c>
      <c r="E29" s="70">
        <f t="shared" si="6"/>
        <v>0</v>
      </c>
      <c r="F29" s="70">
        <f t="shared" si="6"/>
        <v>0</v>
      </c>
      <c r="G29" s="69">
        <f t="shared" si="6"/>
        <v>0</v>
      </c>
      <c r="H29" s="96">
        <f t="shared" si="2"/>
        <v>0</v>
      </c>
      <c r="I29" s="48"/>
      <c r="J29" s="49"/>
      <c r="K29" s="18"/>
    </row>
    <row r="30" spans="1:12" ht="15.75" thickBot="1" x14ac:dyDescent="0.3">
      <c r="A30" s="71" t="s">
        <v>98</v>
      </c>
      <c r="B30" s="72" t="s">
        <v>64</v>
      </c>
      <c r="C30" s="73">
        <f>IF(C28&lt;0,C28*-1,0)</f>
        <v>30288</v>
      </c>
      <c r="D30" s="74">
        <f t="shared" ref="D30:G30" si="7">IF(D28&lt;0,D28*-1,0)</f>
        <v>21585</v>
      </c>
      <c r="E30" s="75">
        <f t="shared" si="7"/>
        <v>501417</v>
      </c>
      <c r="F30" s="75">
        <f t="shared" si="7"/>
        <v>143986</v>
      </c>
      <c r="G30" s="74">
        <f t="shared" si="7"/>
        <v>156820</v>
      </c>
      <c r="H30" s="97">
        <f t="shared" si="2"/>
        <v>854096</v>
      </c>
      <c r="I30" s="48"/>
      <c r="J30" s="49"/>
      <c r="K30" s="18"/>
    </row>
    <row r="31" spans="1:12" x14ac:dyDescent="0.25">
      <c r="B31" s="16"/>
      <c r="C31" s="18"/>
      <c r="D31" s="18"/>
      <c r="E31" s="18"/>
      <c r="F31" s="18"/>
      <c r="G31" s="18"/>
      <c r="H31" s="49"/>
      <c r="I31" s="49"/>
      <c r="J31" s="49"/>
      <c r="K31" s="18"/>
    </row>
    <row r="32" spans="1:12" x14ac:dyDescent="0.25">
      <c r="B32" s="16"/>
      <c r="C32" s="18"/>
      <c r="D32" s="18"/>
      <c r="E32" s="18"/>
      <c r="F32" s="18"/>
      <c r="G32" s="18"/>
      <c r="H32" s="18"/>
      <c r="I32" s="49"/>
      <c r="J32" s="49"/>
      <c r="K32" s="18"/>
    </row>
    <row r="33" spans="1:12" s="62" customFormat="1" x14ac:dyDescent="0.25">
      <c r="A33" s="65" t="s">
        <v>35</v>
      </c>
      <c r="B33" s="63"/>
      <c r="C33" s="64"/>
      <c r="D33" s="64"/>
      <c r="E33" s="64"/>
      <c r="F33" s="64"/>
      <c r="G33" s="64"/>
      <c r="H33" s="64"/>
      <c r="I33" s="64"/>
      <c r="J33" s="64"/>
      <c r="K33" s="64"/>
    </row>
    <row r="34" spans="1:12" x14ac:dyDescent="0.25">
      <c r="A34" s="1" t="s">
        <v>5</v>
      </c>
      <c r="B34" s="1"/>
      <c r="E34" s="3"/>
      <c r="F34" s="118"/>
    </row>
    <row r="35" spans="1:12" ht="15.75" thickBot="1" x14ac:dyDescent="0.3">
      <c r="B35" s="16"/>
      <c r="C35" s="18"/>
      <c r="D35" s="18"/>
      <c r="E35" s="18"/>
      <c r="F35" s="18"/>
      <c r="G35" s="18"/>
      <c r="H35" s="18"/>
      <c r="I35" s="49"/>
      <c r="J35" s="49"/>
      <c r="K35" s="18"/>
    </row>
    <row r="36" spans="1:12" ht="30.75" thickBot="1" x14ac:dyDescent="0.3">
      <c r="A36" s="12"/>
      <c r="B36" s="12"/>
      <c r="C36" s="14" t="s">
        <v>12</v>
      </c>
      <c r="D36" s="15" t="s">
        <v>13</v>
      </c>
      <c r="E36" s="3"/>
      <c r="G36" s="159" t="s">
        <v>84</v>
      </c>
      <c r="J36" s="105"/>
    </row>
    <row r="37" spans="1:12" x14ac:dyDescent="0.25">
      <c r="A37" s="6" t="s">
        <v>9</v>
      </c>
      <c r="B37" s="51" t="s">
        <v>21</v>
      </c>
      <c r="C37" s="53">
        <v>36689563.009999909</v>
      </c>
      <c r="D37" s="13">
        <f>C37/C37</f>
        <v>1</v>
      </c>
    </row>
    <row r="38" spans="1:12" ht="17.25" x14ac:dyDescent="0.25">
      <c r="A38" s="7" t="s">
        <v>103</v>
      </c>
      <c r="B38" s="52" t="s">
        <v>22</v>
      </c>
      <c r="C38" s="54">
        <f>G38*D38</f>
        <v>896266.71796215489</v>
      </c>
      <c r="D38" s="156">
        <v>0.66881107410947005</v>
      </c>
      <c r="F38" s="100">
        <f>G38/G43</f>
        <v>5.8867677090715852E-2</v>
      </c>
      <c r="G38" s="101">
        <v>1340089.53</v>
      </c>
    </row>
    <row r="39" spans="1:12" ht="17.25" x14ac:dyDescent="0.25">
      <c r="A39" s="7" t="s">
        <v>104</v>
      </c>
      <c r="B39" s="52" t="s">
        <v>23</v>
      </c>
      <c r="C39" s="54">
        <f>G38*D39</f>
        <v>443822.81203784514</v>
      </c>
      <c r="D39" s="156">
        <v>0.33118892589052995</v>
      </c>
      <c r="F39" s="100"/>
    </row>
    <row r="40" spans="1:12" ht="17.25" x14ac:dyDescent="0.25">
      <c r="A40" s="7" t="s">
        <v>105</v>
      </c>
      <c r="B40" s="52" t="s">
        <v>24</v>
      </c>
      <c r="C40" s="54">
        <f>G40*D40</f>
        <v>13923063.727969464</v>
      </c>
      <c r="D40" s="156">
        <v>0.64987107348185924</v>
      </c>
      <c r="F40" s="100">
        <f>G40/G43</f>
        <v>0.94113232290928406</v>
      </c>
      <c r="G40" s="101">
        <v>21424347.529999916</v>
      </c>
    </row>
    <row r="41" spans="1:12" ht="17.25" x14ac:dyDescent="0.25">
      <c r="A41" s="7" t="s">
        <v>106</v>
      </c>
      <c r="B41" s="52" t="s">
        <v>25</v>
      </c>
      <c r="C41" s="54">
        <f>G40*D41</f>
        <v>3602573.5601550825</v>
      </c>
      <c r="D41" s="156">
        <v>0.16815324504564255</v>
      </c>
      <c r="F41" s="100"/>
    </row>
    <row r="42" spans="1:12" ht="17.25" x14ac:dyDescent="0.25">
      <c r="A42" s="7" t="s">
        <v>107</v>
      </c>
      <c r="B42" s="52" t="s">
        <v>26</v>
      </c>
      <c r="C42" s="55">
        <f>G40*D42</f>
        <v>3898710.2418753682</v>
      </c>
      <c r="D42" s="157">
        <v>0.18197568147249821</v>
      </c>
      <c r="F42" s="100"/>
    </row>
    <row r="43" spans="1:12" x14ac:dyDescent="0.25">
      <c r="A43" s="17" t="s">
        <v>108</v>
      </c>
      <c r="B43" s="30" t="s">
        <v>27</v>
      </c>
      <c r="C43" s="56">
        <f>SUM(C38:C42)</f>
        <v>22764437.059999917</v>
      </c>
      <c r="D43" s="11">
        <f>C43/C37</f>
        <v>0.62046083933448226</v>
      </c>
      <c r="F43" s="100">
        <f>C43/G43</f>
        <v>1</v>
      </c>
      <c r="G43" s="101">
        <v>22764437.059999917</v>
      </c>
      <c r="H43" s="102">
        <f>F38+F40-F43</f>
        <v>0</v>
      </c>
    </row>
    <row r="44" spans="1:12" x14ac:dyDescent="0.25">
      <c r="A44" s="8" t="s">
        <v>0</v>
      </c>
      <c r="B44" s="29" t="s">
        <v>28</v>
      </c>
      <c r="C44" s="57">
        <f>D45/C45</f>
        <v>1.7972677309372225E-2</v>
      </c>
      <c r="D44" s="4"/>
      <c r="J44" s="3"/>
    </row>
    <row r="45" spans="1:12" ht="17.25" x14ac:dyDescent="0.25">
      <c r="A45" s="8" t="s">
        <v>81</v>
      </c>
      <c r="B45" s="29" t="s">
        <v>29</v>
      </c>
      <c r="C45" s="54">
        <v>43657633</v>
      </c>
      <c r="D45" s="50">
        <v>784644.55</v>
      </c>
      <c r="J45" s="3"/>
      <c r="L45" s="105"/>
    </row>
    <row r="46" spans="1:12" ht="17.25" x14ac:dyDescent="0.25">
      <c r="A46" s="8" t="s">
        <v>32</v>
      </c>
      <c r="B46" s="29" t="s">
        <v>30</v>
      </c>
      <c r="C46" s="58">
        <v>101.09</v>
      </c>
      <c r="D46" s="4"/>
      <c r="I46" s="3"/>
      <c r="J46" s="41"/>
    </row>
    <row r="47" spans="1:12" ht="15.75" thickBot="1" x14ac:dyDescent="0.3">
      <c r="A47" s="9" t="s">
        <v>33</v>
      </c>
      <c r="B47" s="31" t="s">
        <v>31</v>
      </c>
      <c r="C47" s="59">
        <f>C46/1000</f>
        <v>0.10109</v>
      </c>
      <c r="D47" s="5"/>
      <c r="H47" s="3"/>
      <c r="I47" s="3"/>
      <c r="J47" s="3"/>
    </row>
    <row r="48" spans="1:12" ht="15.75" thickBot="1" x14ac:dyDescent="0.3">
      <c r="B48" s="16"/>
      <c r="H48" s="3"/>
      <c r="I48" s="3"/>
      <c r="J48" s="3"/>
    </row>
    <row r="49" spans="1:11" ht="15.75" thickBot="1" x14ac:dyDescent="0.3">
      <c r="A49" s="22" t="s">
        <v>88</v>
      </c>
      <c r="B49" s="14"/>
      <c r="C49" s="23" t="s">
        <v>14</v>
      </c>
      <c r="D49" s="15" t="s">
        <v>15</v>
      </c>
      <c r="E49" s="24" t="s">
        <v>2</v>
      </c>
      <c r="F49" s="24" t="s">
        <v>3</v>
      </c>
      <c r="G49" s="15" t="s">
        <v>4</v>
      </c>
      <c r="H49" s="90" t="s">
        <v>65</v>
      </c>
      <c r="I49" s="42"/>
      <c r="J49" s="3"/>
    </row>
    <row r="50" spans="1:11" x14ac:dyDescent="0.25">
      <c r="A50" s="8" t="s">
        <v>16</v>
      </c>
      <c r="B50" s="29" t="s">
        <v>37</v>
      </c>
      <c r="C50" s="114">
        <f>C21</f>
        <v>9.0999999999999998E-2</v>
      </c>
      <c r="D50" s="115">
        <f t="shared" ref="D50:G50" si="8">D21</f>
        <v>0.106</v>
      </c>
      <c r="E50" s="116">
        <f t="shared" si="8"/>
        <v>7.6999999999999999E-2</v>
      </c>
      <c r="F50" s="116">
        <f t="shared" si="8"/>
        <v>0.113</v>
      </c>
      <c r="G50" s="115">
        <f t="shared" si="8"/>
        <v>0.157</v>
      </c>
      <c r="H50" s="91"/>
      <c r="I50" s="43"/>
      <c r="J50" s="3"/>
    </row>
    <row r="51" spans="1:11" x14ac:dyDescent="0.25">
      <c r="A51" s="7" t="s">
        <v>17</v>
      </c>
      <c r="B51" s="52" t="s">
        <v>38</v>
      </c>
      <c r="C51" s="192"/>
      <c r="D51" s="193"/>
      <c r="E51" s="194"/>
      <c r="F51" s="194"/>
      <c r="G51" s="190"/>
      <c r="H51" s="92"/>
      <c r="I51" s="44"/>
      <c r="J51" s="3"/>
    </row>
    <row r="52" spans="1:11" x14ac:dyDescent="0.25">
      <c r="A52" s="8" t="s">
        <v>109</v>
      </c>
      <c r="B52" s="29" t="s">
        <v>39</v>
      </c>
      <c r="C52" s="33">
        <f>C38</f>
        <v>896266.71796215489</v>
      </c>
      <c r="D52" s="20">
        <f>C39</f>
        <v>443822.81203784514</v>
      </c>
      <c r="E52" s="26">
        <f>C40</f>
        <v>13923063.727969464</v>
      </c>
      <c r="F52" s="26">
        <f>C41</f>
        <v>3602573.5601550825</v>
      </c>
      <c r="G52" s="20">
        <f>C42</f>
        <v>3898710.2418753682</v>
      </c>
      <c r="H52" s="93">
        <f>SUM(C52:G52)</f>
        <v>22764437.059999917</v>
      </c>
      <c r="I52" s="45"/>
      <c r="J52" s="3"/>
    </row>
    <row r="53" spans="1:11" x14ac:dyDescent="0.25">
      <c r="A53" s="8"/>
      <c r="B53" s="29"/>
      <c r="C53" s="10"/>
      <c r="D53" s="4"/>
      <c r="E53" s="27"/>
      <c r="F53" s="27"/>
      <c r="G53" s="4"/>
      <c r="H53" s="7"/>
      <c r="I53" s="2"/>
      <c r="J53" s="3"/>
    </row>
    <row r="54" spans="1:11" x14ac:dyDescent="0.25">
      <c r="A54" s="8" t="s">
        <v>89</v>
      </c>
      <c r="B54" s="29" t="s">
        <v>40</v>
      </c>
      <c r="C54" s="34">
        <f>C52*C50</f>
        <v>81560.271334556091</v>
      </c>
      <c r="D54" s="21">
        <f t="shared" ref="D54" si="9">D52*D50</f>
        <v>47045.218076011581</v>
      </c>
      <c r="E54" s="28">
        <f>E52*E50</f>
        <v>1072075.9070536487</v>
      </c>
      <c r="F54" s="28">
        <f t="shared" ref="F54:G54" si="10">F52*F50</f>
        <v>407090.81229752436</v>
      </c>
      <c r="G54" s="21">
        <f t="shared" si="10"/>
        <v>612097.50797443278</v>
      </c>
      <c r="H54" s="94">
        <f t="shared" ref="H54:H59" si="11">SUM(C54:G54)</f>
        <v>2219869.7167361737</v>
      </c>
      <c r="I54" s="46"/>
      <c r="J54" s="3"/>
    </row>
    <row r="55" spans="1:11" x14ac:dyDescent="0.25">
      <c r="A55" s="8" t="s">
        <v>90</v>
      </c>
      <c r="B55" s="29" t="s">
        <v>41</v>
      </c>
      <c r="C55" s="34">
        <f>C52*$C$44</f>
        <v>16108.312505063937</v>
      </c>
      <c r="D55" s="21">
        <f t="shared" ref="D55:G55" si="12">D52*$C$44</f>
        <v>7976.6841832943537</v>
      </c>
      <c r="E55" s="28">
        <f t="shared" si="12"/>
        <v>250234.73154062024</v>
      </c>
      <c r="F55" s="28">
        <f t="shared" si="12"/>
        <v>64747.892079943565</v>
      </c>
      <c r="G55" s="21">
        <f t="shared" si="12"/>
        <v>70070.261099970536</v>
      </c>
      <c r="H55" s="94">
        <f t="shared" si="11"/>
        <v>409137.88140889263</v>
      </c>
      <c r="I55" s="46"/>
      <c r="J55" s="3"/>
    </row>
    <row r="56" spans="1:11" ht="15.75" thickBot="1" x14ac:dyDescent="0.3">
      <c r="A56" s="9" t="s">
        <v>91</v>
      </c>
      <c r="B56" s="31" t="s">
        <v>42</v>
      </c>
      <c r="C56" s="38">
        <f>C52*$C$47</f>
        <v>90603.602518794243</v>
      </c>
      <c r="D56" s="39">
        <f t="shared" ref="D56:G56" si="13">D52*$C$47</f>
        <v>44866.048068905766</v>
      </c>
      <c r="E56" s="40">
        <f t="shared" si="13"/>
        <v>1407482.5122604331</v>
      </c>
      <c r="F56" s="40">
        <f t="shared" si="13"/>
        <v>364184.1611960773</v>
      </c>
      <c r="G56" s="39">
        <f t="shared" si="13"/>
        <v>394120.61835118098</v>
      </c>
      <c r="H56" s="95">
        <f t="shared" si="11"/>
        <v>2301256.9423953914</v>
      </c>
      <c r="I56" s="46"/>
      <c r="J56" s="3"/>
    </row>
    <row r="57" spans="1:11" x14ac:dyDescent="0.25">
      <c r="A57" s="17" t="s">
        <v>20</v>
      </c>
      <c r="B57" s="30" t="s">
        <v>43</v>
      </c>
      <c r="C57" s="35">
        <f>C54-C55-C56</f>
        <v>-25151.643689302087</v>
      </c>
      <c r="D57" s="36">
        <f t="shared" ref="D57:G57" si="14">D54-D55-D56</f>
        <v>-5797.5141761885388</v>
      </c>
      <c r="E57" s="37">
        <f t="shared" si="14"/>
        <v>-585641.33674740454</v>
      </c>
      <c r="F57" s="37">
        <f t="shared" si="14"/>
        <v>-21841.240978496498</v>
      </c>
      <c r="G57" s="36">
        <f t="shared" si="14"/>
        <v>147906.62852328125</v>
      </c>
      <c r="H57" s="98">
        <f t="shared" si="11"/>
        <v>-490525.10706811043</v>
      </c>
      <c r="I57" s="47"/>
      <c r="J57" s="3"/>
    </row>
    <row r="58" spans="1:11" x14ac:dyDescent="0.25">
      <c r="A58" s="76" t="s">
        <v>18</v>
      </c>
      <c r="B58" s="77" t="s">
        <v>44</v>
      </c>
      <c r="C58" s="78">
        <f>IF(C57&gt;0,C57,0)</f>
        <v>0</v>
      </c>
      <c r="D58" s="79">
        <f t="shared" ref="D58:G58" si="15">IF(D57&gt;0,D57,0)</f>
        <v>0</v>
      </c>
      <c r="E58" s="80">
        <f t="shared" si="15"/>
        <v>0</v>
      </c>
      <c r="F58" s="80">
        <f t="shared" si="15"/>
        <v>0</v>
      </c>
      <c r="G58" s="79">
        <f t="shared" si="15"/>
        <v>147906.62852328125</v>
      </c>
      <c r="H58" s="96">
        <f t="shared" si="11"/>
        <v>147906.62852328125</v>
      </c>
      <c r="I58" s="48"/>
      <c r="J58" s="49"/>
      <c r="K58" s="18"/>
    </row>
    <row r="59" spans="1:11" ht="15.75" thickBot="1" x14ac:dyDescent="0.3">
      <c r="A59" s="81" t="s">
        <v>19</v>
      </c>
      <c r="B59" s="82" t="s">
        <v>45</v>
      </c>
      <c r="C59" s="83">
        <f>IF(C57&lt;0,C57*-1,0)</f>
        <v>25151.643689302087</v>
      </c>
      <c r="D59" s="84">
        <f t="shared" ref="D59:G59" si="16">IF(D57&lt;0,D57*-1,0)</f>
        <v>5797.5141761885388</v>
      </c>
      <c r="E59" s="85">
        <f t="shared" si="16"/>
        <v>585641.33674740454</v>
      </c>
      <c r="F59" s="85">
        <f t="shared" si="16"/>
        <v>21841.240978496498</v>
      </c>
      <c r="G59" s="84">
        <f t="shared" si="16"/>
        <v>0</v>
      </c>
      <c r="H59" s="97">
        <f t="shared" si="11"/>
        <v>638431.73559139168</v>
      </c>
      <c r="I59" s="48"/>
      <c r="J59" s="49"/>
      <c r="K59" s="18"/>
    </row>
    <row r="60" spans="1:11" x14ac:dyDescent="0.25">
      <c r="B60" s="16"/>
      <c r="C60" s="18"/>
      <c r="D60" s="18"/>
      <c r="E60" s="18"/>
      <c r="F60" s="18"/>
      <c r="G60" s="18"/>
      <c r="H60" s="49"/>
      <c r="I60" s="49"/>
      <c r="J60" s="49"/>
      <c r="K60" s="18"/>
    </row>
    <row r="61" spans="1:11" ht="15.75" thickBot="1" x14ac:dyDescent="0.3">
      <c r="A61" s="86" t="s">
        <v>36</v>
      </c>
      <c r="H61" s="3"/>
      <c r="I61" s="3"/>
    </row>
    <row r="62" spans="1:11" x14ac:dyDescent="0.25">
      <c r="A62" s="6" t="s">
        <v>100</v>
      </c>
      <c r="B62" s="51"/>
      <c r="C62" s="87">
        <f>C57-C28</f>
        <v>5136.3563106979127</v>
      </c>
      <c r="D62" s="88">
        <f t="shared" ref="D62:G62" si="17">D57-D28</f>
        <v>15787.485823811461</v>
      </c>
      <c r="E62" s="89">
        <f t="shared" si="17"/>
        <v>-84224.336747404537</v>
      </c>
      <c r="F62" s="89">
        <f t="shared" si="17"/>
        <v>122144.7590215035</v>
      </c>
      <c r="G62" s="88">
        <f t="shared" si="17"/>
        <v>304726.62852328125</v>
      </c>
      <c r="H62" s="98">
        <f t="shared" ref="H62:H64" si="18">SUM(C62:G62)</f>
        <v>363570.89293188957</v>
      </c>
    </row>
    <row r="63" spans="1:11" x14ac:dyDescent="0.25">
      <c r="A63" s="76" t="s">
        <v>101</v>
      </c>
      <c r="B63" s="77" t="s">
        <v>66</v>
      </c>
      <c r="C63" s="78">
        <f>IF(C62&gt;0,C62,0)</f>
        <v>5136.3563106979127</v>
      </c>
      <c r="D63" s="79">
        <f t="shared" ref="D63:G63" si="19">IF(D62&gt;0,D62,0)</f>
        <v>15787.485823811461</v>
      </c>
      <c r="E63" s="80">
        <f t="shared" si="19"/>
        <v>0</v>
      </c>
      <c r="F63" s="80">
        <f t="shared" si="19"/>
        <v>122144.7590215035</v>
      </c>
      <c r="G63" s="79">
        <f t="shared" si="19"/>
        <v>304726.62852328125</v>
      </c>
      <c r="H63" s="96">
        <f t="shared" si="18"/>
        <v>447795.22967929416</v>
      </c>
    </row>
    <row r="64" spans="1:11" ht="15.75" thickBot="1" x14ac:dyDescent="0.3">
      <c r="A64" s="81" t="s">
        <v>102</v>
      </c>
      <c r="B64" s="82" t="s">
        <v>67</v>
      </c>
      <c r="C64" s="83">
        <f>IF(C62&lt;0,C62*-1,0)</f>
        <v>0</v>
      </c>
      <c r="D64" s="84">
        <f t="shared" ref="D64:G64" si="20">IF(D62&lt;0,D62*-1,0)</f>
        <v>0</v>
      </c>
      <c r="E64" s="85">
        <f t="shared" si="20"/>
        <v>84224.336747404537</v>
      </c>
      <c r="F64" s="85">
        <f t="shared" si="20"/>
        <v>0</v>
      </c>
      <c r="G64" s="84">
        <f t="shared" si="20"/>
        <v>0</v>
      </c>
      <c r="H64" s="97">
        <f t="shared" si="18"/>
        <v>84224.336747404537</v>
      </c>
    </row>
    <row r="65" spans="1:8" ht="15.75" thickBot="1" x14ac:dyDescent="0.3">
      <c r="A65" s="151" t="s">
        <v>83</v>
      </c>
      <c r="B65" s="14"/>
      <c r="C65" s="152">
        <f>C52-C23</f>
        <v>94482.717962154886</v>
      </c>
      <c r="D65" s="153">
        <f t="shared" ref="D65:G65" si="21">D52-D23</f>
        <v>-127595.18796215486</v>
      </c>
      <c r="E65" s="154">
        <f t="shared" si="21"/>
        <v>649377.72796946391</v>
      </c>
      <c r="F65" s="154">
        <f t="shared" si="21"/>
        <v>-209068.43984491751</v>
      </c>
      <c r="G65" s="153">
        <f t="shared" si="21"/>
        <v>-252694.75812463183</v>
      </c>
      <c r="H65" s="155">
        <f>SUM(C65:G65)</f>
        <v>154502.05999991461</v>
      </c>
    </row>
  </sheetData>
  <sheetProtection password="CC7B" sheet="1" objects="1" scenarios="1"/>
  <pageMargins left="0.11811023622047245" right="0.11811023622047245" top="0.35433070866141736" bottom="0.35433070866141736" header="0.11811023622047245" footer="0.11811023622047245"/>
  <pageSetup scale="75" orientation="portrait" verticalDpi="0" r:id="rId1"/>
  <headerFooter>
    <oddFooter>&amp;L&amp;9&amp;Z&amp;F  &amp;A  &amp;D  &amp;T&amp;R&amp;P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Summary</vt:lpstr>
      <vt:lpstr>2017 01</vt:lpstr>
      <vt:lpstr>2017 02</vt:lpstr>
      <vt:lpstr>2017 03</vt:lpstr>
      <vt:lpstr>2017 04</vt:lpstr>
      <vt:lpstr>2017 05</vt:lpstr>
      <vt:lpstr>2017 06</vt:lpstr>
      <vt:lpstr>2017 07</vt:lpstr>
      <vt:lpstr>2017 08</vt:lpstr>
      <vt:lpstr>2017 09</vt:lpstr>
      <vt:lpstr>2017 10</vt:lpstr>
      <vt:lpstr>2017 11</vt:lpstr>
      <vt:lpstr>2017 12</vt:lpstr>
      <vt:lpstr>'2017 01'!Print_Area</vt:lpstr>
      <vt:lpstr>'2017 02'!Print_Area</vt:lpstr>
      <vt:lpstr>'2017 03'!Print_Area</vt:lpstr>
      <vt:lpstr>'2017 04'!Print_Area</vt:lpstr>
      <vt:lpstr>'2017 05'!Print_Area</vt:lpstr>
      <vt:lpstr>'2017 06'!Print_Area</vt:lpstr>
      <vt:lpstr>'2017 07'!Print_Area</vt:lpstr>
      <vt:lpstr>'2017 08'!Print_Area</vt:lpstr>
      <vt:lpstr>'2017 09'!Print_Area</vt:lpstr>
      <vt:lpstr>'2017 10'!Print_Area</vt:lpstr>
      <vt:lpstr>'2017 11'!Print_Area</vt:lpstr>
      <vt:lpstr>'2017 12'!Print_Area</vt:lpstr>
      <vt:lpstr>Summary!Print_Area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Rehberg-Rawlingson</dc:creator>
  <cp:lastModifiedBy>Tracy Rehberg-Rawlingson</cp:lastModifiedBy>
  <cp:lastPrinted>2019-01-23T18:40:59Z</cp:lastPrinted>
  <dcterms:created xsi:type="dcterms:W3CDTF">2019-01-17T18:57:30Z</dcterms:created>
  <dcterms:modified xsi:type="dcterms:W3CDTF">2019-02-11T16:23:20Z</dcterms:modified>
</cp:coreProperties>
</file>