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bbacon\Documents\Lakeland\2019 Rate Appl\Interrogatories\"/>
    </mc:Choice>
  </mc:AlternateContent>
  <bookViews>
    <workbookView xWindow="0" yWindow="0" windowWidth="15360" windowHeight="8720" tabRatio="831" firstSheet="3" activeTab="8"/>
  </bookViews>
  <sheets>
    <sheet name="Exhibit 3 Tables" sheetId="48" r:id="rId1"/>
    <sheet name="Summary" sheetId="11" r:id="rId2"/>
    <sheet name="Stats Sum" sheetId="33" r:id="rId3"/>
    <sheet name="Purchased Power Model " sheetId="19" r:id="rId4"/>
    <sheet name="Purchased Power Model - WN" sheetId="49" r:id="rId5"/>
    <sheet name="Residential - Not Used" sheetId="20" r:id="rId6"/>
    <sheet name="GS &lt; 50 kW - Not Used" sheetId="38" r:id="rId7"/>
    <sheet name="GS &gt; 50 kW - Not Used" sheetId="40" r:id="rId8"/>
    <sheet name="Rate Class Energy Model" sheetId="9" r:id="rId9"/>
    <sheet name="Rate Class Customer Model" sheetId="17" r:id="rId10"/>
    <sheet name="Rate Class Load Model" sheetId="18" r:id="rId11"/>
    <sheet name="CDM Activity" sheetId="28" r:id="rId12"/>
    <sheet name="Weather Analysis" sheetId="24" r:id="rId13"/>
    <sheet name="2018 COP Forecast" sheetId="46" r:id="rId14"/>
    <sheet name="2019 COP Forecast" sheetId="47" r:id="rId15"/>
  </sheets>
  <externalReferences>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s>
  <definedNames>
    <definedName name="__CAP1000" localSheetId="0">#REF!</definedName>
    <definedName name="__CAP1000" localSheetId="4">#REF!</definedName>
    <definedName name="__CAP1000">#REF!</definedName>
    <definedName name="__OP1000" localSheetId="0">#REF!</definedName>
    <definedName name="__OP1000" localSheetId="4">#REF!</definedName>
    <definedName name="__OP1000">#REF!</definedName>
    <definedName name="_110" localSheetId="0">#REF!</definedName>
    <definedName name="_110" localSheetId="4">#REF!</definedName>
    <definedName name="_110">#REF!</definedName>
    <definedName name="_110INPT" localSheetId="4">#REF!</definedName>
    <definedName name="_110INPT">#REF!</definedName>
    <definedName name="_115" localSheetId="4">#REF!</definedName>
    <definedName name="_115">#REF!</definedName>
    <definedName name="_115INPT" localSheetId="4">#REF!</definedName>
    <definedName name="_115INPT">#REF!</definedName>
    <definedName name="_120" localSheetId="4">#REF!</definedName>
    <definedName name="_120">#REF!</definedName>
    <definedName name="_140" localSheetId="4">#REF!</definedName>
    <definedName name="_140">#REF!</definedName>
    <definedName name="_140INPT" localSheetId="4">#REF!</definedName>
    <definedName name="_140INPT">#REF!</definedName>
    <definedName name="_CAP1000" localSheetId="4">#REF!</definedName>
    <definedName name="_CAP1000">#REF!</definedName>
    <definedName name="_Fill" hidden="1">'[1]Old MEA Statistics'!$B$250</definedName>
    <definedName name="_OP1000" localSheetId="0">#REF!</definedName>
    <definedName name="_OP1000" localSheetId="4">#REF!</definedName>
    <definedName name="_OP1000">#REF!</definedName>
    <definedName name="_Order1" hidden="1">255</definedName>
    <definedName name="_Order2" hidden="1">0</definedName>
    <definedName name="_Sort" localSheetId="0" hidden="1">[2]Sheet1!$G$40:$K$40</definedName>
    <definedName name="_Sort" localSheetId="2" hidden="1">[3]Sheet1!$G$40:$K$40</definedName>
    <definedName name="_Sort" localSheetId="12" hidden="1">[4]Sheet1!$G$40:$K$40</definedName>
    <definedName name="_Sort" hidden="1">[5]Sheet1!$G$40:$K$40</definedName>
    <definedName name="ALL" localSheetId="0">#REF!</definedName>
    <definedName name="ALL" localSheetId="4">#REF!</definedName>
    <definedName name="ALL">#REF!</definedName>
    <definedName name="ApprovedYr">'[6]Z1.ModelVariables'!$C$12</definedName>
    <definedName name="CAfile" localSheetId="0">[7]Refs!$B$2</definedName>
    <definedName name="CAfile">[8]Refs!$B$2</definedName>
    <definedName name="CAPCOSTS" localSheetId="0">#REF!</definedName>
    <definedName name="CAPCOSTS" localSheetId="4">#REF!</definedName>
    <definedName name="CAPCOSTS">#REF!</definedName>
    <definedName name="CAPITAL" localSheetId="0">#REF!</definedName>
    <definedName name="CAPITAL" localSheetId="4">#REF!</definedName>
    <definedName name="CAPITAL">#REF!</definedName>
    <definedName name="CapitalExpListing" localSheetId="0">#REF!</definedName>
    <definedName name="CapitalExpListing" localSheetId="4">#REF!</definedName>
    <definedName name="CapitalExpListing">#REF!</definedName>
    <definedName name="CArevReq" localSheetId="0">[7]Refs!$B$6</definedName>
    <definedName name="CArevReq">[8]Refs!$B$6</definedName>
    <definedName name="CASHFLOW" localSheetId="0">#REF!</definedName>
    <definedName name="CASHFLOW" localSheetId="4">#REF!</definedName>
    <definedName name="CASHFLOW">#REF!</definedName>
    <definedName name="cc" localSheetId="0">#REF!</definedName>
    <definedName name="cc" localSheetId="4">#REF!</definedName>
    <definedName name="cc">#REF!</definedName>
    <definedName name="ClassRange1" localSheetId="0">[7]Refs!$B$3</definedName>
    <definedName name="ClassRange1">[8]Refs!$B$3</definedName>
    <definedName name="ClassRange2" localSheetId="0">[7]Refs!$B$4</definedName>
    <definedName name="ClassRange2">[8]Refs!$B$4</definedName>
    <definedName name="contactf" localSheetId="0">#REF!</definedName>
    <definedName name="contactf" localSheetId="4">#REF!</definedName>
    <definedName name="contactf">#REF!</definedName>
    <definedName name="_xlnm.Criteria" localSheetId="0">#REF!</definedName>
    <definedName name="_xlnm.Criteria" localSheetId="4">#REF!</definedName>
    <definedName name="_xlnm.Criteria">#REF!</definedName>
    <definedName name="CRLF">'[6]Z1.ModelVariables'!$C$10</definedName>
    <definedName name="_xlnm.Database" localSheetId="0">#REF!</definedName>
    <definedName name="_xlnm.Database" localSheetId="4">#REF!</definedName>
    <definedName name="_xlnm.Database">#REF!</definedName>
    <definedName name="DaysInPreviousYear">'[9]Distribution Revenue by Source'!$B$22</definedName>
    <definedName name="DaysInYear">'[9]Distribution Revenue by Source'!$B$21</definedName>
    <definedName name="DEBTREPAY" localSheetId="0">#REF!</definedName>
    <definedName name="DEBTREPAY" localSheetId="4">#REF!</definedName>
    <definedName name="DEBTREPAY">#REF!</definedName>
    <definedName name="DeptDiv" localSheetId="0">#REF!</definedName>
    <definedName name="DeptDiv" localSheetId="4">#REF!</definedName>
    <definedName name="DeptDiv">#REF!</definedName>
    <definedName name="ExpenseAccountListing" localSheetId="0">#REF!</definedName>
    <definedName name="ExpenseAccountListing" localSheetId="4">#REF!</definedName>
    <definedName name="ExpenseAccountListing">#REF!</definedName>
    <definedName name="_xlnm.Extract" localSheetId="4">#REF!</definedName>
    <definedName name="_xlnm.Extract">#REF!</definedName>
    <definedName name="FakeBlank">'[6]Z1.ModelVariables'!$C$14</definedName>
    <definedName name="FolderPath" localSheetId="0">[7]Menu!$C$8</definedName>
    <definedName name="FolderPath">[8]Menu!$C$8</definedName>
    <definedName name="histdate">[10]Financials!$E$76</definedName>
    <definedName name="Incr2000" localSheetId="0">#REF!</definedName>
    <definedName name="Incr2000" localSheetId="4">#REF!</definedName>
    <definedName name="Incr2000">#REF!</definedName>
    <definedName name="INTERIM" localSheetId="0">#REF!</definedName>
    <definedName name="INTERIM" localSheetId="4">#REF!</definedName>
    <definedName name="INTERIM">#REF!</definedName>
    <definedName name="LIMIT" localSheetId="0">#REF!</definedName>
    <definedName name="LIMIT" localSheetId="4">#REF!</definedName>
    <definedName name="LIMIT">#REF!</definedName>
    <definedName name="man_beg_bud" localSheetId="4">#REF!</definedName>
    <definedName name="man_beg_bud">#REF!</definedName>
    <definedName name="man_end_bud" localSheetId="4">#REF!</definedName>
    <definedName name="man_end_bud">#REF!</definedName>
    <definedName name="man12ACT" localSheetId="4">#REF!</definedName>
    <definedName name="man12ACT">#REF!</definedName>
    <definedName name="MANBUD" localSheetId="4">#REF!</definedName>
    <definedName name="MANBUD">#REF!</definedName>
    <definedName name="manCYACT" localSheetId="4">#REF!</definedName>
    <definedName name="manCYACT">#REF!</definedName>
    <definedName name="manCYBUD" localSheetId="4">#REF!</definedName>
    <definedName name="manCYBUD">#REF!</definedName>
    <definedName name="manCYF" localSheetId="4">#REF!</definedName>
    <definedName name="manCYF">#REF!</definedName>
    <definedName name="MANEND" localSheetId="4">#REF!</definedName>
    <definedName name="MANEND">#REF!</definedName>
    <definedName name="manNYbud" localSheetId="4">#REF!</definedName>
    <definedName name="manNYbud">#REF!</definedName>
    <definedName name="manpower_costs" localSheetId="4">#REF!</definedName>
    <definedName name="manpower_costs">#REF!</definedName>
    <definedName name="manPYACT" localSheetId="4">#REF!</definedName>
    <definedName name="manPYACT">#REF!</definedName>
    <definedName name="MANSTART" localSheetId="4">#REF!</definedName>
    <definedName name="MANSTART">#REF!</definedName>
    <definedName name="mat_beg_bud" localSheetId="4">#REF!</definedName>
    <definedName name="mat_beg_bud">#REF!</definedName>
    <definedName name="mat_end_bud" localSheetId="4">#REF!</definedName>
    <definedName name="mat_end_bud">#REF!</definedName>
    <definedName name="mat12ACT" localSheetId="4">#REF!</definedName>
    <definedName name="mat12ACT">#REF!</definedName>
    <definedName name="MATBUD" localSheetId="4">#REF!</definedName>
    <definedName name="MATBUD">#REF!</definedName>
    <definedName name="matCYACT" localSheetId="4">#REF!</definedName>
    <definedName name="matCYACT">#REF!</definedName>
    <definedName name="matCYBUD" localSheetId="4">#REF!</definedName>
    <definedName name="matCYBUD">#REF!</definedName>
    <definedName name="matCYF" localSheetId="4">#REF!</definedName>
    <definedName name="matCYF">#REF!</definedName>
    <definedName name="MATEND" localSheetId="4">#REF!</definedName>
    <definedName name="MATEND">#REF!</definedName>
    <definedName name="material_costs" localSheetId="4">#REF!</definedName>
    <definedName name="material_costs">#REF!</definedName>
    <definedName name="matNYbud" localSheetId="4">#REF!</definedName>
    <definedName name="matNYbud">#REF!</definedName>
    <definedName name="matPYACT" localSheetId="4">#REF!</definedName>
    <definedName name="matPYACT">#REF!</definedName>
    <definedName name="MATSTART" localSheetId="4">#REF!</definedName>
    <definedName name="MATSTART">#REF!</definedName>
    <definedName name="mea" localSheetId="4">#REF!</definedName>
    <definedName name="mea">#REF!</definedName>
    <definedName name="MEABAL" localSheetId="4">#REF!</definedName>
    <definedName name="MEABAL">#REF!</definedName>
    <definedName name="MEACASH" localSheetId="4">#REF!</definedName>
    <definedName name="MEACASH">#REF!</definedName>
    <definedName name="MEAEQITY" localSheetId="4">#REF!</definedName>
    <definedName name="MEAEQITY">#REF!</definedName>
    <definedName name="MEAOP" localSheetId="4">#REF!</definedName>
    <definedName name="MEAOP">#REF!</definedName>
    <definedName name="MofF" localSheetId="4">#REF!</definedName>
    <definedName name="MofF">#REF!</definedName>
    <definedName name="NewRevReq" localSheetId="0">[7]Refs!$B$8</definedName>
    <definedName name="NewRevReq">[8]Refs!$B$8</definedName>
    <definedName name="NOTES" localSheetId="0">#REF!</definedName>
    <definedName name="NOTES" localSheetId="4">#REF!</definedName>
    <definedName name="NOTES">#REF!</definedName>
    <definedName name="OPERATING" localSheetId="0">#REF!</definedName>
    <definedName name="OPERATING" localSheetId="4">#REF!</definedName>
    <definedName name="OPERATING">#REF!</definedName>
    <definedName name="oth_beg_bud" localSheetId="0">#REF!</definedName>
    <definedName name="oth_beg_bud" localSheetId="4">#REF!</definedName>
    <definedName name="oth_beg_bud">#REF!</definedName>
    <definedName name="oth_end_bud" localSheetId="4">#REF!</definedName>
    <definedName name="oth_end_bud">#REF!</definedName>
    <definedName name="oth12ACT" localSheetId="4">#REF!</definedName>
    <definedName name="oth12ACT">#REF!</definedName>
    <definedName name="othCYACT" localSheetId="4">#REF!</definedName>
    <definedName name="othCYACT">#REF!</definedName>
    <definedName name="othCYBUD" localSheetId="4">#REF!</definedName>
    <definedName name="othCYBUD">#REF!</definedName>
    <definedName name="othCYF" localSheetId="4">#REF!</definedName>
    <definedName name="othCYF">#REF!</definedName>
    <definedName name="OTHEND" localSheetId="4">#REF!</definedName>
    <definedName name="OTHEND">#REF!</definedName>
    <definedName name="other_costs" localSheetId="4">#REF!</definedName>
    <definedName name="other_costs">#REF!</definedName>
    <definedName name="OTHERBUD" localSheetId="4">#REF!</definedName>
    <definedName name="OTHERBUD">#REF!</definedName>
    <definedName name="othNYbud" localSheetId="4">#REF!</definedName>
    <definedName name="othNYbud">#REF!</definedName>
    <definedName name="othPYACT" localSheetId="4">#REF!</definedName>
    <definedName name="othPYACT">#REF!</definedName>
    <definedName name="OTHSTART" localSheetId="4">#REF!</definedName>
    <definedName name="OTHSTART">#REF!</definedName>
    <definedName name="PAGE11" localSheetId="13">#REF!</definedName>
    <definedName name="PAGE11" localSheetId="14">#REF!</definedName>
    <definedName name="PAGE11" localSheetId="0">#REF!</definedName>
    <definedName name="PAGE11" localSheetId="6">#REF!</definedName>
    <definedName name="PAGE11" localSheetId="7">#REF!</definedName>
    <definedName name="PAGE11" localSheetId="4">#REF!</definedName>
    <definedName name="PAGE11" localSheetId="12">#REF!</definedName>
    <definedName name="PAGE11">#REF!</definedName>
    <definedName name="PAGE2" localSheetId="0">[2]Sheet1!$A$1:$I$40</definedName>
    <definedName name="PAGE2" localSheetId="2">[3]Sheet1!$A$1:$I$40</definedName>
    <definedName name="PAGE2" localSheetId="12">[4]Sheet1!$A$1:$I$40</definedName>
    <definedName name="PAGE2">[5]Sheet1!$A$1:$I$40</definedName>
    <definedName name="PAGE3" localSheetId="13">#REF!</definedName>
    <definedName name="PAGE3" localSheetId="14">#REF!</definedName>
    <definedName name="PAGE3" localSheetId="0">#REF!</definedName>
    <definedName name="PAGE3" localSheetId="6">#REF!</definedName>
    <definedName name="PAGE3" localSheetId="7">#REF!</definedName>
    <definedName name="PAGE3" localSheetId="4">#REF!</definedName>
    <definedName name="PAGE3" localSheetId="12">#REF!</definedName>
    <definedName name="PAGE3">#REF!</definedName>
    <definedName name="PAGE4" localSheetId="13">#REF!</definedName>
    <definedName name="PAGE4" localSheetId="14">#REF!</definedName>
    <definedName name="PAGE4" localSheetId="0">#REF!</definedName>
    <definedName name="PAGE4" localSheetId="6">#REF!</definedName>
    <definedName name="PAGE4" localSheetId="7">#REF!</definedName>
    <definedName name="PAGE4" localSheetId="4">#REF!</definedName>
    <definedName name="PAGE4" localSheetId="12">#REF!</definedName>
    <definedName name="PAGE4">#REF!</definedName>
    <definedName name="PAGE7" localSheetId="13">#REF!</definedName>
    <definedName name="PAGE7" localSheetId="14">#REF!</definedName>
    <definedName name="PAGE7" localSheetId="0">#REF!</definedName>
    <definedName name="PAGE7" localSheetId="6">#REF!</definedName>
    <definedName name="PAGE7" localSheetId="7">#REF!</definedName>
    <definedName name="PAGE7" localSheetId="4">#REF!</definedName>
    <definedName name="PAGE7" localSheetId="12">#REF!</definedName>
    <definedName name="PAGE7">#REF!</definedName>
    <definedName name="PAGE9" localSheetId="13">#REF!</definedName>
    <definedName name="PAGE9" localSheetId="14">#REF!</definedName>
    <definedName name="PAGE9" localSheetId="0">#REF!</definedName>
    <definedName name="PAGE9" localSheetId="6">#REF!</definedName>
    <definedName name="PAGE9" localSheetId="7">#REF!</definedName>
    <definedName name="PAGE9" localSheetId="4">#REF!</definedName>
    <definedName name="PAGE9" localSheetId="12">#REF!</definedName>
    <definedName name="PAGE9">#REF!</definedName>
    <definedName name="PageOne" localSheetId="4">#REF!</definedName>
    <definedName name="PageOne">#REF!</definedName>
    <definedName name="PR" localSheetId="4">#REF!</definedName>
    <definedName name="PR">#REF!</definedName>
    <definedName name="_xlnm.Print_Area" localSheetId="11">'CDM Activity'!$A$1:$R$37</definedName>
    <definedName name="_xlnm.Print_Area" localSheetId="6">'GS &lt; 50 kW - Not Used'!$P$75:$T$98</definedName>
    <definedName name="_xlnm.Print_Area" localSheetId="7">'GS &gt; 50 kW - Not Used'!$P$75:$T$98</definedName>
    <definedName name="_xlnm.Print_Area" localSheetId="3">'Purchased Power Model '!$A$1:$Q$167</definedName>
    <definedName name="_xlnm.Print_Area" localSheetId="4">'Purchased Power Model - WN'!$A$1:$M$167</definedName>
    <definedName name="_xlnm.Print_Area" localSheetId="9">'Rate Class Customer Model'!$A$1:$C$2</definedName>
    <definedName name="_xlnm.Print_Area" localSheetId="8">'Rate Class Energy Model'!$A$1:$I$2</definedName>
    <definedName name="_xlnm.Print_Area" localSheetId="10">'Rate Class Load Model'!$A$1:$A$1</definedName>
    <definedName name="_xlnm.Print_Area" localSheetId="5">'Residential - Not Used'!$P$75:$T$98</definedName>
    <definedName name="_xlnm.Print_Area" localSheetId="1">Summary!#REF!</definedName>
    <definedName name="Print_Area_MI" localSheetId="0">#REF!</definedName>
    <definedName name="Print_Area_MI" localSheetId="4">#REF!</definedName>
    <definedName name="Print_Area_MI">#REF!</definedName>
    <definedName name="print_end" localSheetId="0">#REF!</definedName>
    <definedName name="print_end" localSheetId="4">#REF!</definedName>
    <definedName name="print_end">#REF!</definedName>
    <definedName name="PRIOR" localSheetId="0">#REF!</definedName>
    <definedName name="PRIOR" localSheetId="4">#REF!</definedName>
    <definedName name="PRIOR">#REF!</definedName>
    <definedName name="Ratebase">'[9]Distribution Revenue by Source'!$C$25</definedName>
    <definedName name="RevReqLookupKey" localSheetId="0">[7]Refs!$B$5</definedName>
    <definedName name="RevReqLookupKey">[8]Refs!$B$5</definedName>
    <definedName name="RevReqRange" localSheetId="0">[7]Refs!$B$7</definedName>
    <definedName name="RevReqRange">[8]Refs!$B$7</definedName>
    <definedName name="RVCASHPR" localSheetId="0">#REF!</definedName>
    <definedName name="RVCASHPR" localSheetId="4">#REF!</definedName>
    <definedName name="RVCASHPR">#REF!</definedName>
    <definedName name="SALBENF" localSheetId="0">#REF!</definedName>
    <definedName name="SALBENF" localSheetId="4">#REF!</definedName>
    <definedName name="SALBENF">#REF!</definedName>
    <definedName name="salreg" localSheetId="0">#REF!</definedName>
    <definedName name="salreg" localSheetId="4">#REF!</definedName>
    <definedName name="salreg">#REF!</definedName>
    <definedName name="SALREGF" localSheetId="4">#REF!</definedName>
    <definedName name="SALREGF">#REF!</definedName>
    <definedName name="SOURCEAPP" localSheetId="4">#REF!</definedName>
    <definedName name="SOURCEAPP">#REF!</definedName>
    <definedName name="STATS1" localSheetId="4">#REF!</definedName>
    <definedName name="STATS1">#REF!</definedName>
    <definedName name="STATS2" localSheetId="4">#REF!</definedName>
    <definedName name="STATS2">#REF!</definedName>
    <definedName name="Surtax" localSheetId="4">#REF!</definedName>
    <definedName name="Surtax">#REF!</definedName>
    <definedName name="TEMPA" localSheetId="4">#REF!</definedName>
    <definedName name="TEMPA">#REF!</definedName>
    <definedName name="TestYr">'[6]A1.Admin'!$C$13</definedName>
    <definedName name="TestYrPL">'[11]Revenue Requirement'!$B$10</definedName>
    <definedName name="total_dept" localSheetId="0">#REF!</definedName>
    <definedName name="total_dept" localSheetId="4">#REF!</definedName>
    <definedName name="total_dept">#REF!</definedName>
    <definedName name="total_manpower" localSheetId="0">#REF!</definedName>
    <definedName name="total_manpower" localSheetId="4">#REF!</definedName>
    <definedName name="total_manpower">#REF!</definedName>
    <definedName name="total_material" localSheetId="0">#REF!</definedName>
    <definedName name="total_material" localSheetId="4">#REF!</definedName>
    <definedName name="total_material">#REF!</definedName>
    <definedName name="total_other" localSheetId="4">#REF!</definedName>
    <definedName name="total_other">#REF!</definedName>
    <definedName name="total_transportation" localSheetId="4">#REF!</definedName>
    <definedName name="total_transportation">#REF!</definedName>
    <definedName name="TOTCAPADDITIONS" localSheetId="4">#REF!</definedName>
    <definedName name="TOTCAPADDITIONS">#REF!</definedName>
    <definedName name="TRANBUD" localSheetId="4">#REF!</definedName>
    <definedName name="TRANBUD">#REF!</definedName>
    <definedName name="TRANEND" localSheetId="4">#REF!</definedName>
    <definedName name="TRANEND">#REF!</definedName>
    <definedName name="TRANSCAP" localSheetId="4">#REF!</definedName>
    <definedName name="TRANSCAP">#REF!</definedName>
    <definedName name="TRANSFER" localSheetId="4">#REF!</definedName>
    <definedName name="TRANSFER">#REF!</definedName>
    <definedName name="transportation_costs" localSheetId="4">#REF!</definedName>
    <definedName name="transportation_costs">#REF!</definedName>
    <definedName name="TRANSTART" localSheetId="4">#REF!</definedName>
    <definedName name="TRANSTART">#REF!</definedName>
    <definedName name="trn_beg_bud" localSheetId="4">#REF!</definedName>
    <definedName name="trn_beg_bud">#REF!</definedName>
    <definedName name="trn_end_bud" localSheetId="4">#REF!</definedName>
    <definedName name="trn_end_bud">#REF!</definedName>
    <definedName name="trn12ACT" localSheetId="4">#REF!</definedName>
    <definedName name="trn12ACT">#REF!</definedName>
    <definedName name="trnCYACT" localSheetId="4">#REF!</definedName>
    <definedName name="trnCYACT">#REF!</definedName>
    <definedName name="trnCYBUD" localSheetId="4">#REF!</definedName>
    <definedName name="trnCYBUD">#REF!</definedName>
    <definedName name="trnCYF" localSheetId="4">#REF!</definedName>
    <definedName name="trnCYF">#REF!</definedName>
    <definedName name="trnNYbud" localSheetId="4">#REF!</definedName>
    <definedName name="trnNYbud">#REF!</definedName>
    <definedName name="trnPYACT" localSheetId="4">#REF!</definedName>
    <definedName name="trnPYACT">#REF!</definedName>
    <definedName name="Utility">[10]Financials!$A$1</definedName>
    <definedName name="utitliy1">[12]Financials!$A$1</definedName>
    <definedName name="WAGBENF" localSheetId="0">#REF!</definedName>
    <definedName name="WAGBENF" localSheetId="4">#REF!</definedName>
    <definedName name="WAGBENF">#REF!</definedName>
    <definedName name="wagdob" localSheetId="0">#REF!</definedName>
    <definedName name="wagdob" localSheetId="4">#REF!</definedName>
    <definedName name="wagdob">#REF!</definedName>
    <definedName name="wagdobf" localSheetId="0">#REF!</definedName>
    <definedName name="wagdobf" localSheetId="4">#REF!</definedName>
    <definedName name="wagdobf">#REF!</definedName>
    <definedName name="wagreg" localSheetId="4">#REF!</definedName>
    <definedName name="wagreg">#REF!</definedName>
    <definedName name="wagregf" localSheetId="4">#REF!</definedName>
    <definedName name="wagregf">#REF!</definedName>
  </definedNames>
  <calcPr calcId="152511" iterate="1"/>
</workbook>
</file>

<file path=xl/calcChain.xml><?xml version="1.0" encoding="utf-8"?>
<calcChain xmlns="http://schemas.openxmlformats.org/spreadsheetml/2006/main">
  <c r="I162" i="49" l="1"/>
  <c r="I161" i="49"/>
  <c r="I160" i="49"/>
  <c r="I159" i="49"/>
  <c r="I158" i="49"/>
  <c r="I157" i="49"/>
  <c r="I156" i="49"/>
  <c r="I155" i="49"/>
  <c r="I154" i="49"/>
  <c r="I153" i="49"/>
  <c r="I152" i="49"/>
  <c r="I151" i="49"/>
  <c r="I164" i="49" s="1"/>
  <c r="J166" i="19"/>
  <c r="I166" i="19"/>
  <c r="I164" i="19"/>
  <c r="I162" i="19"/>
  <c r="I161" i="19"/>
  <c r="I160" i="19"/>
  <c r="I159" i="19"/>
  <c r="I158" i="19"/>
  <c r="I157" i="19"/>
  <c r="I156" i="19"/>
  <c r="I155" i="19"/>
  <c r="I154" i="19"/>
  <c r="I153" i="19"/>
  <c r="I152" i="19"/>
  <c r="I151" i="19"/>
  <c r="I166" i="49" l="1"/>
  <c r="J166" i="49" s="1"/>
  <c r="K181" i="49" l="1"/>
  <c r="J181" i="49"/>
  <c r="I181" i="49"/>
  <c r="H181" i="49"/>
  <c r="G181" i="49"/>
  <c r="K180" i="49"/>
  <c r="J180" i="49"/>
  <c r="I180" i="49"/>
  <c r="H180" i="49"/>
  <c r="Q180" i="49" s="1"/>
  <c r="G180" i="49"/>
  <c r="K179" i="49"/>
  <c r="J179" i="49"/>
  <c r="I179" i="49"/>
  <c r="H179" i="49"/>
  <c r="G179" i="49"/>
  <c r="K178" i="49"/>
  <c r="J178" i="49"/>
  <c r="I178" i="49"/>
  <c r="H178" i="49"/>
  <c r="G178" i="49"/>
  <c r="K177" i="49"/>
  <c r="J177" i="49"/>
  <c r="I177" i="49"/>
  <c r="H177" i="49"/>
  <c r="G177" i="49"/>
  <c r="K176" i="49"/>
  <c r="J176" i="49"/>
  <c r="I176" i="49"/>
  <c r="H176" i="49"/>
  <c r="Q176" i="49" s="1"/>
  <c r="G176" i="49"/>
  <c r="K175" i="49"/>
  <c r="J175" i="49"/>
  <c r="I175" i="49"/>
  <c r="H175" i="49"/>
  <c r="G175" i="49"/>
  <c r="K174" i="49"/>
  <c r="J174" i="49"/>
  <c r="I174" i="49"/>
  <c r="H174" i="49"/>
  <c r="G174" i="49"/>
  <c r="K173" i="49"/>
  <c r="J173" i="49"/>
  <c r="I173" i="49"/>
  <c r="H173" i="49"/>
  <c r="G173" i="49"/>
  <c r="Q173" i="49" s="1"/>
  <c r="K172" i="49"/>
  <c r="J172" i="49"/>
  <c r="I172" i="49"/>
  <c r="H172" i="49"/>
  <c r="G172" i="49"/>
  <c r="K171" i="49"/>
  <c r="J171" i="49"/>
  <c r="I171" i="49"/>
  <c r="H171" i="49"/>
  <c r="G171" i="49"/>
  <c r="K170" i="49"/>
  <c r="J170" i="49"/>
  <c r="I170" i="49"/>
  <c r="H170" i="49"/>
  <c r="G170" i="49"/>
  <c r="M134" i="49"/>
  <c r="M133" i="49"/>
  <c r="M132" i="49"/>
  <c r="M131" i="49"/>
  <c r="M130" i="49"/>
  <c r="M129" i="49"/>
  <c r="M128" i="49"/>
  <c r="M127" i="49"/>
  <c r="M126" i="49"/>
  <c r="M125" i="49"/>
  <c r="M124" i="49"/>
  <c r="M123" i="49"/>
  <c r="O122" i="49"/>
  <c r="N122" i="49"/>
  <c r="M122" i="49"/>
  <c r="B122" i="49"/>
  <c r="O121" i="49"/>
  <c r="N121" i="49"/>
  <c r="M121" i="49"/>
  <c r="B121" i="49"/>
  <c r="O120" i="49"/>
  <c r="N120" i="49"/>
  <c r="M120" i="49"/>
  <c r="B120" i="49"/>
  <c r="O119" i="49"/>
  <c r="N119" i="49"/>
  <c r="M119" i="49"/>
  <c r="B119" i="49"/>
  <c r="O118" i="49"/>
  <c r="N118" i="49"/>
  <c r="M118" i="49"/>
  <c r="B118" i="49"/>
  <c r="O117" i="49"/>
  <c r="N117" i="49"/>
  <c r="M117" i="49"/>
  <c r="B117" i="49"/>
  <c r="O116" i="49"/>
  <c r="N116" i="49"/>
  <c r="M116" i="49"/>
  <c r="B116" i="49"/>
  <c r="O115" i="49"/>
  <c r="N115" i="49"/>
  <c r="M115" i="49"/>
  <c r="B115" i="49"/>
  <c r="O114" i="49"/>
  <c r="N114" i="49"/>
  <c r="M114" i="49"/>
  <c r="B114" i="49"/>
  <c r="O113" i="49"/>
  <c r="N113" i="49"/>
  <c r="M113" i="49"/>
  <c r="B113" i="49"/>
  <c r="O112" i="49"/>
  <c r="N112" i="49"/>
  <c r="M112" i="49"/>
  <c r="B112" i="49"/>
  <c r="O111" i="49"/>
  <c r="N111" i="49"/>
  <c r="M111" i="49"/>
  <c r="B111" i="49"/>
  <c r="N110" i="49"/>
  <c r="M110" i="49"/>
  <c r="B110" i="49"/>
  <c r="N109" i="49"/>
  <c r="M109" i="49"/>
  <c r="B109" i="49"/>
  <c r="N108" i="49"/>
  <c r="M108" i="49"/>
  <c r="B108" i="49"/>
  <c r="N107" i="49"/>
  <c r="M107" i="49"/>
  <c r="B107" i="49"/>
  <c r="N106" i="49"/>
  <c r="M106" i="49"/>
  <c r="B106" i="49"/>
  <c r="N105" i="49"/>
  <c r="M105" i="49"/>
  <c r="B105" i="49"/>
  <c r="N104" i="49"/>
  <c r="M104" i="49"/>
  <c r="B104" i="49"/>
  <c r="N103" i="49"/>
  <c r="M103" i="49"/>
  <c r="B103" i="49"/>
  <c r="N102" i="49"/>
  <c r="M102" i="49"/>
  <c r="B102" i="49"/>
  <c r="N101" i="49"/>
  <c r="M101" i="49"/>
  <c r="B101" i="49"/>
  <c r="N100" i="49"/>
  <c r="M100" i="49"/>
  <c r="B100" i="49"/>
  <c r="N99" i="49"/>
  <c r="M99" i="49"/>
  <c r="B99" i="49"/>
  <c r="N98" i="49"/>
  <c r="M98" i="49"/>
  <c r="B98" i="49"/>
  <c r="N97" i="49"/>
  <c r="M97" i="49"/>
  <c r="B97" i="49"/>
  <c r="N96" i="49"/>
  <c r="M96" i="49"/>
  <c r="B96" i="49"/>
  <c r="N95" i="49"/>
  <c r="M95" i="49"/>
  <c r="B95" i="49"/>
  <c r="N94" i="49"/>
  <c r="M94" i="49"/>
  <c r="B94" i="49"/>
  <c r="N93" i="49"/>
  <c r="M93" i="49"/>
  <c r="B93" i="49"/>
  <c r="N92" i="49"/>
  <c r="M92" i="49"/>
  <c r="B92" i="49"/>
  <c r="N91" i="49"/>
  <c r="M91" i="49"/>
  <c r="B91" i="49"/>
  <c r="N90" i="49"/>
  <c r="M90" i="49"/>
  <c r="B90" i="49"/>
  <c r="N89" i="49"/>
  <c r="M89" i="49"/>
  <c r="B89" i="49"/>
  <c r="N88" i="49"/>
  <c r="M88" i="49"/>
  <c r="B88" i="49"/>
  <c r="N87" i="49"/>
  <c r="M87" i="49"/>
  <c r="B87" i="49"/>
  <c r="N86" i="49"/>
  <c r="M86" i="49"/>
  <c r="B86" i="49"/>
  <c r="N85" i="49"/>
  <c r="M85" i="49"/>
  <c r="B85" i="49"/>
  <c r="N84" i="49"/>
  <c r="M84" i="49"/>
  <c r="B84" i="49"/>
  <c r="N83" i="49"/>
  <c r="M83" i="49"/>
  <c r="B83" i="49"/>
  <c r="N82" i="49"/>
  <c r="M82" i="49"/>
  <c r="B82" i="49"/>
  <c r="N81" i="49"/>
  <c r="M81" i="49"/>
  <c r="B81" i="49"/>
  <c r="N80" i="49"/>
  <c r="M80" i="49"/>
  <c r="B80" i="49"/>
  <c r="N79" i="49"/>
  <c r="M79" i="49"/>
  <c r="B79" i="49"/>
  <c r="N78" i="49"/>
  <c r="M78" i="49"/>
  <c r="B78" i="49"/>
  <c r="N77" i="49"/>
  <c r="M77" i="49"/>
  <c r="B77" i="49"/>
  <c r="N76" i="49"/>
  <c r="M76" i="49"/>
  <c r="B76" i="49"/>
  <c r="N75" i="49"/>
  <c r="M75" i="49"/>
  <c r="B75" i="49"/>
  <c r="N74" i="49"/>
  <c r="M74" i="49"/>
  <c r="B74" i="49"/>
  <c r="N73" i="49"/>
  <c r="M73" i="49"/>
  <c r="B73" i="49"/>
  <c r="N72" i="49"/>
  <c r="M72" i="49"/>
  <c r="B72" i="49"/>
  <c r="N71" i="49"/>
  <c r="M71" i="49"/>
  <c r="B71" i="49"/>
  <c r="N70" i="49"/>
  <c r="M70" i="49"/>
  <c r="B70" i="49"/>
  <c r="N69" i="49"/>
  <c r="M69" i="49"/>
  <c r="B69" i="49"/>
  <c r="N68" i="49"/>
  <c r="M68" i="49"/>
  <c r="B68" i="49"/>
  <c r="N67" i="49"/>
  <c r="M67" i="49"/>
  <c r="B67" i="49"/>
  <c r="N66" i="49"/>
  <c r="M66" i="49"/>
  <c r="B66" i="49"/>
  <c r="N65" i="49"/>
  <c r="M65" i="49"/>
  <c r="B65" i="49"/>
  <c r="N64" i="49"/>
  <c r="M64" i="49"/>
  <c r="B64" i="49"/>
  <c r="N63" i="49"/>
  <c r="M63" i="49"/>
  <c r="B63" i="49"/>
  <c r="N62" i="49"/>
  <c r="M62" i="49"/>
  <c r="B62" i="49"/>
  <c r="N61" i="49"/>
  <c r="M61" i="49"/>
  <c r="B61" i="49"/>
  <c r="N60" i="49"/>
  <c r="M60" i="49"/>
  <c r="B60" i="49"/>
  <c r="N59" i="49"/>
  <c r="M59" i="49"/>
  <c r="B59" i="49"/>
  <c r="N58" i="49"/>
  <c r="M58" i="49"/>
  <c r="B58" i="49"/>
  <c r="N57" i="49"/>
  <c r="M57" i="49"/>
  <c r="B57" i="49"/>
  <c r="N56" i="49"/>
  <c r="M56" i="49"/>
  <c r="B56" i="49"/>
  <c r="N55" i="49"/>
  <c r="M55" i="49"/>
  <c r="B55" i="49"/>
  <c r="N54" i="49"/>
  <c r="M54" i="49"/>
  <c r="B54" i="49"/>
  <c r="N53" i="49"/>
  <c r="M53" i="49"/>
  <c r="B53" i="49"/>
  <c r="N52" i="49"/>
  <c r="M52" i="49"/>
  <c r="B52" i="49"/>
  <c r="N51" i="49"/>
  <c r="M51" i="49"/>
  <c r="B51" i="49"/>
  <c r="N50" i="49"/>
  <c r="M50" i="49"/>
  <c r="B50" i="49"/>
  <c r="N49" i="49"/>
  <c r="M49" i="49"/>
  <c r="B49" i="49"/>
  <c r="N48" i="49"/>
  <c r="M48" i="49"/>
  <c r="B48" i="49"/>
  <c r="N47" i="49"/>
  <c r="M47" i="49"/>
  <c r="B47" i="49"/>
  <c r="N46" i="49"/>
  <c r="M46" i="49"/>
  <c r="B46" i="49"/>
  <c r="N45" i="49"/>
  <c r="M45" i="49"/>
  <c r="B45" i="49"/>
  <c r="N44" i="49"/>
  <c r="M44" i="49"/>
  <c r="B44" i="49"/>
  <c r="N43" i="49"/>
  <c r="M43" i="49"/>
  <c r="B43" i="49"/>
  <c r="N42" i="49"/>
  <c r="M42" i="49"/>
  <c r="B42" i="49"/>
  <c r="N41" i="49"/>
  <c r="M41" i="49"/>
  <c r="B41" i="49"/>
  <c r="N40" i="49"/>
  <c r="M40" i="49"/>
  <c r="B40" i="49"/>
  <c r="N39" i="49"/>
  <c r="M39" i="49"/>
  <c r="B39" i="49"/>
  <c r="N38" i="49"/>
  <c r="M38" i="49"/>
  <c r="B38" i="49"/>
  <c r="N37" i="49"/>
  <c r="M37" i="49"/>
  <c r="B37" i="49"/>
  <c r="N36" i="49"/>
  <c r="M36" i="49"/>
  <c r="B36" i="49"/>
  <c r="N35" i="49"/>
  <c r="M35" i="49"/>
  <c r="B35" i="49"/>
  <c r="N34" i="49"/>
  <c r="M34" i="49"/>
  <c r="B34" i="49"/>
  <c r="N33" i="49"/>
  <c r="M33" i="49"/>
  <c r="B33" i="49"/>
  <c r="N32" i="49"/>
  <c r="M32" i="49"/>
  <c r="B32" i="49"/>
  <c r="N31" i="49"/>
  <c r="M31" i="49"/>
  <c r="B31" i="49"/>
  <c r="N30" i="49"/>
  <c r="M30" i="49"/>
  <c r="B30" i="49"/>
  <c r="N29" i="49"/>
  <c r="M29" i="49"/>
  <c r="B29" i="49"/>
  <c r="N28" i="49"/>
  <c r="M28" i="49"/>
  <c r="B28" i="49"/>
  <c r="N27" i="49"/>
  <c r="M27" i="49"/>
  <c r="B27" i="49"/>
  <c r="N26" i="49"/>
  <c r="M26" i="49"/>
  <c r="B26" i="49"/>
  <c r="N25" i="49"/>
  <c r="M25" i="49"/>
  <c r="B25" i="49"/>
  <c r="N24" i="49"/>
  <c r="M24" i="49"/>
  <c r="B24" i="49"/>
  <c r="N23" i="49"/>
  <c r="M23" i="49"/>
  <c r="B23" i="49"/>
  <c r="N22" i="49"/>
  <c r="M22" i="49"/>
  <c r="B22" i="49"/>
  <c r="N21" i="49"/>
  <c r="M21" i="49"/>
  <c r="B21" i="49"/>
  <c r="N20" i="49"/>
  <c r="M20" i="49"/>
  <c r="B20" i="49"/>
  <c r="N19" i="49"/>
  <c r="M19" i="49"/>
  <c r="B19" i="49"/>
  <c r="N18" i="49"/>
  <c r="M18" i="49"/>
  <c r="B18" i="49"/>
  <c r="N17" i="49"/>
  <c r="M17" i="49"/>
  <c r="B17" i="49"/>
  <c r="N16" i="49"/>
  <c r="M16" i="49"/>
  <c r="B16" i="49"/>
  <c r="N15" i="49"/>
  <c r="M15" i="49"/>
  <c r="B15" i="49"/>
  <c r="N14" i="49"/>
  <c r="M14" i="49"/>
  <c r="B14" i="49"/>
  <c r="N13" i="49"/>
  <c r="M13" i="49"/>
  <c r="B13" i="49"/>
  <c r="N12" i="49"/>
  <c r="M12" i="49"/>
  <c r="B12" i="49"/>
  <c r="N11" i="49"/>
  <c r="M11" i="49"/>
  <c r="B11" i="49"/>
  <c r="N10" i="49"/>
  <c r="M10" i="49"/>
  <c r="B10" i="49"/>
  <c r="N9" i="49"/>
  <c r="M9" i="49"/>
  <c r="B9" i="49"/>
  <c r="N8" i="49"/>
  <c r="M8" i="49"/>
  <c r="B8" i="49"/>
  <c r="N7" i="49"/>
  <c r="M7" i="49"/>
  <c r="B7" i="49"/>
  <c r="N6" i="49"/>
  <c r="M6" i="49"/>
  <c r="B6" i="49"/>
  <c r="N5" i="49"/>
  <c r="M5" i="49"/>
  <c r="B5" i="49"/>
  <c r="N4" i="49"/>
  <c r="M4" i="49"/>
  <c r="B4" i="49"/>
  <c r="N3" i="49"/>
  <c r="M3" i="49"/>
  <c r="B3" i="49"/>
  <c r="A1" i="49"/>
  <c r="Q181" i="49" l="1"/>
  <c r="Q177" i="49"/>
  <c r="Q171" i="49"/>
  <c r="Q174" i="49"/>
  <c r="Q178" i="49"/>
  <c r="B154" i="49"/>
  <c r="B153" i="49"/>
  <c r="B151" i="49"/>
  <c r="B152" i="49"/>
  <c r="B155" i="49"/>
  <c r="B157" i="49"/>
  <c r="B158" i="49"/>
  <c r="B156" i="49"/>
  <c r="Q172" i="49"/>
  <c r="B159" i="49"/>
  <c r="B160" i="49"/>
  <c r="Q179" i="49"/>
  <c r="Q170" i="49"/>
  <c r="Q175" i="49"/>
  <c r="B164" i="49" l="1"/>
  <c r="T241" i="49"/>
  <c r="R181" i="49"/>
  <c r="G3" i="19"/>
  <c r="G4" i="19"/>
  <c r="G5" i="19"/>
  <c r="G6" i="19"/>
  <c r="G7" i="19"/>
  <c r="G8" i="19"/>
  <c r="G9" i="19"/>
  <c r="G10" i="19"/>
  <c r="G11" i="19"/>
  <c r="G12" i="19"/>
  <c r="G13" i="19"/>
  <c r="G14" i="19"/>
  <c r="G15" i="19"/>
  <c r="G16" i="19"/>
  <c r="G17" i="19"/>
  <c r="G18" i="19"/>
  <c r="G19" i="19"/>
  <c r="G20" i="19"/>
  <c r="G21" i="19"/>
  <c r="G22" i="19"/>
  <c r="G23" i="19"/>
  <c r="G24" i="19"/>
  <c r="G25" i="19"/>
  <c r="G26" i="19"/>
  <c r="G27" i="19"/>
  <c r="G28" i="19"/>
  <c r="G29" i="19"/>
  <c r="G30" i="19"/>
  <c r="G31" i="19"/>
  <c r="G32" i="19"/>
  <c r="G33" i="19"/>
  <c r="G34" i="19"/>
  <c r="G35" i="19"/>
  <c r="G36" i="19"/>
  <c r="G37" i="19"/>
  <c r="G38" i="19"/>
  <c r="G39" i="19"/>
  <c r="G40" i="19"/>
  <c r="G41" i="19"/>
  <c r="G42" i="19"/>
  <c r="G43" i="19"/>
  <c r="G44" i="19"/>
  <c r="G45" i="19"/>
  <c r="G46" i="19"/>
  <c r="G47" i="19"/>
  <c r="G48" i="19"/>
  <c r="G49" i="19"/>
  <c r="G50" i="19"/>
  <c r="G51" i="19"/>
  <c r="G52" i="19"/>
  <c r="G53" i="19"/>
  <c r="G54" i="19"/>
  <c r="G55" i="19"/>
  <c r="G56" i="19"/>
  <c r="G57" i="19"/>
  <c r="G58" i="19"/>
  <c r="G59" i="19"/>
  <c r="G60" i="19"/>
  <c r="G61" i="19"/>
  <c r="G62" i="19"/>
  <c r="G63" i="19"/>
  <c r="G64" i="19"/>
  <c r="G65" i="19"/>
  <c r="G66" i="19"/>
  <c r="G67" i="19"/>
  <c r="G68" i="19"/>
  <c r="G69" i="19"/>
  <c r="G70" i="19"/>
  <c r="G71" i="19"/>
  <c r="G72" i="19"/>
  <c r="G73" i="19"/>
  <c r="G74" i="19"/>
  <c r="G75" i="19"/>
  <c r="G76" i="19"/>
  <c r="G77" i="19"/>
  <c r="G78" i="19"/>
  <c r="G79" i="19"/>
  <c r="G80" i="19"/>
  <c r="G81" i="19"/>
  <c r="G82" i="19"/>
  <c r="G83" i="19"/>
  <c r="G84" i="19"/>
  <c r="G85" i="19"/>
  <c r="G86" i="19"/>
  <c r="G87" i="19"/>
  <c r="G88" i="19"/>
  <c r="G89" i="19"/>
  <c r="G90" i="19"/>
  <c r="G91" i="19"/>
  <c r="G92" i="19"/>
  <c r="G93" i="19"/>
  <c r="G94" i="19"/>
  <c r="G95" i="19"/>
  <c r="G96" i="19"/>
  <c r="G97" i="19"/>
  <c r="G98" i="19"/>
  <c r="G99" i="19"/>
  <c r="G100" i="19"/>
  <c r="G101" i="19"/>
  <c r="G102" i="19"/>
  <c r="G103" i="19"/>
  <c r="G104" i="19"/>
  <c r="G105" i="19"/>
  <c r="G106" i="19"/>
  <c r="G107" i="19"/>
  <c r="G108" i="19"/>
  <c r="G109" i="19"/>
  <c r="G110" i="19"/>
  <c r="G111" i="19"/>
  <c r="G112" i="19"/>
  <c r="G113" i="19"/>
  <c r="G114" i="19"/>
  <c r="G115" i="19"/>
  <c r="G116" i="19"/>
  <c r="G117" i="19"/>
  <c r="G118" i="19"/>
  <c r="G119" i="19"/>
  <c r="G120" i="19"/>
  <c r="G121" i="19"/>
  <c r="G122" i="19"/>
  <c r="G123" i="19"/>
  <c r="G124" i="19"/>
  <c r="G125" i="19"/>
  <c r="G126" i="19"/>
  <c r="G127" i="19"/>
  <c r="G128" i="19"/>
  <c r="G129" i="19"/>
  <c r="G130" i="19"/>
  <c r="G131" i="19"/>
  <c r="G132" i="19"/>
  <c r="G133" i="19"/>
  <c r="G134" i="19"/>
  <c r="G135" i="19"/>
  <c r="G136" i="19"/>
  <c r="G137" i="19"/>
  <c r="G138" i="19"/>
  <c r="G139" i="19"/>
  <c r="G140" i="19"/>
  <c r="G141" i="19"/>
  <c r="G142" i="19"/>
  <c r="G143" i="19"/>
  <c r="G144" i="19"/>
  <c r="G145" i="19"/>
  <c r="G146" i="19"/>
  <c r="G170" i="19"/>
  <c r="G171" i="19"/>
  <c r="G172" i="19"/>
  <c r="G173" i="19"/>
  <c r="G174" i="19"/>
  <c r="G175" i="19"/>
  <c r="G176" i="19"/>
  <c r="G177" i="19"/>
  <c r="G178" i="19"/>
  <c r="G179" i="19"/>
  <c r="G180" i="19"/>
  <c r="G181" i="19"/>
  <c r="G5" i="49" l="1"/>
  <c r="G11" i="49"/>
  <c r="G7" i="49"/>
  <c r="G3" i="49"/>
  <c r="G13" i="49"/>
  <c r="G14" i="49"/>
  <c r="G10" i="49"/>
  <c r="G6" i="49"/>
  <c r="G9" i="49"/>
  <c r="G12" i="49"/>
  <c r="G8" i="49"/>
  <c r="G4" i="49"/>
  <c r="O112" i="19"/>
  <c r="O113" i="19"/>
  <c r="O114" i="19"/>
  <c r="O115" i="19"/>
  <c r="O116" i="19"/>
  <c r="O117" i="19"/>
  <c r="O118" i="19"/>
  <c r="O119" i="19"/>
  <c r="O120" i="19"/>
  <c r="O121" i="19"/>
  <c r="O122" i="19"/>
  <c r="O111" i="19"/>
  <c r="N111" i="19"/>
  <c r="N112" i="19"/>
  <c r="N113" i="19"/>
  <c r="N114" i="19"/>
  <c r="N115" i="19"/>
  <c r="N116" i="19"/>
  <c r="N117" i="19"/>
  <c r="N118" i="19"/>
  <c r="N119" i="19"/>
  <c r="N120" i="19"/>
  <c r="N121" i="19"/>
  <c r="N122" i="19"/>
  <c r="G18" i="49" l="1"/>
  <c r="G26" i="49"/>
  <c r="G20" i="49"/>
  <c r="G19" i="49"/>
  <c r="G17" i="49"/>
  <c r="G22" i="49"/>
  <c r="G16" i="49"/>
  <c r="G24" i="49"/>
  <c r="G21" i="49"/>
  <c r="G25" i="49"/>
  <c r="G37" i="49" s="1"/>
  <c r="G15" i="49"/>
  <c r="G23" i="49"/>
  <c r="AD658" i="48"/>
  <c r="AE658" i="48" s="1"/>
  <c r="AF658" i="48" s="1"/>
  <c r="AD657" i="48"/>
  <c r="AE657" i="48" s="1"/>
  <c r="AF657" i="48" s="1"/>
  <c r="AD656" i="48"/>
  <c r="AD655" i="48"/>
  <c r="AD654" i="48"/>
  <c r="AD653" i="48"/>
  <c r="AE653" i="48" s="1"/>
  <c r="AF653" i="48" s="1"/>
  <c r="AC658" i="48"/>
  <c r="AC657" i="48"/>
  <c r="AC656" i="48"/>
  <c r="AC655" i="48"/>
  <c r="AC654" i="48"/>
  <c r="AC653" i="48"/>
  <c r="AE661" i="48"/>
  <c r="AB658" i="48"/>
  <c r="AB657" i="48"/>
  <c r="AE656" i="48"/>
  <c r="AF656" i="48" s="1"/>
  <c r="AB656" i="48"/>
  <c r="AB655" i="48"/>
  <c r="AB654" i="48"/>
  <c r="AB653" i="48"/>
  <c r="G49" i="49" l="1"/>
  <c r="G36" i="49"/>
  <c r="G34" i="49"/>
  <c r="G31" i="49"/>
  <c r="G38" i="49"/>
  <c r="G35" i="49"/>
  <c r="G33" i="49"/>
  <c r="G45" i="49" s="1"/>
  <c r="G57" i="49" s="1"/>
  <c r="G27" i="49"/>
  <c r="G28" i="49"/>
  <c r="G29" i="49"/>
  <c r="G32" i="49"/>
  <c r="G30" i="49"/>
  <c r="AD659" i="48"/>
  <c r="AE659" i="48" s="1"/>
  <c r="AF659" i="48" s="1"/>
  <c r="AE654" i="48"/>
  <c r="AF654" i="48" s="1"/>
  <c r="AC659" i="48"/>
  <c r="AE655" i="48"/>
  <c r="AF655" i="48" s="1"/>
  <c r="AE603" i="48"/>
  <c r="G42" i="49" l="1"/>
  <c r="G47" i="49"/>
  <c r="G43" i="49"/>
  <c r="G39" i="49"/>
  <c r="G48" i="49"/>
  <c r="G41" i="49"/>
  <c r="G69" i="49"/>
  <c r="G50" i="49"/>
  <c r="G46" i="49"/>
  <c r="G61" i="49"/>
  <c r="G44" i="49"/>
  <c r="G40" i="49"/>
  <c r="U63" i="48"/>
  <c r="U62" i="48"/>
  <c r="U61" i="48"/>
  <c r="U60" i="48"/>
  <c r="T51" i="48"/>
  <c r="G58" i="49" l="1"/>
  <c r="G54" i="49"/>
  <c r="G52" i="49"/>
  <c r="G73" i="49"/>
  <c r="G62" i="49"/>
  <c r="G53" i="49"/>
  <c r="G65" i="49" s="1"/>
  <c r="G77" i="49" s="1"/>
  <c r="G51" i="49"/>
  <c r="G60" i="49"/>
  <c r="G59" i="49"/>
  <c r="G55" i="49"/>
  <c r="G56" i="49"/>
  <c r="G81" i="49"/>
  <c r="G93" i="49" s="1"/>
  <c r="AD451" i="48"/>
  <c r="AD450" i="48"/>
  <c r="G71" i="49" l="1"/>
  <c r="G74" i="49"/>
  <c r="G105" i="49"/>
  <c r="G117" i="49" s="1"/>
  <c r="G129" i="49" s="1"/>
  <c r="G67" i="49"/>
  <c r="G66" i="49"/>
  <c r="G89" i="49"/>
  <c r="G85" i="49"/>
  <c r="G72" i="49"/>
  <c r="G68" i="49"/>
  <c r="G63" i="49"/>
  <c r="G70" i="49"/>
  <c r="G64" i="49"/>
  <c r="V34" i="48"/>
  <c r="V33" i="48"/>
  <c r="V32" i="48"/>
  <c r="V31" i="48"/>
  <c r="V30" i="48"/>
  <c r="V29" i="48"/>
  <c r="G75" i="49" l="1"/>
  <c r="G84" i="49"/>
  <c r="G101" i="49"/>
  <c r="G79" i="49"/>
  <c r="G86" i="49"/>
  <c r="G76" i="49"/>
  <c r="G97" i="49"/>
  <c r="G109" i="49" s="1"/>
  <c r="G121" i="49" s="1"/>
  <c r="G78" i="49"/>
  <c r="G141" i="49"/>
  <c r="G83" i="49"/>
  <c r="G82" i="49"/>
  <c r="G80" i="49"/>
  <c r="Q5" i="48"/>
  <c r="Q6" i="48"/>
  <c r="Q7" i="48"/>
  <c r="Q8" i="48"/>
  <c r="Q9" i="48"/>
  <c r="Q10" i="48"/>
  <c r="R5" i="48"/>
  <c r="R6" i="48"/>
  <c r="R7" i="48"/>
  <c r="R8" i="48"/>
  <c r="R9" i="48"/>
  <c r="R10" i="48"/>
  <c r="S5" i="48"/>
  <c r="S6" i="48"/>
  <c r="S7" i="48"/>
  <c r="S8" i="48"/>
  <c r="S9" i="48"/>
  <c r="S10" i="48"/>
  <c r="AC13" i="48"/>
  <c r="AC14" i="48" s="1"/>
  <c r="AE10" i="48"/>
  <c r="AE9" i="48"/>
  <c r="AE8" i="48"/>
  <c r="AE7" i="48"/>
  <c r="AE6" i="48"/>
  <c r="AE5" i="48"/>
  <c r="AE13" i="48"/>
  <c r="AD10" i="48"/>
  <c r="AD9" i="48"/>
  <c r="AD8" i="48"/>
  <c r="AD7" i="48"/>
  <c r="AD6" i="48"/>
  <c r="AD5" i="48"/>
  <c r="AD13" i="48"/>
  <c r="AC10" i="48"/>
  <c r="AC9" i="48"/>
  <c r="AC8" i="48"/>
  <c r="AC7" i="48"/>
  <c r="AC6" i="48"/>
  <c r="AC5" i="48"/>
  <c r="G95" i="49" l="1"/>
  <c r="G91" i="49"/>
  <c r="G103" i="49" s="1"/>
  <c r="G96" i="49"/>
  <c r="G92" i="49"/>
  <c r="G90" i="49"/>
  <c r="G88" i="49"/>
  <c r="G133" i="49"/>
  <c r="G113" i="49"/>
  <c r="G87" i="49"/>
  <c r="G94" i="49"/>
  <c r="G98" i="49"/>
  <c r="AE12" i="48"/>
  <c r="AE14" i="48" s="1"/>
  <c r="AD12" i="48"/>
  <c r="AD14" i="48" s="1"/>
  <c r="AC12" i="48"/>
  <c r="G106" i="49" l="1"/>
  <c r="G115" i="49"/>
  <c r="G110" i="49"/>
  <c r="G100" i="49"/>
  <c r="G104" i="49"/>
  <c r="G99" i="49"/>
  <c r="G111" i="49" s="1"/>
  <c r="G107" i="49"/>
  <c r="G125" i="49"/>
  <c r="G145" i="49"/>
  <c r="G102" i="49"/>
  <c r="G108" i="49"/>
  <c r="AD629" i="48"/>
  <c r="AC629" i="48"/>
  <c r="AD628" i="48"/>
  <c r="AC628" i="48"/>
  <c r="AD627" i="48"/>
  <c r="AC627" i="48"/>
  <c r="AD626" i="48"/>
  <c r="AC626" i="48"/>
  <c r="AD625" i="48"/>
  <c r="AC625" i="48"/>
  <c r="AD624" i="48"/>
  <c r="AC624" i="48"/>
  <c r="AD600" i="48"/>
  <c r="AD599" i="48"/>
  <c r="AD598" i="48"/>
  <c r="AD597" i="48"/>
  <c r="AD596" i="48"/>
  <c r="AD595" i="48"/>
  <c r="AC600" i="48"/>
  <c r="AC599" i="48"/>
  <c r="AC598" i="48"/>
  <c r="AC597" i="48"/>
  <c r="AC596" i="48"/>
  <c r="AC595" i="48"/>
  <c r="AD571" i="48"/>
  <c r="AC571" i="48"/>
  <c r="AD570" i="48"/>
  <c r="AC570" i="48"/>
  <c r="AD569" i="48"/>
  <c r="AC569" i="48"/>
  <c r="AD568" i="48"/>
  <c r="AC568" i="48"/>
  <c r="AD567" i="48"/>
  <c r="AD572" i="48" s="1"/>
  <c r="AC567" i="48"/>
  <c r="AD566" i="48"/>
  <c r="AC566" i="48"/>
  <c r="AE574" i="48"/>
  <c r="AD542" i="48"/>
  <c r="AC542" i="48"/>
  <c r="AD541" i="48"/>
  <c r="AC541" i="48"/>
  <c r="AD540" i="48"/>
  <c r="AC540" i="48"/>
  <c r="AD539" i="48"/>
  <c r="AC539" i="48"/>
  <c r="AD538" i="48"/>
  <c r="AD543" i="48" s="1"/>
  <c r="AC538" i="48"/>
  <c r="AD537" i="48"/>
  <c r="AC537" i="48"/>
  <c r="AD513" i="48"/>
  <c r="AC513" i="48"/>
  <c r="AD512" i="48"/>
  <c r="AC512" i="48"/>
  <c r="AD511" i="48"/>
  <c r="AC511" i="48"/>
  <c r="AD510" i="48"/>
  <c r="AC510" i="48"/>
  <c r="AD509" i="48"/>
  <c r="AC509" i="48"/>
  <c r="AD508" i="48"/>
  <c r="AC508" i="48"/>
  <c r="AD484" i="48"/>
  <c r="AC484" i="48"/>
  <c r="AD483" i="48"/>
  <c r="AC483" i="48"/>
  <c r="AD482" i="48"/>
  <c r="AC482" i="48"/>
  <c r="AD481" i="48"/>
  <c r="AC481" i="48"/>
  <c r="AD480" i="48"/>
  <c r="AC480" i="48"/>
  <c r="AD479" i="48"/>
  <c r="AC479" i="48"/>
  <c r="AB484" i="48"/>
  <c r="AB483" i="48"/>
  <c r="AH461" i="48"/>
  <c r="AG467" i="48"/>
  <c r="AG466" i="48"/>
  <c r="G114" i="49" l="1"/>
  <c r="G123" i="49"/>
  <c r="G112" i="49"/>
  <c r="G127" i="49"/>
  <c r="G119" i="49"/>
  <c r="G137" i="49"/>
  <c r="G120" i="49"/>
  <c r="G116" i="49"/>
  <c r="G122" i="49"/>
  <c r="G118" i="49"/>
  <c r="AD630" i="48"/>
  <c r="AC630" i="48"/>
  <c r="AD601" i="48"/>
  <c r="AD514" i="48"/>
  <c r="AC543" i="48"/>
  <c r="AE543" i="48" s="1"/>
  <c r="AF543" i="48" s="1"/>
  <c r="AC485" i="48"/>
  <c r="AC601" i="48"/>
  <c r="AC572" i="48"/>
  <c r="AE572" i="48"/>
  <c r="AF572" i="48" s="1"/>
  <c r="AC514" i="48"/>
  <c r="AD485" i="48"/>
  <c r="AD455" i="48"/>
  <c r="AD454" i="48"/>
  <c r="AD453" i="48"/>
  <c r="AD452" i="48"/>
  <c r="U10" i="48"/>
  <c r="U9" i="48"/>
  <c r="U8" i="48"/>
  <c r="U7" i="48"/>
  <c r="U6" i="48"/>
  <c r="U5" i="48"/>
  <c r="T10" i="48"/>
  <c r="T9" i="48"/>
  <c r="T8" i="48"/>
  <c r="T7" i="48"/>
  <c r="T6" i="48"/>
  <c r="T5" i="48"/>
  <c r="S12" i="48"/>
  <c r="AE545" i="48" s="1"/>
  <c r="T45" i="48"/>
  <c r="U45" i="48" s="1"/>
  <c r="V45" i="48" s="1"/>
  <c r="P37" i="48"/>
  <c r="AB454" i="48"/>
  <c r="AB455" i="48"/>
  <c r="AB453" i="48"/>
  <c r="AB452" i="48"/>
  <c r="AB451" i="48"/>
  <c r="AB450" i="48"/>
  <c r="U64" i="48"/>
  <c r="T63" i="48"/>
  <c r="P63" i="48"/>
  <c r="T62" i="48"/>
  <c r="P62" i="48"/>
  <c r="T61" i="48"/>
  <c r="P61" i="48"/>
  <c r="P60" i="48"/>
  <c r="U58" i="48"/>
  <c r="V58" i="48" s="1"/>
  <c r="Q58" i="48" s="1"/>
  <c r="R58" i="48" s="1"/>
  <c r="U57" i="48"/>
  <c r="V57" i="48" s="1"/>
  <c r="Q57" i="48" s="1"/>
  <c r="R57" i="48" s="1"/>
  <c r="U56" i="48"/>
  <c r="V56" i="48" s="1"/>
  <c r="Q56" i="48" s="1"/>
  <c r="R56" i="48" s="1"/>
  <c r="U55" i="48"/>
  <c r="V55" i="48" s="1"/>
  <c r="Q55" i="48" s="1"/>
  <c r="R55" i="48" s="1"/>
  <c r="U54" i="48"/>
  <c r="V54" i="48" s="1"/>
  <c r="Q54" i="48" s="1"/>
  <c r="R54" i="48" s="1"/>
  <c r="U53" i="48"/>
  <c r="V53" i="48" s="1"/>
  <c r="U52" i="48"/>
  <c r="V52" i="48" s="1"/>
  <c r="Q52" i="48" s="1"/>
  <c r="R52" i="48" s="1"/>
  <c r="U51" i="48"/>
  <c r="V51" i="48" s="1"/>
  <c r="Q51" i="48" s="1"/>
  <c r="R51" i="48" s="1"/>
  <c r="U50" i="48"/>
  <c r="V50" i="48" s="1"/>
  <c r="Q50" i="48" s="1"/>
  <c r="R50" i="48" s="1"/>
  <c r="U49" i="48"/>
  <c r="V49" i="48" s="1"/>
  <c r="Q49" i="48" s="1"/>
  <c r="R49" i="48" s="1"/>
  <c r="U48" i="48"/>
  <c r="V48" i="48" s="1"/>
  <c r="Q48" i="48" s="1"/>
  <c r="R48" i="48" s="1"/>
  <c r="U47" i="48"/>
  <c r="V47" i="48" s="1"/>
  <c r="U46" i="48"/>
  <c r="V46" i="48" s="1"/>
  <c r="T60" i="48"/>
  <c r="U37" i="48"/>
  <c r="V37" i="48" s="1"/>
  <c r="Q37" i="48" s="1"/>
  <c r="T35" i="48"/>
  <c r="P35" i="48"/>
  <c r="U34" i="48"/>
  <c r="U33" i="48"/>
  <c r="U32" i="48"/>
  <c r="U31" i="48"/>
  <c r="U30" i="48"/>
  <c r="U29" i="48"/>
  <c r="V18" i="48"/>
  <c r="U18" i="48"/>
  <c r="T18" i="48"/>
  <c r="S18" i="48"/>
  <c r="R18" i="48"/>
  <c r="Q18" i="48"/>
  <c r="X17" i="48"/>
  <c r="X15" i="48"/>
  <c r="X14" i="48"/>
  <c r="X12" i="48"/>
  <c r="W12" i="48"/>
  <c r="V12" i="48"/>
  <c r="T12" i="48"/>
  <c r="G132" i="49" l="1"/>
  <c r="G128" i="49"/>
  <c r="G139" i="49"/>
  <c r="G135" i="49"/>
  <c r="G134" i="49"/>
  <c r="G124" i="49"/>
  <c r="G130" i="49"/>
  <c r="G131" i="49"/>
  <c r="G126" i="49"/>
  <c r="AE630" i="48"/>
  <c r="AF630" i="48" s="1"/>
  <c r="AE601" i="48"/>
  <c r="AF601" i="48" s="1"/>
  <c r="AE632" i="48"/>
  <c r="V19" i="48"/>
  <c r="U35" i="48"/>
  <c r="AE514" i="48"/>
  <c r="AF514" i="48" s="1"/>
  <c r="AE485" i="48"/>
  <c r="AF485" i="48" s="1"/>
  <c r="AD456" i="48"/>
  <c r="W18" i="48"/>
  <c r="W19" i="48" s="1"/>
  <c r="U12" i="48"/>
  <c r="U19" i="48" s="1"/>
  <c r="T19" i="48"/>
  <c r="S19" i="48"/>
  <c r="R12" i="48"/>
  <c r="T64" i="48"/>
  <c r="P64" i="48"/>
  <c r="R37" i="48"/>
  <c r="Q12" i="48"/>
  <c r="V61" i="48"/>
  <c r="Q46" i="48"/>
  <c r="Q45" i="48"/>
  <c r="V60" i="48"/>
  <c r="Q53" i="48"/>
  <c r="V63" i="48"/>
  <c r="V62" i="48"/>
  <c r="Q47" i="48"/>
  <c r="X16" i="48"/>
  <c r="X18" i="48" s="1"/>
  <c r="X19" i="48" s="1"/>
  <c r="G143" i="49" l="1"/>
  <c r="G136" i="49"/>
  <c r="G140" i="49"/>
  <c r="G138" i="49"/>
  <c r="G142" i="49"/>
  <c r="G146" i="49"/>
  <c r="G144" i="49"/>
  <c r="R19" i="48"/>
  <c r="AE516" i="48"/>
  <c r="Q19" i="48"/>
  <c r="AE487" i="48"/>
  <c r="V64" i="48"/>
  <c r="Q60" i="48"/>
  <c r="R45" i="48"/>
  <c r="R60" i="48" s="1"/>
  <c r="R47" i="48"/>
  <c r="R62" i="48" s="1"/>
  <c r="P16" i="48" s="1"/>
  <c r="Q62" i="48"/>
  <c r="R53" i="48"/>
  <c r="R63" i="48" s="1"/>
  <c r="P17" i="48" s="1"/>
  <c r="Q63" i="48"/>
  <c r="Q61" i="48"/>
  <c r="R46" i="48"/>
  <c r="R61" i="48" s="1"/>
  <c r="P15" i="48" s="1"/>
  <c r="Q29" i="48"/>
  <c r="R64" i="48" l="1"/>
  <c r="Q64" i="48"/>
  <c r="Q30" i="48"/>
  <c r="R30" i="48" s="1"/>
  <c r="P6" i="48" s="1"/>
  <c r="AC451" i="48" s="1"/>
  <c r="AE451" i="48" s="1"/>
  <c r="AF451" i="48" s="1"/>
  <c r="R29" i="48"/>
  <c r="P14" i="48" l="1"/>
  <c r="P18" i="48" s="1"/>
  <c r="P5" i="48"/>
  <c r="AC450" i="48" s="1"/>
  <c r="Q31" i="48"/>
  <c r="R31" i="48" s="1"/>
  <c r="P7" i="48" s="1"/>
  <c r="AC452" i="48" s="1"/>
  <c r="AE452" i="48" s="1"/>
  <c r="AF452" i="48" s="1"/>
  <c r="AE450" i="48" l="1"/>
  <c r="AF450" i="48" s="1"/>
  <c r="Q32" i="48"/>
  <c r="R32" i="48" l="1"/>
  <c r="Q33" i="48"/>
  <c r="R33" i="48" s="1"/>
  <c r="P9" i="48" s="1"/>
  <c r="AC454" i="48" s="1"/>
  <c r="AE454" i="48" s="1"/>
  <c r="AF454" i="48" s="1"/>
  <c r="Q34" i="48"/>
  <c r="R34" i="48" s="1"/>
  <c r="P10" i="48" s="1"/>
  <c r="AC455" i="48" s="1"/>
  <c r="AE455" i="48" s="1"/>
  <c r="AF455" i="48" s="1"/>
  <c r="V35" i="48" l="1"/>
  <c r="Q35" i="48"/>
  <c r="P8" i="48"/>
  <c r="R35" i="48"/>
  <c r="R38" i="48" s="1"/>
  <c r="P12" i="48" l="1"/>
  <c r="AE458" i="48" s="1"/>
  <c r="AC453" i="48"/>
  <c r="P19" i="48" l="1"/>
  <c r="AE453" i="48"/>
  <c r="AF453" i="48" s="1"/>
  <c r="AC456" i="48"/>
  <c r="AE456" i="48" s="1"/>
  <c r="AF456" i="48" s="1"/>
  <c r="B111" i="20" l="1"/>
  <c r="B112" i="20"/>
  <c r="B113" i="20"/>
  <c r="B114" i="20"/>
  <c r="B115" i="20"/>
  <c r="B116" i="20"/>
  <c r="B117" i="20"/>
  <c r="B118" i="20"/>
  <c r="B119" i="20"/>
  <c r="B120" i="20"/>
  <c r="B121" i="20"/>
  <c r="B122" i="20"/>
  <c r="AG489" i="48" l="1"/>
  <c r="AJ492" i="48"/>
  <c r="AJ493" i="48"/>
  <c r="AJ494" i="48"/>
  <c r="AJ495" i="48"/>
  <c r="AJ496" i="48"/>
  <c r="AJ491" i="48"/>
  <c r="AB480" i="48"/>
  <c r="AB481" i="48"/>
  <c r="AB482" i="48"/>
  <c r="AK466" i="48"/>
  <c r="AM466" i="48" s="1"/>
  <c r="AK465" i="48"/>
  <c r="AM465" i="48" s="1"/>
  <c r="AK464" i="48"/>
  <c r="AH467" i="48"/>
  <c r="AH466" i="48"/>
  <c r="AH465" i="48"/>
  <c r="AH464" i="48"/>
  <c r="AH463" i="48"/>
  <c r="AH462" i="48"/>
  <c r="AM464" i="48"/>
  <c r="AI461" i="48"/>
  <c r="D11" i="18" l="1"/>
  <c r="C11" i="18"/>
  <c r="B11" i="18"/>
  <c r="D10" i="18"/>
  <c r="C10" i="18"/>
  <c r="B10" i="18"/>
  <c r="D9" i="18"/>
  <c r="C9" i="18"/>
  <c r="B9" i="18"/>
  <c r="D8" i="18"/>
  <c r="C8" i="18"/>
  <c r="B8" i="18"/>
  <c r="D7" i="18"/>
  <c r="C7" i="18"/>
  <c r="B7" i="18"/>
  <c r="D6" i="18"/>
  <c r="C6" i="18"/>
  <c r="B6" i="18"/>
  <c r="D5" i="18"/>
  <c r="C5" i="18"/>
  <c r="B5" i="18"/>
  <c r="D4" i="18"/>
  <c r="C4" i="18"/>
  <c r="B4" i="18"/>
  <c r="D3" i="18"/>
  <c r="C3" i="18"/>
  <c r="B3" i="18"/>
  <c r="D2" i="18"/>
  <c r="C2" i="18"/>
  <c r="B2" i="18"/>
  <c r="G13" i="17"/>
  <c r="F13" i="17"/>
  <c r="E13" i="17"/>
  <c r="D13" i="17"/>
  <c r="G12" i="17"/>
  <c r="F12" i="17"/>
  <c r="E12" i="17"/>
  <c r="D12" i="17"/>
  <c r="G11" i="17"/>
  <c r="F11" i="17"/>
  <c r="E11" i="17"/>
  <c r="D11" i="17"/>
  <c r="C11" i="17"/>
  <c r="B11" i="17"/>
  <c r="G10" i="17"/>
  <c r="F10" i="17"/>
  <c r="E10" i="17"/>
  <c r="D10" i="17"/>
  <c r="C10" i="17"/>
  <c r="B10" i="17"/>
  <c r="G9" i="17"/>
  <c r="F9" i="17"/>
  <c r="E9" i="17"/>
  <c r="D9" i="17"/>
  <c r="C9" i="17"/>
  <c r="B9" i="17"/>
  <c r="G8" i="17"/>
  <c r="F8" i="17"/>
  <c r="E8" i="17"/>
  <c r="D8" i="17"/>
  <c r="C8" i="17"/>
  <c r="B8" i="17"/>
  <c r="G7" i="17"/>
  <c r="F7" i="17"/>
  <c r="E7" i="17"/>
  <c r="D7" i="17"/>
  <c r="C7" i="17"/>
  <c r="B7" i="17"/>
  <c r="G6" i="17"/>
  <c r="F6" i="17"/>
  <c r="E6" i="17"/>
  <c r="D6" i="17"/>
  <c r="C6" i="17"/>
  <c r="B6" i="17"/>
  <c r="G5" i="17"/>
  <c r="F5" i="17"/>
  <c r="E5" i="17"/>
  <c r="D5" i="17"/>
  <c r="C5" i="17"/>
  <c r="B5" i="17"/>
  <c r="G4" i="17"/>
  <c r="F4" i="17"/>
  <c r="E4" i="17"/>
  <c r="D4" i="17"/>
  <c r="C4" i="17"/>
  <c r="B4" i="17"/>
  <c r="G3" i="17"/>
  <c r="F3" i="17"/>
  <c r="E3" i="17"/>
  <c r="D3" i="17"/>
  <c r="C3" i="17"/>
  <c r="B3" i="17"/>
  <c r="M16" i="9"/>
  <c r="L16" i="9"/>
  <c r="K16" i="9"/>
  <c r="M15" i="9"/>
  <c r="L15" i="9"/>
  <c r="K15" i="9"/>
  <c r="M14" i="9"/>
  <c r="L14" i="9"/>
  <c r="K14" i="9"/>
  <c r="M13" i="9"/>
  <c r="L13" i="9"/>
  <c r="K13" i="9"/>
  <c r="M12" i="9"/>
  <c r="L12" i="9"/>
  <c r="K12" i="9"/>
  <c r="M11" i="9"/>
  <c r="L11" i="9"/>
  <c r="K11" i="9"/>
  <c r="M10" i="9"/>
  <c r="L10" i="9"/>
  <c r="K10" i="9"/>
  <c r="M9" i="9"/>
  <c r="L9" i="9"/>
  <c r="K9" i="9"/>
  <c r="M8" i="9"/>
  <c r="L8" i="9"/>
  <c r="K8" i="9"/>
  <c r="M7" i="9"/>
  <c r="L7" i="9"/>
  <c r="K7" i="9"/>
  <c r="K134" i="40"/>
  <c r="K133" i="40"/>
  <c r="K132" i="40"/>
  <c r="K131" i="40"/>
  <c r="K130" i="40"/>
  <c r="K129" i="40"/>
  <c r="K128" i="40"/>
  <c r="K127" i="40"/>
  <c r="K126" i="40"/>
  <c r="K125" i="40"/>
  <c r="K124" i="40"/>
  <c r="K123" i="40"/>
  <c r="K122" i="40"/>
  <c r="K121" i="40"/>
  <c r="K120" i="40"/>
  <c r="K119" i="40"/>
  <c r="K118" i="40"/>
  <c r="K117" i="40"/>
  <c r="K116" i="40"/>
  <c r="K115" i="40"/>
  <c r="K114" i="40"/>
  <c r="K113" i="40"/>
  <c r="K112" i="40"/>
  <c r="K111" i="40"/>
  <c r="K110" i="40"/>
  <c r="K109" i="40"/>
  <c r="K108" i="40"/>
  <c r="K107" i="40"/>
  <c r="K106" i="40"/>
  <c r="K105" i="40"/>
  <c r="K104" i="40"/>
  <c r="K103" i="40"/>
  <c r="K102" i="40"/>
  <c r="K101" i="40"/>
  <c r="K100" i="40"/>
  <c r="K99" i="40"/>
  <c r="K98" i="40"/>
  <c r="K97" i="40"/>
  <c r="K96" i="40"/>
  <c r="K95" i="40"/>
  <c r="K94" i="40"/>
  <c r="K93" i="40"/>
  <c r="K92" i="40"/>
  <c r="K91" i="40"/>
  <c r="K90" i="40"/>
  <c r="K89" i="40"/>
  <c r="K88" i="40"/>
  <c r="K87" i="40"/>
  <c r="K86" i="40"/>
  <c r="K85" i="40"/>
  <c r="K84" i="40"/>
  <c r="K83" i="40"/>
  <c r="K82" i="40"/>
  <c r="K81" i="40"/>
  <c r="K80" i="40"/>
  <c r="K79" i="40"/>
  <c r="K78" i="40"/>
  <c r="K77" i="40"/>
  <c r="K76" i="40"/>
  <c r="K75" i="40"/>
  <c r="K74" i="40"/>
  <c r="K73" i="40"/>
  <c r="K72" i="40"/>
  <c r="K71" i="40"/>
  <c r="K70" i="40"/>
  <c r="K69" i="40"/>
  <c r="K68" i="40"/>
  <c r="K67" i="40"/>
  <c r="K66" i="40"/>
  <c r="K65" i="40"/>
  <c r="K64" i="40"/>
  <c r="K63" i="40"/>
  <c r="K62" i="40"/>
  <c r="K61" i="40"/>
  <c r="K60" i="40"/>
  <c r="K59" i="40"/>
  <c r="K58" i="40"/>
  <c r="K57" i="40"/>
  <c r="K56" i="40"/>
  <c r="K55" i="40"/>
  <c r="K54" i="40"/>
  <c r="K53" i="40"/>
  <c r="K52" i="40"/>
  <c r="K51" i="40"/>
  <c r="K50" i="40"/>
  <c r="K49" i="40"/>
  <c r="K48" i="40"/>
  <c r="K47" i="40"/>
  <c r="K46" i="40"/>
  <c r="K45" i="40"/>
  <c r="K44" i="40"/>
  <c r="K43" i="40"/>
  <c r="K42" i="40"/>
  <c r="K41" i="40"/>
  <c r="K40" i="40"/>
  <c r="K39" i="40"/>
  <c r="K38" i="40"/>
  <c r="K37" i="40"/>
  <c r="K36" i="40"/>
  <c r="K35" i="40"/>
  <c r="K34" i="40"/>
  <c r="K33" i="40"/>
  <c r="K32" i="40"/>
  <c r="K31" i="40"/>
  <c r="K30" i="40"/>
  <c r="K29" i="40"/>
  <c r="K28" i="40"/>
  <c r="K27" i="40"/>
  <c r="K26" i="40"/>
  <c r="K25" i="40"/>
  <c r="K24" i="40"/>
  <c r="K23" i="40"/>
  <c r="K22" i="40"/>
  <c r="K21" i="40"/>
  <c r="K20" i="40"/>
  <c r="K19" i="40"/>
  <c r="K18" i="40"/>
  <c r="K17" i="40"/>
  <c r="K16" i="40"/>
  <c r="K15" i="40"/>
  <c r="K14" i="40"/>
  <c r="K13" i="40"/>
  <c r="K12" i="40"/>
  <c r="K11" i="40"/>
  <c r="K10" i="40"/>
  <c r="K9" i="40"/>
  <c r="K8" i="40"/>
  <c r="K7" i="40"/>
  <c r="K6" i="40"/>
  <c r="K5" i="40"/>
  <c r="K4" i="40"/>
  <c r="K3" i="40"/>
  <c r="B122" i="40"/>
  <c r="B121" i="40"/>
  <c r="B120" i="40"/>
  <c r="B119" i="40"/>
  <c r="B118" i="40"/>
  <c r="B117" i="40"/>
  <c r="B116" i="40"/>
  <c r="B115" i="40"/>
  <c r="B114" i="40"/>
  <c r="B113" i="40"/>
  <c r="B112" i="40"/>
  <c r="B111" i="40"/>
  <c r="B110" i="40"/>
  <c r="B109" i="40"/>
  <c r="B108" i="40"/>
  <c r="B107" i="40"/>
  <c r="B106" i="40"/>
  <c r="B105" i="40"/>
  <c r="B104" i="40"/>
  <c r="B103" i="40"/>
  <c r="B102" i="40"/>
  <c r="B101" i="40"/>
  <c r="B100" i="40"/>
  <c r="B99" i="40"/>
  <c r="B98" i="40"/>
  <c r="B97" i="40"/>
  <c r="B96" i="40"/>
  <c r="B95" i="40"/>
  <c r="B94" i="40"/>
  <c r="B93" i="40"/>
  <c r="B92" i="40"/>
  <c r="B91" i="40"/>
  <c r="B90" i="40"/>
  <c r="B89" i="40"/>
  <c r="B88" i="40"/>
  <c r="B87" i="40"/>
  <c r="B86" i="40"/>
  <c r="B85" i="40"/>
  <c r="B84" i="40"/>
  <c r="B83" i="40"/>
  <c r="B82" i="40"/>
  <c r="B81" i="40"/>
  <c r="B80" i="40"/>
  <c r="B79" i="40"/>
  <c r="B78" i="40"/>
  <c r="B77" i="40"/>
  <c r="B76" i="40"/>
  <c r="B75" i="40"/>
  <c r="B74" i="40"/>
  <c r="B73" i="40"/>
  <c r="B72" i="40"/>
  <c r="B71" i="40"/>
  <c r="B70" i="40"/>
  <c r="B69" i="40"/>
  <c r="B68" i="40"/>
  <c r="B67" i="40"/>
  <c r="B66" i="40"/>
  <c r="B65" i="40"/>
  <c r="B64" i="40"/>
  <c r="B63" i="40"/>
  <c r="B62" i="40"/>
  <c r="B61" i="40"/>
  <c r="B60" i="40"/>
  <c r="B59" i="40"/>
  <c r="B58" i="40"/>
  <c r="B57" i="40"/>
  <c r="B56" i="40"/>
  <c r="B55" i="40"/>
  <c r="B54" i="40"/>
  <c r="B53" i="40"/>
  <c r="B52" i="40"/>
  <c r="B51" i="40"/>
  <c r="B50" i="40"/>
  <c r="B49" i="40"/>
  <c r="B48" i="40"/>
  <c r="B47" i="40"/>
  <c r="B46" i="40"/>
  <c r="B45" i="40"/>
  <c r="B44" i="40"/>
  <c r="B43" i="40"/>
  <c r="B42" i="40"/>
  <c r="B41" i="40"/>
  <c r="B40" i="40"/>
  <c r="B39" i="40"/>
  <c r="B38" i="40"/>
  <c r="B37" i="40"/>
  <c r="B36" i="40"/>
  <c r="B35" i="40"/>
  <c r="B34" i="40"/>
  <c r="B33" i="40"/>
  <c r="B32" i="40"/>
  <c r="B31" i="40"/>
  <c r="B30" i="40"/>
  <c r="B29" i="40"/>
  <c r="B28" i="40"/>
  <c r="B27" i="40"/>
  <c r="B26" i="40"/>
  <c r="B25" i="40"/>
  <c r="B24" i="40"/>
  <c r="B23" i="40"/>
  <c r="B22" i="40"/>
  <c r="B21" i="40"/>
  <c r="B20" i="40"/>
  <c r="B19" i="40"/>
  <c r="B18" i="40"/>
  <c r="B17" i="40"/>
  <c r="B16" i="40"/>
  <c r="B15" i="40"/>
  <c r="B14" i="40"/>
  <c r="B13" i="40"/>
  <c r="B12" i="40"/>
  <c r="B11" i="40"/>
  <c r="B10" i="40"/>
  <c r="B9" i="40"/>
  <c r="B8" i="40"/>
  <c r="B7" i="40"/>
  <c r="B6" i="40"/>
  <c r="B5" i="40"/>
  <c r="B4" i="40"/>
  <c r="B3" i="40"/>
  <c r="H122" i="38"/>
  <c r="H121" i="38"/>
  <c r="H120" i="38"/>
  <c r="H119" i="38"/>
  <c r="H118" i="38"/>
  <c r="H117" i="38"/>
  <c r="H116" i="38"/>
  <c r="H115" i="38"/>
  <c r="H114" i="38"/>
  <c r="H113" i="38"/>
  <c r="H112" i="38"/>
  <c r="H111" i="38"/>
  <c r="H110" i="38"/>
  <c r="H109" i="38"/>
  <c r="H108" i="38"/>
  <c r="H107" i="38"/>
  <c r="H106" i="38"/>
  <c r="H105" i="38"/>
  <c r="H104" i="38"/>
  <c r="H103" i="38"/>
  <c r="H102" i="38"/>
  <c r="H101" i="38"/>
  <c r="H100" i="38"/>
  <c r="H99" i="38"/>
  <c r="H98" i="38"/>
  <c r="H97" i="38"/>
  <c r="H96" i="38"/>
  <c r="H95" i="38"/>
  <c r="H94" i="38"/>
  <c r="H93" i="38"/>
  <c r="H92" i="38"/>
  <c r="H91" i="38"/>
  <c r="H90" i="38"/>
  <c r="H89" i="38"/>
  <c r="H88" i="38"/>
  <c r="H87" i="38"/>
  <c r="H86" i="38"/>
  <c r="H85" i="38"/>
  <c r="H84" i="38"/>
  <c r="H83" i="38"/>
  <c r="H82" i="38"/>
  <c r="H81" i="38"/>
  <c r="H80" i="38"/>
  <c r="H79" i="38"/>
  <c r="H78" i="38"/>
  <c r="H77" i="38"/>
  <c r="H76" i="38"/>
  <c r="H75" i="38"/>
  <c r="H74" i="38"/>
  <c r="H73" i="38"/>
  <c r="H72" i="38"/>
  <c r="H71" i="38"/>
  <c r="H70" i="38"/>
  <c r="H69" i="38"/>
  <c r="H68" i="38"/>
  <c r="H67" i="38"/>
  <c r="H66" i="38"/>
  <c r="H65" i="38"/>
  <c r="H64" i="38"/>
  <c r="H63" i="38"/>
  <c r="H62" i="38"/>
  <c r="H61" i="38"/>
  <c r="H60" i="38"/>
  <c r="H59" i="38"/>
  <c r="H58" i="38"/>
  <c r="H57" i="38"/>
  <c r="H56" i="38"/>
  <c r="H55" i="38"/>
  <c r="H54" i="38"/>
  <c r="H53" i="38"/>
  <c r="H52" i="38"/>
  <c r="H51" i="38"/>
  <c r="H50" i="38"/>
  <c r="H49" i="38"/>
  <c r="H48" i="38"/>
  <c r="H47" i="38"/>
  <c r="H46" i="38"/>
  <c r="H45" i="38"/>
  <c r="H44" i="38"/>
  <c r="H43" i="38"/>
  <c r="H42" i="38"/>
  <c r="H41" i="38"/>
  <c r="H40" i="38"/>
  <c r="H39" i="38"/>
  <c r="H38" i="38"/>
  <c r="H37" i="38"/>
  <c r="H36" i="38"/>
  <c r="H35" i="38"/>
  <c r="H34" i="38"/>
  <c r="H33" i="38"/>
  <c r="H32" i="38"/>
  <c r="H31" i="38"/>
  <c r="H30" i="38"/>
  <c r="H29" i="38"/>
  <c r="H28" i="38"/>
  <c r="H27" i="38"/>
  <c r="H26" i="38"/>
  <c r="H25" i="38"/>
  <c r="H24" i="38"/>
  <c r="H23" i="38"/>
  <c r="H22" i="38"/>
  <c r="H21" i="38"/>
  <c r="H20" i="38"/>
  <c r="H19" i="38"/>
  <c r="H18" i="38"/>
  <c r="H17" i="38"/>
  <c r="H16" i="38"/>
  <c r="H15" i="38"/>
  <c r="H14" i="38"/>
  <c r="H13" i="38"/>
  <c r="H12" i="38"/>
  <c r="H11" i="38"/>
  <c r="H10" i="38"/>
  <c r="H9" i="38"/>
  <c r="H8" i="38"/>
  <c r="H7" i="38"/>
  <c r="H6" i="38"/>
  <c r="H5" i="38"/>
  <c r="H4" i="38"/>
  <c r="H3" i="38"/>
  <c r="B122" i="38"/>
  <c r="B121" i="38"/>
  <c r="B120" i="38"/>
  <c r="B119" i="38"/>
  <c r="B118" i="38"/>
  <c r="B117" i="38"/>
  <c r="B116" i="38"/>
  <c r="B115" i="38"/>
  <c r="B114" i="38"/>
  <c r="B113" i="38"/>
  <c r="B112" i="38"/>
  <c r="B111" i="38"/>
  <c r="B110" i="38"/>
  <c r="B109" i="38"/>
  <c r="B108" i="38"/>
  <c r="B107" i="38"/>
  <c r="B106" i="38"/>
  <c r="B105" i="38"/>
  <c r="B104" i="38"/>
  <c r="B103" i="38"/>
  <c r="B102" i="38"/>
  <c r="B101" i="38"/>
  <c r="B100" i="38"/>
  <c r="B99" i="38"/>
  <c r="B98" i="38"/>
  <c r="B97" i="38"/>
  <c r="B96" i="38"/>
  <c r="B95" i="38"/>
  <c r="B94" i="38"/>
  <c r="B93" i="38"/>
  <c r="B92" i="38"/>
  <c r="B91" i="38"/>
  <c r="B90" i="38"/>
  <c r="B89" i="38"/>
  <c r="B88" i="38"/>
  <c r="B87" i="38"/>
  <c r="B86" i="38"/>
  <c r="B85" i="38"/>
  <c r="B84" i="38"/>
  <c r="B83" i="38"/>
  <c r="B82" i="38"/>
  <c r="B81" i="38"/>
  <c r="B80" i="38"/>
  <c r="B79" i="38"/>
  <c r="B78" i="38"/>
  <c r="B77" i="38"/>
  <c r="B76" i="38"/>
  <c r="B75" i="38"/>
  <c r="B74" i="38"/>
  <c r="B73" i="38"/>
  <c r="B72" i="38"/>
  <c r="B71" i="38"/>
  <c r="B70" i="38"/>
  <c r="B69" i="38"/>
  <c r="B68" i="38"/>
  <c r="B67" i="38"/>
  <c r="B66" i="38"/>
  <c r="B65" i="38"/>
  <c r="B64" i="38"/>
  <c r="B63" i="38"/>
  <c r="B62" i="38"/>
  <c r="B61" i="38"/>
  <c r="B60" i="38"/>
  <c r="B59" i="38"/>
  <c r="B58" i="38"/>
  <c r="B57" i="38"/>
  <c r="B56" i="38"/>
  <c r="B55" i="38"/>
  <c r="B54" i="38"/>
  <c r="B53" i="38"/>
  <c r="B52" i="38"/>
  <c r="B51" i="38"/>
  <c r="B50" i="38"/>
  <c r="B49" i="38"/>
  <c r="B48" i="38"/>
  <c r="B47" i="38"/>
  <c r="B46" i="38"/>
  <c r="B45" i="38"/>
  <c r="B44" i="38"/>
  <c r="B43" i="38"/>
  <c r="B42" i="38"/>
  <c r="B41" i="38"/>
  <c r="B40" i="38"/>
  <c r="B39" i="38"/>
  <c r="B38" i="38"/>
  <c r="B37" i="38"/>
  <c r="B36" i="38"/>
  <c r="B35" i="38"/>
  <c r="B34" i="38"/>
  <c r="B33" i="38"/>
  <c r="B32" i="38"/>
  <c r="B31" i="38"/>
  <c r="B30" i="38"/>
  <c r="B29" i="38"/>
  <c r="B28" i="38"/>
  <c r="B27" i="38"/>
  <c r="B26" i="38"/>
  <c r="B25" i="38"/>
  <c r="B24" i="38"/>
  <c r="B23" i="38"/>
  <c r="B22" i="38"/>
  <c r="B21" i="38"/>
  <c r="B20" i="38"/>
  <c r="B19" i="38"/>
  <c r="B18" i="38"/>
  <c r="B17" i="38"/>
  <c r="B16" i="38"/>
  <c r="B15" i="38"/>
  <c r="B14" i="38"/>
  <c r="B13" i="38"/>
  <c r="B12" i="38"/>
  <c r="B11" i="38"/>
  <c r="B10" i="38"/>
  <c r="B9" i="38"/>
  <c r="B8" i="38"/>
  <c r="B7" i="38"/>
  <c r="B6" i="38"/>
  <c r="B5" i="38"/>
  <c r="B4" i="38"/>
  <c r="B3" i="38"/>
  <c r="H122" i="20"/>
  <c r="H121" i="20"/>
  <c r="H120" i="20"/>
  <c r="H119" i="20"/>
  <c r="H118" i="20"/>
  <c r="H117" i="20"/>
  <c r="H116" i="20"/>
  <c r="H115" i="20"/>
  <c r="H114" i="20"/>
  <c r="H113" i="20"/>
  <c r="H112" i="20"/>
  <c r="H111" i="20"/>
  <c r="H110" i="20"/>
  <c r="H109" i="20"/>
  <c r="H108" i="20"/>
  <c r="H107" i="20"/>
  <c r="H106" i="20"/>
  <c r="H105" i="20"/>
  <c r="H104" i="20"/>
  <c r="H103" i="20"/>
  <c r="H102" i="20"/>
  <c r="H101" i="20"/>
  <c r="H100" i="20"/>
  <c r="H99" i="20"/>
  <c r="H98" i="20"/>
  <c r="H97" i="20"/>
  <c r="H96" i="20"/>
  <c r="H95" i="20"/>
  <c r="H94" i="20"/>
  <c r="H93" i="20"/>
  <c r="H92" i="20"/>
  <c r="H91" i="20"/>
  <c r="H90" i="20"/>
  <c r="H89" i="20"/>
  <c r="H88" i="20"/>
  <c r="H87" i="20"/>
  <c r="H86" i="20"/>
  <c r="H85" i="20"/>
  <c r="H84" i="20"/>
  <c r="H83" i="20"/>
  <c r="H82" i="20"/>
  <c r="H81" i="20"/>
  <c r="H80" i="20"/>
  <c r="H79" i="20"/>
  <c r="H78" i="20"/>
  <c r="H77" i="20"/>
  <c r="H76" i="20"/>
  <c r="H75" i="20"/>
  <c r="H74" i="20"/>
  <c r="H73" i="20"/>
  <c r="H72" i="20"/>
  <c r="H71" i="20"/>
  <c r="H70" i="20"/>
  <c r="H69" i="20"/>
  <c r="H68" i="20"/>
  <c r="H67" i="20"/>
  <c r="H66" i="20"/>
  <c r="H65" i="20"/>
  <c r="H64" i="20"/>
  <c r="H63" i="20"/>
  <c r="H62" i="20"/>
  <c r="H61" i="20"/>
  <c r="H60" i="20"/>
  <c r="H59" i="20"/>
  <c r="H58" i="20"/>
  <c r="H57" i="20"/>
  <c r="H56" i="20"/>
  <c r="H55" i="20"/>
  <c r="H54" i="20"/>
  <c r="H53" i="20"/>
  <c r="H52" i="20"/>
  <c r="H51" i="20"/>
  <c r="H50" i="20"/>
  <c r="H49" i="20"/>
  <c r="H48" i="20"/>
  <c r="H47" i="20"/>
  <c r="H46" i="20"/>
  <c r="H45" i="20"/>
  <c r="H44" i="20"/>
  <c r="H43" i="20"/>
  <c r="H42" i="20"/>
  <c r="H41" i="20"/>
  <c r="H40" i="20"/>
  <c r="H39" i="20"/>
  <c r="H38" i="20"/>
  <c r="H37" i="20"/>
  <c r="H36" i="20"/>
  <c r="H35" i="20"/>
  <c r="H34" i="20"/>
  <c r="H33" i="20"/>
  <c r="H32" i="20"/>
  <c r="H31" i="20"/>
  <c r="H30" i="20"/>
  <c r="H29" i="20"/>
  <c r="H28" i="20"/>
  <c r="H27" i="20"/>
  <c r="H26" i="20"/>
  <c r="H25" i="20"/>
  <c r="H24" i="20"/>
  <c r="H23" i="20"/>
  <c r="H22" i="20"/>
  <c r="H21" i="20"/>
  <c r="H20" i="20"/>
  <c r="H19" i="20"/>
  <c r="H18" i="20"/>
  <c r="H17" i="20"/>
  <c r="H16" i="20"/>
  <c r="H15" i="20"/>
  <c r="H14" i="20"/>
  <c r="H13" i="20"/>
  <c r="H12" i="20"/>
  <c r="H11" i="20"/>
  <c r="H10" i="20"/>
  <c r="H9" i="20"/>
  <c r="H8" i="20"/>
  <c r="H7" i="20"/>
  <c r="H6" i="20"/>
  <c r="H5" i="20"/>
  <c r="H4" i="20"/>
  <c r="H3" i="20"/>
  <c r="B110" i="20"/>
  <c r="B109" i="20"/>
  <c r="B108" i="20"/>
  <c r="B107" i="20"/>
  <c r="B106" i="20"/>
  <c r="B105" i="20"/>
  <c r="B104" i="20"/>
  <c r="B103" i="20"/>
  <c r="B102" i="20"/>
  <c r="B101" i="20"/>
  <c r="B100" i="20"/>
  <c r="B99" i="20"/>
  <c r="B98" i="20"/>
  <c r="B97" i="20"/>
  <c r="B96" i="20"/>
  <c r="B95" i="20"/>
  <c r="B94" i="20"/>
  <c r="B93" i="20"/>
  <c r="B92" i="20"/>
  <c r="B91" i="20"/>
  <c r="B90" i="20"/>
  <c r="B89" i="20"/>
  <c r="B88" i="20"/>
  <c r="B87" i="20"/>
  <c r="B86" i="20"/>
  <c r="B85" i="20"/>
  <c r="B84" i="20"/>
  <c r="B83" i="20"/>
  <c r="B82" i="20"/>
  <c r="B81" i="20"/>
  <c r="B80" i="20"/>
  <c r="B79" i="20"/>
  <c r="B78" i="20"/>
  <c r="B77" i="20"/>
  <c r="B76" i="20"/>
  <c r="B75" i="20"/>
  <c r="B74" i="20"/>
  <c r="B73" i="20"/>
  <c r="B72" i="20"/>
  <c r="B71" i="20"/>
  <c r="B70" i="20"/>
  <c r="B69" i="20"/>
  <c r="B68" i="20"/>
  <c r="B67" i="20"/>
  <c r="B66" i="20"/>
  <c r="B65" i="20"/>
  <c r="B64" i="20"/>
  <c r="B63" i="20"/>
  <c r="B62" i="20"/>
  <c r="B61" i="20"/>
  <c r="B60" i="20"/>
  <c r="B59" i="20"/>
  <c r="B58" i="20"/>
  <c r="B57" i="20"/>
  <c r="B56" i="20"/>
  <c r="B55" i="20"/>
  <c r="B54" i="20"/>
  <c r="B53" i="20"/>
  <c r="B52" i="20"/>
  <c r="B51" i="20"/>
  <c r="B50" i="20"/>
  <c r="B49" i="20"/>
  <c r="B48" i="20"/>
  <c r="B47" i="20"/>
  <c r="B46" i="20"/>
  <c r="B45" i="20"/>
  <c r="B44" i="20"/>
  <c r="B43" i="20"/>
  <c r="B42" i="20"/>
  <c r="B41" i="20"/>
  <c r="B40" i="20"/>
  <c r="B39" i="20"/>
  <c r="B38" i="20"/>
  <c r="B37" i="20"/>
  <c r="B36" i="20"/>
  <c r="B35" i="20"/>
  <c r="B34" i="20"/>
  <c r="B33" i="20"/>
  <c r="B32" i="20"/>
  <c r="B31" i="20"/>
  <c r="B30" i="20"/>
  <c r="B29" i="20"/>
  <c r="B28" i="20"/>
  <c r="B27" i="20"/>
  <c r="B26" i="20"/>
  <c r="B25" i="20"/>
  <c r="B24" i="20"/>
  <c r="B23" i="20"/>
  <c r="B22" i="20"/>
  <c r="B21" i="20"/>
  <c r="B20" i="20"/>
  <c r="B19" i="20"/>
  <c r="B18" i="20"/>
  <c r="B17" i="20"/>
  <c r="B16" i="20"/>
  <c r="B15" i="20"/>
  <c r="B14" i="20"/>
  <c r="B13" i="20"/>
  <c r="B12" i="20"/>
  <c r="B11" i="20"/>
  <c r="B10" i="20"/>
  <c r="B9" i="20"/>
  <c r="B8" i="20"/>
  <c r="B7" i="20"/>
  <c r="B6" i="20"/>
  <c r="B5" i="20"/>
  <c r="B4" i="20"/>
  <c r="B3" i="20"/>
  <c r="N110" i="19"/>
  <c r="N109" i="19"/>
  <c r="N108" i="19"/>
  <c r="N107" i="19"/>
  <c r="N106" i="19"/>
  <c r="N105" i="19"/>
  <c r="N104" i="19"/>
  <c r="N103" i="19"/>
  <c r="N102" i="19"/>
  <c r="N101" i="19"/>
  <c r="N100" i="19"/>
  <c r="N99" i="19"/>
  <c r="N98" i="19"/>
  <c r="N97" i="19"/>
  <c r="N96" i="19"/>
  <c r="N95" i="19"/>
  <c r="N94" i="19"/>
  <c r="N93" i="19"/>
  <c r="N92" i="19"/>
  <c r="N91" i="19"/>
  <c r="N90" i="19"/>
  <c r="N89" i="19"/>
  <c r="N88" i="19"/>
  <c r="N87" i="19"/>
  <c r="N86" i="19"/>
  <c r="N85" i="19"/>
  <c r="N84" i="19"/>
  <c r="N83" i="19"/>
  <c r="N82" i="19"/>
  <c r="N81" i="19"/>
  <c r="N80" i="19"/>
  <c r="N79" i="19"/>
  <c r="N78" i="19"/>
  <c r="N77" i="19"/>
  <c r="N76" i="19"/>
  <c r="N75" i="19"/>
  <c r="N74" i="19"/>
  <c r="N73" i="19"/>
  <c r="N72" i="19"/>
  <c r="N71" i="19"/>
  <c r="N70" i="19"/>
  <c r="N69" i="19"/>
  <c r="N68" i="19"/>
  <c r="N67" i="19"/>
  <c r="N66" i="19"/>
  <c r="N65" i="19"/>
  <c r="N64" i="19"/>
  <c r="N63" i="19"/>
  <c r="N62" i="19"/>
  <c r="N61" i="19"/>
  <c r="N60" i="19"/>
  <c r="N59" i="19"/>
  <c r="N58" i="19"/>
  <c r="N57" i="19"/>
  <c r="N56" i="19"/>
  <c r="N55" i="19"/>
  <c r="N54" i="19"/>
  <c r="N53" i="19"/>
  <c r="N52" i="19"/>
  <c r="N51" i="19"/>
  <c r="N50" i="19"/>
  <c r="N49" i="19"/>
  <c r="N48" i="19"/>
  <c r="N47" i="19"/>
  <c r="N46" i="19"/>
  <c r="N45" i="19"/>
  <c r="N44" i="19"/>
  <c r="N43" i="19"/>
  <c r="N42" i="19"/>
  <c r="N41" i="19"/>
  <c r="N40" i="19"/>
  <c r="N39" i="19"/>
  <c r="N38" i="19"/>
  <c r="N37" i="19"/>
  <c r="N36" i="19"/>
  <c r="N35" i="19"/>
  <c r="N34" i="19"/>
  <c r="N33" i="19"/>
  <c r="N32" i="19"/>
  <c r="N31" i="19"/>
  <c r="N30" i="19"/>
  <c r="N29" i="19"/>
  <c r="N28" i="19"/>
  <c r="N27" i="19"/>
  <c r="N26" i="19"/>
  <c r="N25" i="19"/>
  <c r="N24" i="19"/>
  <c r="N23" i="19"/>
  <c r="N22" i="19"/>
  <c r="N21" i="19"/>
  <c r="N20" i="19"/>
  <c r="N19" i="19"/>
  <c r="N18" i="19"/>
  <c r="N17" i="19"/>
  <c r="N16" i="19"/>
  <c r="N15" i="19"/>
  <c r="N14" i="19"/>
  <c r="N13" i="19"/>
  <c r="N12" i="19"/>
  <c r="N11" i="19"/>
  <c r="N10" i="19"/>
  <c r="N9" i="19"/>
  <c r="N8" i="19"/>
  <c r="N7" i="19"/>
  <c r="N6" i="19"/>
  <c r="N5" i="19"/>
  <c r="N4" i="19"/>
  <c r="N3" i="19"/>
  <c r="B122" i="19"/>
  <c r="B121" i="19"/>
  <c r="B120" i="19"/>
  <c r="B119" i="19"/>
  <c r="B118" i="19"/>
  <c r="B117" i="19"/>
  <c r="B116" i="19"/>
  <c r="B115" i="19"/>
  <c r="B114" i="19"/>
  <c r="B113" i="19"/>
  <c r="B112" i="19"/>
  <c r="B111" i="19"/>
  <c r="B110" i="19"/>
  <c r="B109" i="19"/>
  <c r="B108" i="19"/>
  <c r="B107" i="19"/>
  <c r="B106" i="19"/>
  <c r="B105" i="19"/>
  <c r="B104" i="19"/>
  <c r="B103" i="19"/>
  <c r="B102" i="19"/>
  <c r="B101" i="19"/>
  <c r="B100" i="19"/>
  <c r="B99" i="19"/>
  <c r="B98" i="19"/>
  <c r="B97" i="19"/>
  <c r="B96" i="19"/>
  <c r="B95" i="19"/>
  <c r="B94" i="19"/>
  <c r="B93" i="19"/>
  <c r="B92" i="19"/>
  <c r="B91" i="19"/>
  <c r="B90" i="19"/>
  <c r="B89" i="19"/>
  <c r="B88" i="19"/>
  <c r="B87" i="19"/>
  <c r="B86" i="19"/>
  <c r="B85" i="19"/>
  <c r="B84" i="19"/>
  <c r="B83" i="19"/>
  <c r="B82" i="19"/>
  <c r="B81" i="19"/>
  <c r="B80" i="19"/>
  <c r="B79" i="19"/>
  <c r="B78" i="19"/>
  <c r="B77" i="19"/>
  <c r="B76" i="19"/>
  <c r="B75" i="19"/>
  <c r="B74" i="19"/>
  <c r="B73" i="19"/>
  <c r="B72" i="19"/>
  <c r="B71" i="19"/>
  <c r="B70" i="19"/>
  <c r="B69" i="19"/>
  <c r="B68" i="19"/>
  <c r="B67" i="19"/>
  <c r="B66" i="19"/>
  <c r="B65" i="19"/>
  <c r="B64" i="19"/>
  <c r="B63" i="19"/>
  <c r="B62" i="19"/>
  <c r="B61" i="19"/>
  <c r="B60" i="19"/>
  <c r="B59" i="19"/>
  <c r="B58" i="19"/>
  <c r="B57" i="19"/>
  <c r="B56" i="19"/>
  <c r="B55" i="19"/>
  <c r="B54" i="19"/>
  <c r="B53" i="19"/>
  <c r="B52" i="19"/>
  <c r="B51" i="19"/>
  <c r="B50" i="19"/>
  <c r="B49" i="19"/>
  <c r="B48" i="19"/>
  <c r="B47" i="19"/>
  <c r="B46" i="19"/>
  <c r="B45" i="19"/>
  <c r="B44" i="19"/>
  <c r="B43" i="19"/>
  <c r="B42" i="19"/>
  <c r="B41" i="19"/>
  <c r="B40" i="19"/>
  <c r="B39" i="19"/>
  <c r="B38" i="19"/>
  <c r="B37" i="19"/>
  <c r="B36" i="19"/>
  <c r="B35" i="19"/>
  <c r="B34" i="19"/>
  <c r="B33" i="19"/>
  <c r="B32" i="19"/>
  <c r="B31" i="19"/>
  <c r="B30" i="19"/>
  <c r="B29" i="19"/>
  <c r="B28" i="19"/>
  <c r="B27" i="19"/>
  <c r="B26" i="19"/>
  <c r="B25" i="19"/>
  <c r="B24" i="19"/>
  <c r="B23" i="19"/>
  <c r="B22" i="19"/>
  <c r="B21" i="19"/>
  <c r="B20" i="19"/>
  <c r="B19" i="19"/>
  <c r="B18" i="19"/>
  <c r="B17" i="19"/>
  <c r="B16" i="19"/>
  <c r="B15" i="19"/>
  <c r="B14" i="19"/>
  <c r="B13" i="19"/>
  <c r="B12" i="19"/>
  <c r="B11" i="19"/>
  <c r="B10" i="19"/>
  <c r="B9" i="19"/>
  <c r="B8" i="19"/>
  <c r="B7" i="19"/>
  <c r="B6" i="19"/>
  <c r="B5" i="19"/>
  <c r="B4" i="19"/>
  <c r="B3" i="19"/>
  <c r="G145" i="48"/>
  <c r="F145" i="48"/>
  <c r="E145" i="48"/>
  <c r="D145" i="48"/>
  <c r="C145" i="48"/>
  <c r="B145" i="48"/>
  <c r="G118" i="48"/>
  <c r="F118" i="48"/>
  <c r="E118" i="48"/>
  <c r="D118" i="48"/>
  <c r="C118" i="48"/>
  <c r="B118" i="48"/>
  <c r="G81" i="48"/>
  <c r="F81" i="48"/>
  <c r="E81" i="48"/>
  <c r="D81" i="48"/>
  <c r="C81" i="48"/>
  <c r="B81" i="48"/>
  <c r="G54" i="48"/>
  <c r="F54" i="48"/>
  <c r="E54" i="48"/>
  <c r="D54" i="48"/>
  <c r="C54" i="48"/>
  <c r="B54" i="48"/>
  <c r="AI635" i="48" l="1"/>
  <c r="AL635" i="48" s="1"/>
  <c r="AN635" i="48" s="1"/>
  <c r="AR635" i="48" s="1"/>
  <c r="AH635" i="48"/>
  <c r="AK635" i="48" s="1"/>
  <c r="AM635" i="48" s="1"/>
  <c r="AQ635" i="48" s="1"/>
  <c r="AE629" i="48"/>
  <c r="AF629" i="48" s="1"/>
  <c r="AE628" i="48"/>
  <c r="AF628" i="48" s="1"/>
  <c r="AE627" i="48"/>
  <c r="AF627" i="48" s="1"/>
  <c r="AE626" i="48"/>
  <c r="AF626" i="48" s="1"/>
  <c r="AE625" i="48"/>
  <c r="AF625" i="48" s="1"/>
  <c r="AE624" i="48"/>
  <c r="AF624" i="48" s="1"/>
  <c r="AI606" i="48"/>
  <c r="AL606" i="48" s="1"/>
  <c r="AH606" i="48"/>
  <c r="AK606" i="48" s="1"/>
  <c r="AO606" i="48" s="1"/>
  <c r="AE600" i="48"/>
  <c r="AF600" i="48" s="1"/>
  <c r="AE599" i="48"/>
  <c r="AF599" i="48" s="1"/>
  <c r="AE598" i="48"/>
  <c r="AF598" i="48" s="1"/>
  <c r="AE597" i="48"/>
  <c r="AF597" i="48" s="1"/>
  <c r="AE596" i="48"/>
  <c r="AF596" i="48" s="1"/>
  <c r="AE595" i="48"/>
  <c r="AF595" i="48" s="1"/>
  <c r="AI577" i="48"/>
  <c r="AL577" i="48" s="1"/>
  <c r="AN577" i="48" s="1"/>
  <c r="AR577" i="48" s="1"/>
  <c r="AH577" i="48"/>
  <c r="AK577" i="48" s="1"/>
  <c r="AM577" i="48" s="1"/>
  <c r="AQ577" i="48" s="1"/>
  <c r="AE571" i="48"/>
  <c r="AF571" i="48" s="1"/>
  <c r="AE570" i="48"/>
  <c r="AF570" i="48" s="1"/>
  <c r="AE569" i="48"/>
  <c r="AF569" i="48" s="1"/>
  <c r="AE568" i="48"/>
  <c r="AF568" i="48" s="1"/>
  <c r="AE567" i="48"/>
  <c r="AF567" i="48" s="1"/>
  <c r="AE566" i="48"/>
  <c r="AF566" i="48" s="1"/>
  <c r="AI548" i="48"/>
  <c r="AL548" i="48" s="1"/>
  <c r="AN548" i="48" s="1"/>
  <c r="AR548" i="48" s="1"/>
  <c r="AH548" i="48"/>
  <c r="AK548" i="48" s="1"/>
  <c r="AM548" i="48" s="1"/>
  <c r="AQ548" i="48" s="1"/>
  <c r="AE542" i="48"/>
  <c r="AF542" i="48" s="1"/>
  <c r="AE541" i="48"/>
  <c r="AF541" i="48" s="1"/>
  <c r="AE540" i="48"/>
  <c r="AF540" i="48" s="1"/>
  <c r="AE539" i="48"/>
  <c r="AF539" i="48" s="1"/>
  <c r="AE538" i="48"/>
  <c r="AF538" i="48" s="1"/>
  <c r="AE537" i="48"/>
  <c r="AF537" i="48" s="1"/>
  <c r="AI519" i="48"/>
  <c r="AL519" i="48" s="1"/>
  <c r="AH519" i="48"/>
  <c r="AK519" i="48" s="1"/>
  <c r="AM519" i="48" s="1"/>
  <c r="AQ519" i="48" s="1"/>
  <c r="AE513" i="48"/>
  <c r="AF513" i="48" s="1"/>
  <c r="AE512" i="48"/>
  <c r="AF512" i="48" s="1"/>
  <c r="AE511" i="48"/>
  <c r="AF511" i="48" s="1"/>
  <c r="AE510" i="48"/>
  <c r="AF510" i="48" s="1"/>
  <c r="AE509" i="48"/>
  <c r="AF509" i="48" s="1"/>
  <c r="AE508" i="48"/>
  <c r="AF508" i="48" s="1"/>
  <c r="AI490" i="48"/>
  <c r="AL490" i="48" s="1"/>
  <c r="AH490" i="48"/>
  <c r="AK490" i="48" s="1"/>
  <c r="AO490" i="48" s="1"/>
  <c r="AE484" i="48"/>
  <c r="AF484" i="48" s="1"/>
  <c r="AE483" i="48"/>
  <c r="AF483" i="48" s="1"/>
  <c r="AE482" i="48"/>
  <c r="AF482" i="48" s="1"/>
  <c r="AE481" i="48"/>
  <c r="AF481" i="48" s="1"/>
  <c r="AE480" i="48"/>
  <c r="AF480" i="48" s="1"/>
  <c r="AE479" i="48"/>
  <c r="AF479" i="48" s="1"/>
  <c r="AP635" i="48"/>
  <c r="AP606" i="48"/>
  <c r="AN606" i="48"/>
  <c r="AR606" i="48" s="1"/>
  <c r="AM606" i="48"/>
  <c r="AQ606" i="48" s="1"/>
  <c r="AP577" i="48"/>
  <c r="AP548" i="48"/>
  <c r="AP519" i="48"/>
  <c r="AN519" i="48"/>
  <c r="AR519" i="48" s="1"/>
  <c r="AP490" i="48"/>
  <c r="AN490" i="48"/>
  <c r="AR490" i="48" s="1"/>
  <c r="AM490" i="48" l="1"/>
  <c r="AQ490" i="48" s="1"/>
  <c r="AO519" i="48"/>
  <c r="AO577" i="48"/>
  <c r="AO548" i="48"/>
  <c r="AO635" i="48"/>
  <c r="O439" i="48"/>
  <c r="O438" i="48"/>
  <c r="O434" i="48"/>
  <c r="O433" i="48"/>
  <c r="O429" i="48"/>
  <c r="O428" i="48"/>
  <c r="O423" i="48"/>
  <c r="O419" i="48"/>
  <c r="O415" i="48"/>
  <c r="U403" i="48"/>
  <c r="V403" i="48"/>
  <c r="AG494" i="48" l="1"/>
  <c r="AG502" i="48" s="1"/>
  <c r="AB511" i="48"/>
  <c r="AG495" i="48"/>
  <c r="AG503" i="48" s="1"/>
  <c r="AB512" i="48"/>
  <c r="AG496" i="48"/>
  <c r="AG504" i="48" s="1"/>
  <c r="AB513" i="48"/>
  <c r="AG493" i="48"/>
  <c r="AG501" i="48" s="1"/>
  <c r="AB510" i="48"/>
  <c r="AG492" i="48"/>
  <c r="AG500" i="48" s="1"/>
  <c r="AB509" i="48"/>
  <c r="A369" i="48"/>
  <c r="A383" i="48" s="1"/>
  <c r="A368" i="48"/>
  <c r="A382" i="48" s="1"/>
  <c r="AG524" i="48" l="1"/>
  <c r="AG532" i="48" s="1"/>
  <c r="AB541" i="48"/>
  <c r="AB542" i="48"/>
  <c r="AG525" i="48"/>
  <c r="AG533" i="48" s="1"/>
  <c r="AG523" i="48"/>
  <c r="AG531" i="48" s="1"/>
  <c r="AB540" i="48"/>
  <c r="AG521" i="48"/>
  <c r="AG529" i="48" s="1"/>
  <c r="AB538" i="48"/>
  <c r="AG522" i="48"/>
  <c r="AG530" i="48" s="1"/>
  <c r="AB539" i="48"/>
  <c r="A342" i="48"/>
  <c r="A341" i="48"/>
  <c r="AG550" i="48" l="1"/>
  <c r="AG558" i="48" s="1"/>
  <c r="AB567" i="48"/>
  <c r="AB569" i="48"/>
  <c r="AG552" i="48"/>
  <c r="AG560" i="48" s="1"/>
  <c r="AG551" i="48"/>
  <c r="AG559" i="48" s="1"/>
  <c r="AB568" i="48"/>
  <c r="AG554" i="48"/>
  <c r="AG562" i="48" s="1"/>
  <c r="AB571" i="48"/>
  <c r="AG553" i="48"/>
  <c r="AG561" i="48" s="1"/>
  <c r="AB570" i="48"/>
  <c r="AG583" i="48" l="1"/>
  <c r="AG591" i="48" s="1"/>
  <c r="AB600" i="48"/>
  <c r="AG582" i="48"/>
  <c r="AG590" i="48" s="1"/>
  <c r="AB599" i="48"/>
  <c r="AG581" i="48"/>
  <c r="AG589" i="48" s="1"/>
  <c r="AB598" i="48"/>
  <c r="AG579" i="48"/>
  <c r="AG587" i="48" s="1"/>
  <c r="AB596" i="48"/>
  <c r="AG580" i="48"/>
  <c r="AG588" i="48" s="1"/>
  <c r="AB597" i="48"/>
  <c r="AG609" i="48" l="1"/>
  <c r="AG617" i="48" s="1"/>
  <c r="AB626" i="48"/>
  <c r="AG638" i="48" s="1"/>
  <c r="AG646" i="48" s="1"/>
  <c r="AG610" i="48"/>
  <c r="AG618" i="48" s="1"/>
  <c r="AB627" i="48"/>
  <c r="AG639" i="48" s="1"/>
  <c r="AG647" i="48" s="1"/>
  <c r="AB625" i="48"/>
  <c r="AG637" i="48" s="1"/>
  <c r="AG645" i="48" s="1"/>
  <c r="AG608" i="48"/>
  <c r="AG616" i="48" s="1"/>
  <c r="AG611" i="48"/>
  <c r="AG619" i="48" s="1"/>
  <c r="AB628" i="48"/>
  <c r="AG640" i="48" s="1"/>
  <c r="AG648" i="48" s="1"/>
  <c r="AB629" i="48"/>
  <c r="AG641" i="48" s="1"/>
  <c r="AG649" i="48" s="1"/>
  <c r="AG612" i="48"/>
  <c r="AG620" i="48" s="1"/>
  <c r="C313" i="48" l="1"/>
  <c r="D313" i="48"/>
  <c r="B313" i="48"/>
  <c r="AC8" i="24"/>
  <c r="P249" i="48"/>
  <c r="P245" i="48"/>
  <c r="P246" i="48"/>
  <c r="P247" i="48"/>
  <c r="P248" i="48"/>
  <c r="P244" i="48"/>
  <c r="P241" i="48" l="1"/>
  <c r="P240" i="48"/>
  <c r="P239" i="48"/>
  <c r="B209" i="48" l="1"/>
  <c r="F209" i="48"/>
  <c r="E209" i="48"/>
  <c r="C209" i="48"/>
  <c r="G209" i="48"/>
  <c r="D209" i="48"/>
  <c r="H145" i="48"/>
  <c r="G124" i="48" l="1"/>
  <c r="F124" i="48"/>
  <c r="F162" i="48" s="1"/>
  <c r="E124" i="48"/>
  <c r="E162" i="48" s="1"/>
  <c r="D124" i="48"/>
  <c r="D162" i="48" s="1"/>
  <c r="C124" i="48"/>
  <c r="B124" i="48"/>
  <c r="G156" i="48"/>
  <c r="F156" i="48"/>
  <c r="E156" i="48"/>
  <c r="D156" i="48"/>
  <c r="C156" i="48"/>
  <c r="B156" i="48"/>
  <c r="B162" i="48" l="1"/>
  <c r="C162" i="48"/>
  <c r="G162" i="48"/>
  <c r="G144" i="48"/>
  <c r="F144" i="48"/>
  <c r="E144" i="48"/>
  <c r="C144" i="48"/>
  <c r="B144" i="48"/>
  <c r="G109" i="48"/>
  <c r="G110" i="48"/>
  <c r="G111" i="48"/>
  <c r="G112" i="48"/>
  <c r="G113" i="48"/>
  <c r="G114" i="48"/>
  <c r="G115" i="48"/>
  <c r="G116" i="48"/>
  <c r="G117" i="48"/>
  <c r="F109" i="48"/>
  <c r="F110" i="48"/>
  <c r="F111" i="48"/>
  <c r="F112" i="48"/>
  <c r="F113" i="48"/>
  <c r="F114" i="48"/>
  <c r="F115" i="48"/>
  <c r="F116" i="48"/>
  <c r="F117" i="48"/>
  <c r="E109" i="48"/>
  <c r="E110" i="48"/>
  <c r="E111" i="48"/>
  <c r="E112" i="48"/>
  <c r="E113" i="48"/>
  <c r="E114" i="48"/>
  <c r="E115" i="48"/>
  <c r="E116" i="48"/>
  <c r="E117" i="48"/>
  <c r="D109" i="48"/>
  <c r="D110" i="48"/>
  <c r="D111" i="48"/>
  <c r="D112" i="48"/>
  <c r="D113" i="48"/>
  <c r="D114" i="48"/>
  <c r="D115" i="48"/>
  <c r="D116" i="48"/>
  <c r="D117" i="48"/>
  <c r="C109" i="48"/>
  <c r="C110" i="48"/>
  <c r="C111" i="48"/>
  <c r="C112" i="48"/>
  <c r="C113" i="48"/>
  <c r="C114" i="48"/>
  <c r="C115" i="48"/>
  <c r="C116" i="48"/>
  <c r="C117" i="48"/>
  <c r="B110" i="48"/>
  <c r="B111" i="48"/>
  <c r="B112" i="48"/>
  <c r="B113" i="48"/>
  <c r="B114" i="48"/>
  <c r="B115" i="48"/>
  <c r="B116" i="48"/>
  <c r="B117" i="48"/>
  <c r="B109" i="48"/>
  <c r="G143" i="48"/>
  <c r="F143" i="48"/>
  <c r="E143" i="48"/>
  <c r="D143" i="48"/>
  <c r="C143" i="48"/>
  <c r="B143" i="48"/>
  <c r="G142" i="48"/>
  <c r="F142" i="48"/>
  <c r="E142" i="48"/>
  <c r="D142" i="48"/>
  <c r="C142" i="48"/>
  <c r="B142" i="48"/>
  <c r="G141" i="48"/>
  <c r="F141" i="48"/>
  <c r="E141" i="48"/>
  <c r="D141" i="48"/>
  <c r="C141" i="48"/>
  <c r="B141" i="48"/>
  <c r="G140" i="48"/>
  <c r="F140" i="48"/>
  <c r="E140" i="48"/>
  <c r="D140" i="48"/>
  <c r="C140" i="48"/>
  <c r="B140" i="48"/>
  <c r="G138" i="48"/>
  <c r="F138" i="48"/>
  <c r="E138" i="48"/>
  <c r="D138" i="48"/>
  <c r="C138" i="48"/>
  <c r="B138" i="48"/>
  <c r="G137" i="48"/>
  <c r="F137" i="48"/>
  <c r="E137" i="48"/>
  <c r="D137" i="48"/>
  <c r="C137" i="48"/>
  <c r="B137" i="48"/>
  <c r="G136" i="48"/>
  <c r="F136" i="48"/>
  <c r="E136" i="48"/>
  <c r="D136" i="48"/>
  <c r="C136" i="48"/>
  <c r="B136" i="48"/>
  <c r="G135" i="48"/>
  <c r="F135" i="48"/>
  <c r="E135" i="48"/>
  <c r="D135" i="48"/>
  <c r="C135" i="48"/>
  <c r="B135" i="48"/>
  <c r="B147" i="48" l="1"/>
  <c r="C153" i="48"/>
  <c r="C149" i="48"/>
  <c r="D151" i="48"/>
  <c r="D147" i="48"/>
  <c r="E153" i="48"/>
  <c r="E149" i="48"/>
  <c r="F155" i="48"/>
  <c r="F151" i="48"/>
  <c r="F147" i="48"/>
  <c r="G153" i="48"/>
  <c r="G149" i="48"/>
  <c r="H109" i="48"/>
  <c r="H135" i="48"/>
  <c r="B151" i="48"/>
  <c r="C152" i="48"/>
  <c r="C148" i="48"/>
  <c r="D154" i="48"/>
  <c r="D150" i="48"/>
  <c r="E152" i="48"/>
  <c r="E148" i="48"/>
  <c r="F154" i="48"/>
  <c r="F150" i="48"/>
  <c r="G152" i="48"/>
  <c r="G148" i="48"/>
  <c r="D144" i="48"/>
  <c r="D155" i="48" s="1"/>
  <c r="H110" i="48"/>
  <c r="B150" i="48"/>
  <c r="C155" i="48"/>
  <c r="C151" i="48"/>
  <c r="C147" i="48"/>
  <c r="D153" i="48"/>
  <c r="D149" i="48"/>
  <c r="E155" i="48"/>
  <c r="E151" i="48"/>
  <c r="E147" i="48"/>
  <c r="F153" i="48"/>
  <c r="F149" i="48"/>
  <c r="G155" i="48"/>
  <c r="G151" i="48"/>
  <c r="G147" i="48"/>
  <c r="B148" i="48"/>
  <c r="H136" i="48"/>
  <c r="B149" i="48"/>
  <c r="C154" i="48"/>
  <c r="C150" i="48"/>
  <c r="D152" i="48"/>
  <c r="D148" i="48"/>
  <c r="E154" i="48"/>
  <c r="E150" i="48"/>
  <c r="F152" i="48"/>
  <c r="F148" i="48"/>
  <c r="G154" i="48"/>
  <c r="G150" i="48"/>
  <c r="C71" i="48" l="1"/>
  <c r="C200" i="48" s="1"/>
  <c r="D71" i="48"/>
  <c r="D200" i="48" s="1"/>
  <c r="E71" i="48"/>
  <c r="E200" i="48" s="1"/>
  <c r="F71" i="48"/>
  <c r="F200" i="48" s="1"/>
  <c r="G71" i="48"/>
  <c r="G200" i="48" s="1"/>
  <c r="C72" i="48"/>
  <c r="C201" i="48" s="1"/>
  <c r="D72" i="48"/>
  <c r="D201" i="48" s="1"/>
  <c r="E72" i="48"/>
  <c r="E201" i="48" s="1"/>
  <c r="F72" i="48"/>
  <c r="F201" i="48" s="1"/>
  <c r="G72" i="48"/>
  <c r="G201" i="48" s="1"/>
  <c r="C73" i="48"/>
  <c r="C202" i="48" s="1"/>
  <c r="D73" i="48"/>
  <c r="D202" i="48" s="1"/>
  <c r="E73" i="48"/>
  <c r="E202" i="48" s="1"/>
  <c r="F73" i="48"/>
  <c r="F202" i="48" s="1"/>
  <c r="G73" i="48"/>
  <c r="G202" i="48" s="1"/>
  <c r="C74" i="48"/>
  <c r="C203" i="48" s="1"/>
  <c r="D74" i="48"/>
  <c r="D203" i="48" s="1"/>
  <c r="E74" i="48"/>
  <c r="E203" i="48" s="1"/>
  <c r="F74" i="48"/>
  <c r="F203" i="48" s="1"/>
  <c r="G74" i="48"/>
  <c r="G203" i="48" s="1"/>
  <c r="C75" i="48"/>
  <c r="C204" i="48" s="1"/>
  <c r="D75" i="48"/>
  <c r="D204" i="48" s="1"/>
  <c r="E75" i="48"/>
  <c r="E204" i="48" s="1"/>
  <c r="F75" i="48"/>
  <c r="F204" i="48" s="1"/>
  <c r="G75" i="48"/>
  <c r="G204" i="48" s="1"/>
  <c r="C76" i="48"/>
  <c r="D76" i="48"/>
  <c r="E76" i="48"/>
  <c r="F76" i="48"/>
  <c r="G76" i="48"/>
  <c r="C78" i="48"/>
  <c r="C206" i="48" s="1"/>
  <c r="D78" i="48"/>
  <c r="D206" i="48" s="1"/>
  <c r="E78" i="48"/>
  <c r="E206" i="48" s="1"/>
  <c r="F78" i="48"/>
  <c r="F206" i="48" s="1"/>
  <c r="G78" i="48"/>
  <c r="G206" i="48" s="1"/>
  <c r="C79" i="48"/>
  <c r="C207" i="48" s="1"/>
  <c r="D79" i="48"/>
  <c r="D207" i="48" s="1"/>
  <c r="E79" i="48"/>
  <c r="E207" i="48" s="1"/>
  <c r="F79" i="48"/>
  <c r="F207" i="48" s="1"/>
  <c r="G79" i="48"/>
  <c r="G207" i="48" s="1"/>
  <c r="C80" i="48"/>
  <c r="C208" i="48" s="1"/>
  <c r="D80" i="48"/>
  <c r="D208" i="48" s="1"/>
  <c r="E80" i="48"/>
  <c r="E208" i="48" s="1"/>
  <c r="F80" i="48"/>
  <c r="F208" i="48" s="1"/>
  <c r="G80" i="48"/>
  <c r="G208" i="48" s="1"/>
  <c r="B79" i="48"/>
  <c r="B207" i="48" s="1"/>
  <c r="B80" i="48"/>
  <c r="B208" i="48" s="1"/>
  <c r="B78" i="48"/>
  <c r="B206" i="48" s="1"/>
  <c r="B72" i="48"/>
  <c r="B201" i="48" s="1"/>
  <c r="B73" i="48"/>
  <c r="B202" i="48" s="1"/>
  <c r="B74" i="48"/>
  <c r="B203" i="48" s="1"/>
  <c r="B75" i="48"/>
  <c r="B204" i="48" s="1"/>
  <c r="B76" i="48"/>
  <c r="B71" i="48"/>
  <c r="B200" i="48" s="1"/>
  <c r="A83" i="48"/>
  <c r="A84" i="48"/>
  <c r="G62" i="48"/>
  <c r="AK467" i="48" s="1"/>
  <c r="AM467" i="48" s="1"/>
  <c r="F62" i="48"/>
  <c r="F100" i="48" s="1"/>
  <c r="E62" i="48"/>
  <c r="E100" i="48" s="1"/>
  <c r="D62" i="48"/>
  <c r="D100" i="48" s="1"/>
  <c r="C62" i="48"/>
  <c r="AK463" i="48" s="1"/>
  <c r="AM463" i="48" s="1"/>
  <c r="B62" i="48"/>
  <c r="AK462" i="48" s="1"/>
  <c r="AM462" i="48" s="1"/>
  <c r="G182" i="48"/>
  <c r="G222" i="48" s="1"/>
  <c r="F182" i="48"/>
  <c r="F222" i="48" s="1"/>
  <c r="E182" i="48"/>
  <c r="E222" i="48" s="1"/>
  <c r="D182" i="48"/>
  <c r="D222" i="48" s="1"/>
  <c r="C182" i="48"/>
  <c r="C222" i="48" s="1"/>
  <c r="C45" i="48"/>
  <c r="C173" i="48" s="1"/>
  <c r="D45" i="48"/>
  <c r="D173" i="48" s="1"/>
  <c r="E45" i="48"/>
  <c r="E173" i="48" s="1"/>
  <c r="F45" i="48"/>
  <c r="F173" i="48" s="1"/>
  <c r="G45" i="48"/>
  <c r="G173" i="48" s="1"/>
  <c r="C46" i="48"/>
  <c r="C174" i="48" s="1"/>
  <c r="D46" i="48"/>
  <c r="D174" i="48" s="1"/>
  <c r="E46" i="48"/>
  <c r="E174" i="48" s="1"/>
  <c r="F46" i="48"/>
  <c r="F174" i="48" s="1"/>
  <c r="G46" i="48"/>
  <c r="G174" i="48" s="1"/>
  <c r="C47" i="48"/>
  <c r="C175" i="48" s="1"/>
  <c r="D47" i="48"/>
  <c r="D175" i="48" s="1"/>
  <c r="E47" i="48"/>
  <c r="E175" i="48" s="1"/>
  <c r="F47" i="48"/>
  <c r="F175" i="48" s="1"/>
  <c r="G47" i="48"/>
  <c r="G175" i="48" s="1"/>
  <c r="C48" i="48"/>
  <c r="C176" i="48" s="1"/>
  <c r="D48" i="48"/>
  <c r="D176" i="48" s="1"/>
  <c r="E48" i="48"/>
  <c r="E176" i="48" s="1"/>
  <c r="F48" i="48"/>
  <c r="F176" i="48" s="1"/>
  <c r="G48" i="48"/>
  <c r="G176" i="48" s="1"/>
  <c r="C49" i="48"/>
  <c r="C177" i="48" s="1"/>
  <c r="D49" i="48"/>
  <c r="D177" i="48" s="1"/>
  <c r="E49" i="48"/>
  <c r="E177" i="48" s="1"/>
  <c r="F49" i="48"/>
  <c r="F177" i="48" s="1"/>
  <c r="G49" i="48"/>
  <c r="G177" i="48" s="1"/>
  <c r="C50" i="48"/>
  <c r="D50" i="48"/>
  <c r="E50" i="48"/>
  <c r="F50" i="48"/>
  <c r="G50" i="48"/>
  <c r="C51" i="48"/>
  <c r="C179" i="48" s="1"/>
  <c r="D51" i="48"/>
  <c r="D179" i="48" s="1"/>
  <c r="E51" i="48"/>
  <c r="E179" i="48" s="1"/>
  <c r="F51" i="48"/>
  <c r="F179" i="48" s="1"/>
  <c r="G51" i="48"/>
  <c r="G179" i="48" s="1"/>
  <c r="C52" i="48"/>
  <c r="C180" i="48" s="1"/>
  <c r="D52" i="48"/>
  <c r="D180" i="48" s="1"/>
  <c r="E52" i="48"/>
  <c r="E180" i="48" s="1"/>
  <c r="F52" i="48"/>
  <c r="F180" i="48" s="1"/>
  <c r="G52" i="48"/>
  <c r="G180" i="48" s="1"/>
  <c r="C53" i="48"/>
  <c r="C181" i="48" s="1"/>
  <c r="D53" i="48"/>
  <c r="D181" i="48" s="1"/>
  <c r="E53" i="48"/>
  <c r="E181" i="48" s="1"/>
  <c r="F53" i="48"/>
  <c r="F181" i="48" s="1"/>
  <c r="G53" i="48"/>
  <c r="G181" i="48" s="1"/>
  <c r="B182" i="48"/>
  <c r="B222" i="48" s="1"/>
  <c r="B100" i="48" l="1"/>
  <c r="C100" i="48"/>
  <c r="G100" i="48"/>
  <c r="E178" i="48"/>
  <c r="D205" i="48"/>
  <c r="E205" i="48"/>
  <c r="G205" i="48"/>
  <c r="C205" i="48"/>
  <c r="F178" i="48"/>
  <c r="D178" i="48"/>
  <c r="G178" i="48"/>
  <c r="C178" i="48"/>
  <c r="F205" i="48"/>
  <c r="G221" i="48"/>
  <c r="C221" i="48"/>
  <c r="D220" i="48"/>
  <c r="E219" i="48"/>
  <c r="G217" i="48"/>
  <c r="C217" i="48"/>
  <c r="D216" i="48"/>
  <c r="E215" i="48"/>
  <c r="F214" i="48"/>
  <c r="G213" i="48"/>
  <c r="C213" i="48"/>
  <c r="H204" i="48"/>
  <c r="H206" i="48"/>
  <c r="D221" i="48"/>
  <c r="E220" i="48"/>
  <c r="F219" i="48"/>
  <c r="D217" i="48"/>
  <c r="E216" i="48"/>
  <c r="F215" i="48"/>
  <c r="G214" i="48"/>
  <c r="C214" i="48"/>
  <c r="D213" i="48"/>
  <c r="G220" i="48"/>
  <c r="G216" i="48"/>
  <c r="D215" i="48"/>
  <c r="E214" i="48"/>
  <c r="H203" i="48"/>
  <c r="E221" i="48"/>
  <c r="F220" i="48"/>
  <c r="G219" i="48"/>
  <c r="C219" i="48"/>
  <c r="E217" i="48"/>
  <c r="F216" i="48"/>
  <c r="G215" i="48"/>
  <c r="C215" i="48"/>
  <c r="D214" i="48"/>
  <c r="E213" i="48"/>
  <c r="H200" i="48"/>
  <c r="H202" i="48"/>
  <c r="H207" i="48"/>
  <c r="F221" i="48"/>
  <c r="C220" i="48"/>
  <c r="D219" i="48"/>
  <c r="F217" i="48"/>
  <c r="C216" i="48"/>
  <c r="F213" i="48"/>
  <c r="H208" i="48"/>
  <c r="H201" i="48"/>
  <c r="E91" i="48"/>
  <c r="F90" i="48"/>
  <c r="G89" i="48"/>
  <c r="C89" i="48"/>
  <c r="D88" i="48"/>
  <c r="E87" i="48"/>
  <c r="F86" i="48"/>
  <c r="G85" i="48"/>
  <c r="C85" i="48"/>
  <c r="D84" i="48"/>
  <c r="E83" i="48"/>
  <c r="D92" i="48"/>
  <c r="E92" i="48"/>
  <c r="D90" i="48"/>
  <c r="F88" i="48"/>
  <c r="G87" i="48"/>
  <c r="D86" i="48"/>
  <c r="F84" i="48"/>
  <c r="F92" i="48"/>
  <c r="D91" i="48"/>
  <c r="E90" i="48"/>
  <c r="D87" i="48"/>
  <c r="E86" i="48"/>
  <c r="D83" i="48"/>
  <c r="F91" i="48"/>
  <c r="G90" i="48"/>
  <c r="C90" i="48"/>
  <c r="D89" i="48"/>
  <c r="E88" i="48"/>
  <c r="F87" i="48"/>
  <c r="G86" i="48"/>
  <c r="C86" i="48"/>
  <c r="D85" i="48"/>
  <c r="E84" i="48"/>
  <c r="F83" i="48"/>
  <c r="C92" i="48"/>
  <c r="G92" i="48"/>
  <c r="G91" i="48"/>
  <c r="C91" i="48"/>
  <c r="E89" i="48"/>
  <c r="C87" i="48"/>
  <c r="E85" i="48"/>
  <c r="G83" i="48"/>
  <c r="C83" i="48"/>
  <c r="H72" i="48"/>
  <c r="F89" i="48"/>
  <c r="G88" i="48"/>
  <c r="C88" i="48"/>
  <c r="F85" i="48"/>
  <c r="G84" i="48"/>
  <c r="C84" i="48"/>
  <c r="H71" i="48"/>
  <c r="D218" i="48" l="1"/>
  <c r="G218" i="48"/>
  <c r="C218" i="48"/>
  <c r="E218" i="48"/>
  <c r="F218" i="48"/>
  <c r="B46" i="48"/>
  <c r="B174" i="48" s="1"/>
  <c r="B214" i="48" s="1"/>
  <c r="B47" i="48"/>
  <c r="B175" i="48" s="1"/>
  <c r="B215" i="48" s="1"/>
  <c r="B48" i="48"/>
  <c r="B176" i="48" s="1"/>
  <c r="B216" i="48" s="1"/>
  <c r="B49" i="48"/>
  <c r="B177" i="48" s="1"/>
  <c r="B217" i="48" s="1"/>
  <c r="B50" i="48"/>
  <c r="B51" i="48"/>
  <c r="B179" i="48" s="1"/>
  <c r="B219" i="48" s="1"/>
  <c r="B52" i="48"/>
  <c r="B180" i="48" s="1"/>
  <c r="B220" i="48" s="1"/>
  <c r="B53" i="48"/>
  <c r="B181" i="48" s="1"/>
  <c r="B221" i="48" s="1"/>
  <c r="B45" i="48"/>
  <c r="B178" i="48" l="1"/>
  <c r="H178" i="48" s="1"/>
  <c r="H181" i="48"/>
  <c r="H177" i="48"/>
  <c r="H180" i="48"/>
  <c r="H176" i="48"/>
  <c r="H179" i="48"/>
  <c r="H175" i="48"/>
  <c r="H174" i="48"/>
  <c r="B90" i="48"/>
  <c r="B86" i="48"/>
  <c r="B87" i="48"/>
  <c r="B89" i="48"/>
  <c r="B85" i="48"/>
  <c r="B83" i="48"/>
  <c r="B173" i="48"/>
  <c r="B213" i="48" s="1"/>
  <c r="B88" i="48"/>
  <c r="B84" i="48"/>
  <c r="A45" i="48"/>
  <c r="A109" i="48" s="1"/>
  <c r="A46" i="48"/>
  <c r="A110" i="48" s="1"/>
  <c r="G43" i="48"/>
  <c r="F43" i="48"/>
  <c r="E43" i="48"/>
  <c r="B43" i="48"/>
  <c r="AO462" i="48" l="1"/>
  <c r="H173" i="48"/>
  <c r="A121" i="48"/>
  <c r="A136" i="48" s="1"/>
  <c r="A159" i="48" s="1"/>
  <c r="A174" i="48"/>
  <c r="A185" i="48" s="1"/>
  <c r="A201" i="48" s="1"/>
  <c r="A120" i="48"/>
  <c r="A135" i="48" s="1"/>
  <c r="A158" i="48" s="1"/>
  <c r="A173" i="48"/>
  <c r="A184" i="48" s="1"/>
  <c r="A200" i="48" s="1"/>
  <c r="A57" i="48"/>
  <c r="A95" i="48" s="1"/>
  <c r="A72" i="48"/>
  <c r="A56" i="48"/>
  <c r="A94" i="48" s="1"/>
  <c r="A71" i="48"/>
  <c r="H45" i="48"/>
  <c r="H46" i="48"/>
  <c r="N29" i="48"/>
  <c r="D366" i="48"/>
  <c r="H366" i="48" s="1"/>
  <c r="C366" i="48"/>
  <c r="G366" i="48" s="1"/>
  <c r="G313" i="48"/>
  <c r="F313" i="48"/>
  <c r="E313" i="48"/>
  <c r="O444" i="48"/>
  <c r="O443" i="48"/>
  <c r="T403" i="48"/>
  <c r="S403" i="48"/>
  <c r="Q403" i="48"/>
  <c r="P403" i="48"/>
  <c r="A148" i="48" l="1"/>
  <c r="A225" i="48"/>
  <c r="A214" i="48"/>
  <c r="A213" i="48"/>
  <c r="A224" i="48"/>
  <c r="A147" i="48"/>
  <c r="D24" i="48"/>
  <c r="C24" i="48"/>
  <c r="A22" i="48"/>
  <c r="AJ504" i="48" l="1"/>
  <c r="AJ525" i="48" s="1"/>
  <c r="AJ533" i="48" s="1"/>
  <c r="AJ554" i="48" s="1"/>
  <c r="AJ562" i="48" s="1"/>
  <c r="AJ583" i="48" s="1"/>
  <c r="AJ591" i="48" s="1"/>
  <c r="AJ503" i="48"/>
  <c r="AJ524" i="48" s="1"/>
  <c r="AJ532" i="48" s="1"/>
  <c r="AJ553" i="48" s="1"/>
  <c r="AJ561" i="48" s="1"/>
  <c r="AJ582" i="48" s="1"/>
  <c r="AJ590" i="48" s="1"/>
  <c r="AJ502" i="48"/>
  <c r="AJ523" i="48" s="1"/>
  <c r="AJ531" i="48" s="1"/>
  <c r="AJ552" i="48" s="1"/>
  <c r="AJ560" i="48" s="1"/>
  <c r="AJ581" i="48" s="1"/>
  <c r="AJ589" i="48" s="1"/>
  <c r="AJ501" i="48"/>
  <c r="AJ522" i="48" s="1"/>
  <c r="AJ530" i="48" s="1"/>
  <c r="AJ551" i="48" s="1"/>
  <c r="AJ559" i="48" s="1"/>
  <c r="AJ580" i="48" s="1"/>
  <c r="AJ588" i="48" s="1"/>
  <c r="AJ500" i="48"/>
  <c r="AJ521" i="48" s="1"/>
  <c r="AJ529" i="48" s="1"/>
  <c r="AJ550" i="48" s="1"/>
  <c r="AJ558" i="48" s="1"/>
  <c r="AJ579" i="48" s="1"/>
  <c r="AJ587" i="48" s="1"/>
  <c r="AJ499" i="48"/>
  <c r="AJ520" i="48" s="1"/>
  <c r="AJ528" i="48" s="1"/>
  <c r="AJ549" i="48" s="1"/>
  <c r="AJ557" i="48" s="1"/>
  <c r="AJ578" i="48" s="1"/>
  <c r="AJ586" i="48" s="1"/>
  <c r="AL461" i="48"/>
  <c r="AP461" i="48" s="1"/>
  <c r="AK461" i="48"/>
  <c r="AM461" i="48" s="1"/>
  <c r="AQ461" i="48" s="1"/>
  <c r="AG475" i="48"/>
  <c r="AG474" i="48"/>
  <c r="AG465" i="48"/>
  <c r="AG473" i="48" s="1"/>
  <c r="AG464" i="48"/>
  <c r="AG463" i="48"/>
  <c r="AG471" i="48" s="1"/>
  <c r="AG518" i="48"/>
  <c r="AG547" i="48" s="1"/>
  <c r="AG576" i="48" s="1"/>
  <c r="AG605" i="48" s="1"/>
  <c r="AG634" i="48" s="1"/>
  <c r="D396" i="48"/>
  <c r="C380" i="48"/>
  <c r="A299" i="48"/>
  <c r="A283" i="48"/>
  <c r="A291" i="48" s="1"/>
  <c r="A302" i="48" s="1"/>
  <c r="A357" i="48" s="1"/>
  <c r="A360" i="48" s="1"/>
  <c r="A363" i="48" s="1"/>
  <c r="A399" i="48" s="1"/>
  <c r="A282" i="48"/>
  <c r="A290" i="48" s="1"/>
  <c r="A301" i="48" s="1"/>
  <c r="A281" i="48"/>
  <c r="A377" i="48" s="1"/>
  <c r="A391" i="48" s="1"/>
  <c r="A280" i="48"/>
  <c r="A376" i="48" s="1"/>
  <c r="A390" i="48" s="1"/>
  <c r="A279" i="48"/>
  <c r="A375" i="48" s="1"/>
  <c r="A389" i="48" s="1"/>
  <c r="A278" i="48"/>
  <c r="A374" i="48" s="1"/>
  <c r="A388" i="48" s="1"/>
  <c r="A277" i="48"/>
  <c r="A373" i="48" s="1"/>
  <c r="A387" i="48" s="1"/>
  <c r="A276" i="48"/>
  <c r="A372" i="48" s="1"/>
  <c r="A386" i="48" s="1"/>
  <c r="A275" i="48"/>
  <c r="A371" i="48" s="1"/>
  <c r="A385" i="48" s="1"/>
  <c r="A274" i="48"/>
  <c r="A370" i="48" s="1"/>
  <c r="A384" i="48" s="1"/>
  <c r="C266" i="48"/>
  <c r="C265" i="48"/>
  <c r="C264" i="48"/>
  <c r="G263" i="48"/>
  <c r="C263" i="48"/>
  <c r="G262" i="48"/>
  <c r="C262" i="48"/>
  <c r="G261" i="48"/>
  <c r="F261" i="48"/>
  <c r="C261" i="48"/>
  <c r="G260" i="48"/>
  <c r="F260" i="48"/>
  <c r="C260" i="48"/>
  <c r="G259" i="48"/>
  <c r="F259" i="48"/>
  <c r="C259" i="48"/>
  <c r="G258" i="48"/>
  <c r="F258" i="48"/>
  <c r="C258" i="48"/>
  <c r="G257" i="48"/>
  <c r="F257" i="48"/>
  <c r="E257" i="48"/>
  <c r="C257" i="48"/>
  <c r="G256" i="48"/>
  <c r="F256" i="48"/>
  <c r="E256" i="48"/>
  <c r="C256" i="48"/>
  <c r="G255" i="48"/>
  <c r="F255" i="48"/>
  <c r="E255" i="48"/>
  <c r="C255" i="48"/>
  <c r="G254" i="48"/>
  <c r="F254" i="48"/>
  <c r="E254" i="48"/>
  <c r="C254" i="48"/>
  <c r="G253" i="48"/>
  <c r="F253" i="48"/>
  <c r="E253" i="48"/>
  <c r="C253" i="48"/>
  <c r="O248" i="48"/>
  <c r="O247" i="48"/>
  <c r="O246" i="48"/>
  <c r="O245" i="48"/>
  <c r="O244" i="48"/>
  <c r="A211" i="48"/>
  <c r="A235" i="48" s="1"/>
  <c r="A210" i="48"/>
  <c r="A234" i="48" s="1"/>
  <c r="H198" i="48"/>
  <c r="A198" i="48"/>
  <c r="A288" i="48" s="1"/>
  <c r="A305" i="48" s="1"/>
  <c r="A162" i="48"/>
  <c r="H139" i="48"/>
  <c r="H133" i="48"/>
  <c r="A133" i="48"/>
  <c r="H124" i="48"/>
  <c r="A100" i="48"/>
  <c r="A92" i="48"/>
  <c r="A91" i="48"/>
  <c r="A90" i="48"/>
  <c r="A89" i="48"/>
  <c r="A88" i="48"/>
  <c r="A87" i="48"/>
  <c r="A86" i="48"/>
  <c r="A85" i="48"/>
  <c r="A77" i="48"/>
  <c r="H69" i="48"/>
  <c r="A69" i="48"/>
  <c r="H54" i="48"/>
  <c r="A54" i="48"/>
  <c r="A53" i="48"/>
  <c r="A65" i="48" s="1"/>
  <c r="A103" i="48" s="1"/>
  <c r="A52" i="48"/>
  <c r="A64" i="48" s="1"/>
  <c r="A102" i="48" s="1"/>
  <c r="A51" i="48"/>
  <c r="A63" i="48" s="1"/>
  <c r="A101" i="48" s="1"/>
  <c r="A50" i="48"/>
  <c r="A49" i="48"/>
  <c r="A60" i="48" s="1"/>
  <c r="A98" i="48" s="1"/>
  <c r="A48" i="48"/>
  <c r="A47" i="48"/>
  <c r="G69" i="48"/>
  <c r="G107" i="48" s="1"/>
  <c r="G133" i="48" s="1"/>
  <c r="G171" i="48" s="1"/>
  <c r="G198" i="48" s="1"/>
  <c r="G288" i="48" s="1"/>
  <c r="F69" i="48"/>
  <c r="F107" i="48" s="1"/>
  <c r="F133" i="48" s="1"/>
  <c r="F171" i="48" s="1"/>
  <c r="F198" i="48" s="1"/>
  <c r="F288" i="48" s="1"/>
  <c r="E69" i="48"/>
  <c r="E107" i="48" s="1"/>
  <c r="E133" i="48" s="1"/>
  <c r="E171" i="48" s="1"/>
  <c r="E198" i="48" s="1"/>
  <c r="E288" i="48" s="1"/>
  <c r="B69" i="48"/>
  <c r="B107" i="48" s="1"/>
  <c r="B133" i="48" s="1"/>
  <c r="B171" i="48" s="1"/>
  <c r="B198" i="48" s="1"/>
  <c r="B288" i="48" s="1"/>
  <c r="H288" i="48" l="1"/>
  <c r="B154" i="48"/>
  <c r="B205" i="48"/>
  <c r="AN461" i="48"/>
  <c r="AR461" i="48" s="1"/>
  <c r="A80" i="48"/>
  <c r="A308" i="48"/>
  <c r="A117" i="48"/>
  <c r="A181" i="48" s="1"/>
  <c r="A192" i="48" s="1"/>
  <c r="A208" i="48" s="1"/>
  <c r="A113" i="48"/>
  <c r="A58" i="48"/>
  <c r="A96" i="48" s="1"/>
  <c r="A111" i="48"/>
  <c r="A122" i="48" s="1"/>
  <c r="A137" i="48" s="1"/>
  <c r="A160" i="48" s="1"/>
  <c r="A73" i="48"/>
  <c r="A78" i="48"/>
  <c r="A75" i="48"/>
  <c r="A115" i="48"/>
  <c r="AG472" i="48"/>
  <c r="H142" i="48"/>
  <c r="H137" i="48"/>
  <c r="H47" i="48"/>
  <c r="B92" i="48"/>
  <c r="H140" i="48"/>
  <c r="B305" i="48"/>
  <c r="D380" i="48"/>
  <c r="C396" i="48"/>
  <c r="E396" i="48"/>
  <c r="A114" i="48"/>
  <c r="A76" i="48"/>
  <c r="A61" i="48"/>
  <c r="A99" i="48" s="1"/>
  <c r="H52" i="48"/>
  <c r="A118" i="48"/>
  <c r="A81" i="48"/>
  <c r="H78" i="48"/>
  <c r="B153" i="48"/>
  <c r="H115" i="48"/>
  <c r="H48" i="48"/>
  <c r="A66" i="48"/>
  <c r="A104" i="48" s="1"/>
  <c r="H73" i="48"/>
  <c r="H112" i="48"/>
  <c r="A112" i="48"/>
  <c r="A74" i="48"/>
  <c r="H50" i="48"/>
  <c r="H79" i="48"/>
  <c r="H111" i="48"/>
  <c r="A116" i="48"/>
  <c r="A79" i="48"/>
  <c r="A59" i="48"/>
  <c r="A97" i="48" s="1"/>
  <c r="H75" i="48"/>
  <c r="H80" i="48"/>
  <c r="H81" i="48"/>
  <c r="B152" i="48"/>
  <c r="H114" i="48"/>
  <c r="H118" i="48"/>
  <c r="H138" i="48"/>
  <c r="H143" i="48"/>
  <c r="H182" i="48"/>
  <c r="H76" i="48"/>
  <c r="H113" i="48"/>
  <c r="H116" i="48"/>
  <c r="H141" i="48"/>
  <c r="H144" i="48"/>
  <c r="B155" i="48"/>
  <c r="AH468" i="48"/>
  <c r="H49" i="48"/>
  <c r="H51" i="48"/>
  <c r="H53" i="48"/>
  <c r="H74" i="48"/>
  <c r="B91" i="48"/>
  <c r="H117" i="48"/>
  <c r="A307" i="48"/>
  <c r="A356" i="48"/>
  <c r="A359" i="48" s="1"/>
  <c r="A362" i="48" s="1"/>
  <c r="A398" i="48" s="1"/>
  <c r="AO461" i="48"/>
  <c r="AO463" i="48"/>
  <c r="AO464" i="48"/>
  <c r="AO465" i="48"/>
  <c r="AO466" i="48"/>
  <c r="AO467" i="48"/>
  <c r="H205" i="48" l="1"/>
  <c r="B218" i="48"/>
  <c r="A354" i="48"/>
  <c r="B294" i="48"/>
  <c r="B299" i="48" s="1"/>
  <c r="E360" i="48"/>
  <c r="F360" i="48"/>
  <c r="A149" i="48"/>
  <c r="A129" i="48"/>
  <c r="A144" i="48" s="1"/>
  <c r="A167" i="48" s="1"/>
  <c r="A221" i="48"/>
  <c r="G360" i="48"/>
  <c r="A232" i="48"/>
  <c r="A175" i="48"/>
  <c r="A186" i="48" s="1"/>
  <c r="A202" i="48" s="1"/>
  <c r="A127" i="48"/>
  <c r="A142" i="48" s="1"/>
  <c r="A179" i="48"/>
  <c r="A190" i="48" s="1"/>
  <c r="A206" i="48" s="1"/>
  <c r="A177" i="48"/>
  <c r="A188" i="48" s="1"/>
  <c r="A204" i="48" s="1"/>
  <c r="A125" i="48"/>
  <c r="A140" i="48" s="1"/>
  <c r="H77" i="48"/>
  <c r="H305" i="48"/>
  <c r="H351" i="48" s="1"/>
  <c r="A126" i="48"/>
  <c r="A141" i="48" s="1"/>
  <c r="A178" i="48"/>
  <c r="A189" i="48" s="1"/>
  <c r="A205" i="48" s="1"/>
  <c r="F294" i="48"/>
  <c r="F299" i="48" s="1"/>
  <c r="F305" i="48"/>
  <c r="A123" i="48"/>
  <c r="A138" i="48" s="1"/>
  <c r="A176" i="48"/>
  <c r="A187" i="48" s="1"/>
  <c r="A203" i="48" s="1"/>
  <c r="B311" i="48"/>
  <c r="A182" i="48"/>
  <c r="A193" i="48" s="1"/>
  <c r="A209" i="48" s="1"/>
  <c r="A130" i="48"/>
  <c r="A145" i="48" s="1"/>
  <c r="G359" i="48"/>
  <c r="F359" i="48"/>
  <c r="A353" i="48"/>
  <c r="E305" i="48"/>
  <c r="E294" i="48"/>
  <c r="E299" i="48" s="1"/>
  <c r="A128" i="48"/>
  <c r="A143" i="48" s="1"/>
  <c r="A180" i="48"/>
  <c r="A191" i="48" s="1"/>
  <c r="A207" i="48" s="1"/>
  <c r="G294" i="48"/>
  <c r="G299" i="48" s="1"/>
  <c r="G305" i="48"/>
  <c r="B340" i="48" l="1"/>
  <c r="B345" i="48" s="1"/>
  <c r="B351" i="48"/>
  <c r="A215" i="48"/>
  <c r="A155" i="48"/>
  <c r="A226" i="48"/>
  <c r="A219" i="48"/>
  <c r="A230" i="48"/>
  <c r="A153" i="48"/>
  <c r="A165" i="48"/>
  <c r="A163" i="48"/>
  <c r="A151" i="48"/>
  <c r="A217" i="48"/>
  <c r="A228" i="48"/>
  <c r="A164" i="48"/>
  <c r="A152" i="48"/>
  <c r="A156" i="48"/>
  <c r="A168" i="48"/>
  <c r="G311" i="48"/>
  <c r="G351" i="48" s="1"/>
  <c r="A231" i="48"/>
  <c r="A220" i="48"/>
  <c r="A222" i="48"/>
  <c r="A233" i="48"/>
  <c r="A161" i="48"/>
  <c r="A150" i="48"/>
  <c r="A227" i="48"/>
  <c r="A216" i="48"/>
  <c r="A154" i="48"/>
  <c r="A166" i="48"/>
  <c r="E311" i="48"/>
  <c r="E351" i="48" s="1"/>
  <c r="F311" i="48"/>
  <c r="F351" i="48" s="1"/>
  <c r="A229" i="48"/>
  <c r="A218" i="48"/>
  <c r="D290" i="48" l="1"/>
  <c r="J170" i="19" l="1"/>
  <c r="J171" i="19"/>
  <c r="J172" i="19"/>
  <c r="J173" i="19"/>
  <c r="J174" i="19"/>
  <c r="J175" i="19"/>
  <c r="J176" i="19"/>
  <c r="J177" i="19"/>
  <c r="J178" i="19"/>
  <c r="J179" i="19"/>
  <c r="J180" i="19"/>
  <c r="J181" i="19"/>
  <c r="I171" i="19"/>
  <c r="I172" i="19"/>
  <c r="I173" i="19"/>
  <c r="I174" i="19"/>
  <c r="I175" i="19"/>
  <c r="I176" i="19"/>
  <c r="I177" i="19"/>
  <c r="I178" i="19"/>
  <c r="I179" i="19"/>
  <c r="I180" i="19"/>
  <c r="I181" i="19"/>
  <c r="I170" i="19"/>
  <c r="C17" i="28" l="1"/>
  <c r="E266" i="48" s="1"/>
  <c r="C16" i="28"/>
  <c r="E265" i="48" s="1"/>
  <c r="C15" i="28"/>
  <c r="E264" i="48" s="1"/>
  <c r="C14" i="28"/>
  <c r="E263" i="48" s="1"/>
  <c r="C13" i="28"/>
  <c r="E262" i="48" s="1"/>
  <c r="C10" i="28"/>
  <c r="E259" i="48" s="1"/>
  <c r="C11" i="28"/>
  <c r="E260" i="48" s="1"/>
  <c r="C12" i="28"/>
  <c r="E261" i="48" s="1"/>
  <c r="C9" i="28"/>
  <c r="E258" i="48" s="1"/>
  <c r="C18" i="28" l="1"/>
  <c r="C23" i="47"/>
  <c r="C24" i="47" s="1"/>
  <c r="C25" i="47" s="1"/>
  <c r="C26" i="47" s="1"/>
  <c r="C27" i="47" s="1"/>
  <c r="C28" i="47" s="1"/>
  <c r="D377" i="48" l="1"/>
  <c r="K26" i="11"/>
  <c r="T430" i="48" s="1"/>
  <c r="C377" i="48"/>
  <c r="B377" i="48"/>
  <c r="E377" i="48" l="1"/>
  <c r="C25" i="18"/>
  <c r="C391" i="48" s="1"/>
  <c r="S20" i="28"/>
  <c r="C336" i="48" s="1"/>
  <c r="R19" i="28"/>
  <c r="S15" i="28"/>
  <c r="C330" i="48" s="1"/>
  <c r="R14" i="28"/>
  <c r="S10" i="28"/>
  <c r="C324" i="48" s="1"/>
  <c r="R9" i="28"/>
  <c r="R11" i="28" l="1"/>
  <c r="H69" i="9" s="1"/>
  <c r="B323" i="48"/>
  <c r="R21" i="28"/>
  <c r="B335" i="48"/>
  <c r="C318" i="48"/>
  <c r="R16" i="28"/>
  <c r="B329" i="48"/>
  <c r="F290" i="48"/>
  <c r="E290" i="48"/>
  <c r="M162" i="40"/>
  <c r="G14" i="17" l="1"/>
  <c r="G291" i="48" s="1"/>
  <c r="G290" i="48"/>
  <c r="B337" i="48"/>
  <c r="D341" i="48"/>
  <c r="D359" i="48" s="1"/>
  <c r="C335" i="48"/>
  <c r="B331" i="48"/>
  <c r="C341" i="48"/>
  <c r="C359" i="48" s="1"/>
  <c r="C329" i="48"/>
  <c r="B325" i="48"/>
  <c r="C323" i="48"/>
  <c r="B341" i="48"/>
  <c r="B317" i="48"/>
  <c r="K34" i="9"/>
  <c r="E296" i="48" s="1"/>
  <c r="E301" i="48" s="1"/>
  <c r="M34" i="9"/>
  <c r="G296" i="48" s="1"/>
  <c r="G301" i="48" s="1"/>
  <c r="K36" i="11"/>
  <c r="T440" i="48" s="1"/>
  <c r="L34" i="9"/>
  <c r="F296" i="48" s="1"/>
  <c r="F301" i="48" s="1"/>
  <c r="K31" i="11"/>
  <c r="T435" i="48" s="1"/>
  <c r="D25" i="18"/>
  <c r="D391" i="48" s="1"/>
  <c r="G121" i="40"/>
  <c r="G122" i="40"/>
  <c r="F302" i="48" l="1"/>
  <c r="F307" i="48"/>
  <c r="F353" i="48" s="1"/>
  <c r="B319" i="48"/>
  <c r="C317" i="48"/>
  <c r="C319" i="48" s="1"/>
  <c r="C342" i="48"/>
  <c r="C360" i="48" s="1"/>
  <c r="C331" i="48"/>
  <c r="C346" i="48" s="1"/>
  <c r="AL583" i="48"/>
  <c r="AK612" i="48"/>
  <c r="B359" i="48"/>
  <c r="E341" i="48"/>
  <c r="G302" i="48"/>
  <c r="G308" i="48" s="1"/>
  <c r="G354" i="48" s="1"/>
  <c r="G307" i="48"/>
  <c r="G353" i="48" s="1"/>
  <c r="B342" i="48"/>
  <c r="C325" i="48"/>
  <c r="B346" i="48" s="1"/>
  <c r="E302" i="48"/>
  <c r="E307" i="48"/>
  <c r="E353" i="48" s="1"/>
  <c r="C337" i="48"/>
  <c r="D346" i="48" s="1"/>
  <c r="D342" i="48"/>
  <c r="D360" i="48" s="1"/>
  <c r="E146" i="40"/>
  <c r="E145" i="40"/>
  <c r="E144" i="40"/>
  <c r="E143" i="40"/>
  <c r="E142" i="40"/>
  <c r="E141" i="40"/>
  <c r="E140" i="40"/>
  <c r="E139" i="40"/>
  <c r="E138" i="40"/>
  <c r="E137" i="40"/>
  <c r="E136" i="40"/>
  <c r="E135" i="40"/>
  <c r="E346" i="48" l="1"/>
  <c r="B360" i="48"/>
  <c r="H360" i="48" s="1"/>
  <c r="E342" i="48"/>
  <c r="B160" i="40"/>
  <c r="C13" i="17"/>
  <c r="C290" i="48" s="1"/>
  <c r="F146" i="38"/>
  <c r="E146" i="38"/>
  <c r="F145" i="38"/>
  <c r="E145" i="38"/>
  <c r="F144" i="38"/>
  <c r="E144" i="38"/>
  <c r="F143" i="38"/>
  <c r="E143" i="38"/>
  <c r="F142" i="38"/>
  <c r="E142" i="38"/>
  <c r="F141" i="38"/>
  <c r="E141" i="38"/>
  <c r="F140" i="38"/>
  <c r="E140" i="38"/>
  <c r="F139" i="38"/>
  <c r="E139" i="38"/>
  <c r="F138" i="38"/>
  <c r="E138" i="38"/>
  <c r="F137" i="38"/>
  <c r="E137" i="38"/>
  <c r="F136" i="38"/>
  <c r="E136" i="38"/>
  <c r="F135" i="38"/>
  <c r="E135" i="38"/>
  <c r="E124" i="20"/>
  <c r="F124" i="20"/>
  <c r="E125" i="20"/>
  <c r="F125" i="20"/>
  <c r="E126" i="20"/>
  <c r="F126" i="20"/>
  <c r="E127" i="20"/>
  <c r="F127" i="20"/>
  <c r="E128" i="20"/>
  <c r="F128" i="20"/>
  <c r="E129" i="20"/>
  <c r="F129" i="20"/>
  <c r="E130" i="20"/>
  <c r="F130" i="20"/>
  <c r="E131" i="20"/>
  <c r="F131" i="20"/>
  <c r="E132" i="20"/>
  <c r="F132" i="20"/>
  <c r="E133" i="20"/>
  <c r="F133" i="20"/>
  <c r="E134" i="20"/>
  <c r="F134" i="20"/>
  <c r="E135" i="20"/>
  <c r="F135" i="20"/>
  <c r="E136" i="20"/>
  <c r="F136" i="20"/>
  <c r="E137" i="20"/>
  <c r="F137" i="20"/>
  <c r="E138" i="20"/>
  <c r="F138" i="20"/>
  <c r="E139" i="20"/>
  <c r="F139" i="20"/>
  <c r="E140" i="20"/>
  <c r="F140" i="20"/>
  <c r="E141" i="20"/>
  <c r="F141" i="20"/>
  <c r="E142" i="20"/>
  <c r="F142" i="20"/>
  <c r="E143" i="20"/>
  <c r="F143" i="20"/>
  <c r="E144" i="20"/>
  <c r="F144" i="20"/>
  <c r="E145" i="20"/>
  <c r="F145" i="20"/>
  <c r="E146" i="20"/>
  <c r="F146" i="20"/>
  <c r="H123" i="20"/>
  <c r="H124" i="20" s="1"/>
  <c r="H125" i="20" s="1"/>
  <c r="H126" i="20" s="1"/>
  <c r="H127" i="20" s="1"/>
  <c r="H128" i="20" s="1"/>
  <c r="H129" i="20" s="1"/>
  <c r="H130" i="20" s="1"/>
  <c r="H131" i="20" s="1"/>
  <c r="H132" i="20" s="1"/>
  <c r="H133" i="20" s="1"/>
  <c r="H134" i="20" s="1"/>
  <c r="H135" i="20" s="1"/>
  <c r="B160" i="20" l="1"/>
  <c r="H16" i="9" s="1"/>
  <c r="K13" i="11" s="1"/>
  <c r="T417" i="48" s="1"/>
  <c r="C12" i="17"/>
  <c r="J16" i="9"/>
  <c r="B12" i="17"/>
  <c r="H136" i="20"/>
  <c r="H123" i="38"/>
  <c r="H124" i="38" s="1"/>
  <c r="H125" i="38" s="1"/>
  <c r="H126" i="38" s="1"/>
  <c r="H127" i="38" s="1"/>
  <c r="H128" i="38" s="1"/>
  <c r="H129" i="38" s="1"/>
  <c r="H130" i="38" s="1"/>
  <c r="H131" i="38" s="1"/>
  <c r="H132" i="38" s="1"/>
  <c r="H133" i="38" s="1"/>
  <c r="H134" i="38" s="1"/>
  <c r="H135" i="38" s="1"/>
  <c r="B13" i="17"/>
  <c r="B290" i="48" s="1"/>
  <c r="H290" i="48" s="1"/>
  <c r="B159" i="38"/>
  <c r="I16" i="9" s="1"/>
  <c r="K17" i="11" s="1"/>
  <c r="T421" i="48" s="1"/>
  <c r="AL579" i="48" l="1"/>
  <c r="AK608" i="48"/>
  <c r="AL578" i="48"/>
  <c r="AK607" i="48"/>
  <c r="J34" i="9"/>
  <c r="D296" i="48" s="1"/>
  <c r="D301" i="48" s="1"/>
  <c r="K21" i="11"/>
  <c r="T425" i="48" s="1"/>
  <c r="T444" i="48" s="1"/>
  <c r="B25" i="18"/>
  <c r="B391" i="48" s="1"/>
  <c r="H34" i="9"/>
  <c r="B296" i="48" s="1"/>
  <c r="B301" i="48" s="1"/>
  <c r="B302" i="48" s="1"/>
  <c r="G16" i="9"/>
  <c r="I34" i="9"/>
  <c r="C296" i="48" s="1"/>
  <c r="C301" i="48" s="1"/>
  <c r="C302" i="48" s="1"/>
  <c r="H136" i="38"/>
  <c r="H137" i="20"/>
  <c r="D302" i="48" l="1"/>
  <c r="D307" i="48"/>
  <c r="D353" i="48" s="1"/>
  <c r="K40" i="11"/>
  <c r="K8" i="11"/>
  <c r="K45" i="11"/>
  <c r="H138" i="20"/>
  <c r="H137" i="38"/>
  <c r="AB29" i="24"/>
  <c r="AB30" i="24"/>
  <c r="AB31" i="24"/>
  <c r="AB32" i="24"/>
  <c r="AB33" i="24"/>
  <c r="AB34" i="24"/>
  <c r="AB35" i="24"/>
  <c r="AB36" i="24"/>
  <c r="AB37" i="24"/>
  <c r="AB38" i="24"/>
  <c r="AB39" i="24"/>
  <c r="AB28" i="24"/>
  <c r="AB9" i="24"/>
  <c r="AB10" i="24"/>
  <c r="AB11" i="24"/>
  <c r="AB12" i="24"/>
  <c r="AB13" i="24"/>
  <c r="AB14" i="24"/>
  <c r="AB15" i="24"/>
  <c r="AB16" i="24"/>
  <c r="AB17" i="24"/>
  <c r="AB18" i="24"/>
  <c r="AB19" i="24"/>
  <c r="AB8" i="24"/>
  <c r="B38" i="48" l="1"/>
  <c r="I182" i="48" s="1"/>
  <c r="T412" i="48"/>
  <c r="K50" i="11"/>
  <c r="C120" i="40"/>
  <c r="C120" i="38"/>
  <c r="C120" i="20"/>
  <c r="C116" i="40"/>
  <c r="C116" i="38"/>
  <c r="C116" i="20"/>
  <c r="C112" i="40"/>
  <c r="C112" i="38"/>
  <c r="C112" i="20"/>
  <c r="C107" i="40"/>
  <c r="C107" i="38"/>
  <c r="C107" i="20"/>
  <c r="C103" i="40"/>
  <c r="C103" i="38"/>
  <c r="C103" i="20"/>
  <c r="C119" i="40"/>
  <c r="C119" i="38"/>
  <c r="C119" i="20"/>
  <c r="C115" i="40"/>
  <c r="C115" i="38"/>
  <c r="C115" i="20"/>
  <c r="C110" i="40"/>
  <c r="C110" i="20"/>
  <c r="C110" i="38"/>
  <c r="C106" i="40"/>
  <c r="C106" i="20"/>
  <c r="C106" i="38"/>
  <c r="C102" i="40"/>
  <c r="C102" i="20"/>
  <c r="C102" i="38"/>
  <c r="C122" i="40"/>
  <c r="C122" i="20"/>
  <c r="C122" i="38"/>
  <c r="C118" i="40"/>
  <c r="C118" i="20"/>
  <c r="C118" i="38"/>
  <c r="C114" i="40"/>
  <c r="C114" i="20"/>
  <c r="C114" i="38"/>
  <c r="C109" i="40"/>
  <c r="C109" i="20"/>
  <c r="C109" i="38"/>
  <c r="C105" i="40"/>
  <c r="C105" i="20"/>
  <c r="C105" i="38"/>
  <c r="C101" i="40"/>
  <c r="C101" i="20"/>
  <c r="C101" i="38"/>
  <c r="C121" i="40"/>
  <c r="C121" i="20"/>
  <c r="C121" i="38"/>
  <c r="C117" i="40"/>
  <c r="C117" i="20"/>
  <c r="C117" i="38"/>
  <c r="C113" i="40"/>
  <c r="C113" i="20"/>
  <c r="C113" i="38"/>
  <c r="C108" i="40"/>
  <c r="C108" i="38"/>
  <c r="C108" i="20"/>
  <c r="C104" i="40"/>
  <c r="C104" i="38"/>
  <c r="C104" i="20"/>
  <c r="C100" i="40"/>
  <c r="C100" i="38"/>
  <c r="C100" i="20"/>
  <c r="H138" i="38"/>
  <c r="H139" i="20"/>
  <c r="E16" i="28"/>
  <c r="G265" i="48" s="1"/>
  <c r="E15" i="28"/>
  <c r="G264" i="48" s="1"/>
  <c r="H140" i="20" l="1"/>
  <c r="H139" i="38"/>
  <c r="D17" i="28"/>
  <c r="F266" i="48" s="1"/>
  <c r="D16" i="28"/>
  <c r="F265" i="48" s="1"/>
  <c r="D15" i="28"/>
  <c r="F264" i="48" s="1"/>
  <c r="D14" i="28"/>
  <c r="F263" i="48" s="1"/>
  <c r="D13" i="28"/>
  <c r="F262" i="48" s="1"/>
  <c r="E17" i="28" l="1"/>
  <c r="G266" i="48" s="1"/>
  <c r="D18" i="28"/>
  <c r="H140" i="38"/>
  <c r="H141" i="20"/>
  <c r="E18" i="28" l="1"/>
  <c r="H142" i="20"/>
  <c r="H141" i="38"/>
  <c r="H142" i="38" l="1"/>
  <c r="H143" i="20"/>
  <c r="H112" i="19"/>
  <c r="Q112" i="19" s="1"/>
  <c r="H113" i="19"/>
  <c r="Q113" i="19" s="1"/>
  <c r="H114" i="19"/>
  <c r="Q114" i="19" s="1"/>
  <c r="H115" i="19"/>
  <c r="Q115" i="19" s="1"/>
  <c r="H116" i="19"/>
  <c r="Q116" i="19" s="1"/>
  <c r="H117" i="19"/>
  <c r="Q117" i="19" s="1"/>
  <c r="H118" i="19"/>
  <c r="Q118" i="19" s="1"/>
  <c r="H119" i="19"/>
  <c r="Q119" i="19" s="1"/>
  <c r="H120" i="19"/>
  <c r="Q120" i="19" s="1"/>
  <c r="H121" i="19"/>
  <c r="Q121" i="19" s="1"/>
  <c r="H122" i="19"/>
  <c r="Q122" i="19" s="1"/>
  <c r="H111" i="19"/>
  <c r="Q111" i="19" s="1"/>
  <c r="Z21" i="24"/>
  <c r="D121" i="40" l="1"/>
  <c r="D121" i="38"/>
  <c r="D121" i="20"/>
  <c r="D117" i="40"/>
  <c r="D117" i="38"/>
  <c r="D117" i="20"/>
  <c r="D113" i="40"/>
  <c r="D113" i="38"/>
  <c r="D113" i="20"/>
  <c r="C111" i="40"/>
  <c r="C111" i="38"/>
  <c r="C111" i="20"/>
  <c r="D120" i="40"/>
  <c r="D120" i="38"/>
  <c r="D120" i="20"/>
  <c r="D116" i="40"/>
  <c r="D116" i="38"/>
  <c r="D116" i="20"/>
  <c r="D112" i="40"/>
  <c r="D112" i="38"/>
  <c r="D112" i="20"/>
  <c r="D111" i="40"/>
  <c r="D111" i="38"/>
  <c r="D111" i="20"/>
  <c r="D119" i="40"/>
  <c r="D119" i="20"/>
  <c r="D119" i="38"/>
  <c r="D115" i="40"/>
  <c r="D115" i="38"/>
  <c r="D115" i="20"/>
  <c r="D122" i="40"/>
  <c r="D122" i="20"/>
  <c r="D122" i="38"/>
  <c r="D118" i="40"/>
  <c r="D118" i="38"/>
  <c r="D118" i="20"/>
  <c r="D114" i="40"/>
  <c r="D114" i="20"/>
  <c r="D114" i="38"/>
  <c r="H144" i="20"/>
  <c r="H143" i="38"/>
  <c r="AI21" i="24"/>
  <c r="H144" i="38" l="1"/>
  <c r="H145" i="20"/>
  <c r="AA21" i="24"/>
  <c r="AA41" i="24"/>
  <c r="H146" i="20" l="1"/>
  <c r="H145" i="38"/>
  <c r="B160" i="19"/>
  <c r="D376" i="48"/>
  <c r="C376" i="48"/>
  <c r="B376" i="48"/>
  <c r="D375" i="48"/>
  <c r="C375" i="48"/>
  <c r="B375" i="48"/>
  <c r="D374" i="48"/>
  <c r="C374" i="48"/>
  <c r="B374" i="48"/>
  <c r="D373" i="48"/>
  <c r="C373" i="48"/>
  <c r="B373" i="48"/>
  <c r="D372" i="48"/>
  <c r="C372" i="48"/>
  <c r="B372" i="48"/>
  <c r="D371" i="48"/>
  <c r="C371" i="48"/>
  <c r="B371" i="48"/>
  <c r="D370" i="48"/>
  <c r="C370" i="48"/>
  <c r="B370" i="48"/>
  <c r="D369" i="48"/>
  <c r="C369" i="48"/>
  <c r="B369" i="48"/>
  <c r="D368" i="48"/>
  <c r="C368" i="48"/>
  <c r="B368" i="48"/>
  <c r="E376" i="48" l="1"/>
  <c r="E370" i="48"/>
  <c r="E374" i="48"/>
  <c r="E369" i="48"/>
  <c r="E373" i="48"/>
  <c r="E368" i="48"/>
  <c r="E372" i="48"/>
  <c r="E371" i="48"/>
  <c r="E375" i="48"/>
  <c r="B16" i="9"/>
  <c r="K4" i="11" s="1"/>
  <c r="T405" i="48" s="1"/>
  <c r="B281" i="48"/>
  <c r="B26" i="17"/>
  <c r="C19" i="18"/>
  <c r="C385" i="48" s="1"/>
  <c r="D20" i="18"/>
  <c r="D386" i="48" s="1"/>
  <c r="C23" i="18"/>
  <c r="C389" i="48" s="1"/>
  <c r="D24" i="18"/>
  <c r="D390" i="48" s="1"/>
  <c r="C18" i="18"/>
  <c r="C384" i="48" s="1"/>
  <c r="D19" i="18"/>
  <c r="D385" i="48" s="1"/>
  <c r="C22" i="18"/>
  <c r="C388" i="48" s="1"/>
  <c r="D23" i="18"/>
  <c r="D389" i="48" s="1"/>
  <c r="C17" i="18"/>
  <c r="C383" i="48" s="1"/>
  <c r="D18" i="18"/>
  <c r="D384" i="48" s="1"/>
  <c r="C21" i="18"/>
  <c r="C387" i="48" s="1"/>
  <c r="D22" i="18"/>
  <c r="D388" i="48" s="1"/>
  <c r="D17" i="18"/>
  <c r="D383" i="48" s="1"/>
  <c r="C20" i="18"/>
  <c r="C386" i="48" s="1"/>
  <c r="D21" i="18"/>
  <c r="D387" i="48" s="1"/>
  <c r="C24" i="18"/>
  <c r="C390" i="48" s="1"/>
  <c r="H146" i="38"/>
  <c r="F16" i="9"/>
  <c r="A18" i="9"/>
  <c r="A36" i="9" s="1"/>
  <c r="F14" i="17"/>
  <c r="F291" i="48" s="1"/>
  <c r="F308" i="48" s="1"/>
  <c r="F354" i="48" s="1"/>
  <c r="C14" i="17"/>
  <c r="C291" i="48" s="1"/>
  <c r="B14" i="17"/>
  <c r="B291" i="48" s="1"/>
  <c r="D111" i="19" l="1"/>
  <c r="D112" i="19" s="1"/>
  <c r="D111" i="49"/>
  <c r="D112" i="49" s="1"/>
  <c r="D113" i="49" s="1"/>
  <c r="D114" i="49" s="1"/>
  <c r="D115" i="49" s="1"/>
  <c r="D116" i="49" s="1"/>
  <c r="D117" i="49" s="1"/>
  <c r="D118" i="49" s="1"/>
  <c r="D119" i="49" s="1"/>
  <c r="D120" i="49" s="1"/>
  <c r="D121" i="49" s="1"/>
  <c r="D122" i="49" s="1"/>
  <c r="M30" i="11"/>
  <c r="M16" i="11"/>
  <c r="M12" i="11"/>
  <c r="H11" i="17"/>
  <c r="D113" i="19" l="1"/>
  <c r="V434" i="48"/>
  <c r="AI640" i="48" s="1"/>
  <c r="F211" i="48"/>
  <c r="C211" i="48"/>
  <c r="V420" i="48"/>
  <c r="AI637" i="48" s="1"/>
  <c r="B211" i="48"/>
  <c r="V416" i="48"/>
  <c r="AI636" i="48" s="1"/>
  <c r="B8" i="28"/>
  <c r="B7" i="28"/>
  <c r="B6" i="28"/>
  <c r="B5" i="28"/>
  <c r="B4" i="28"/>
  <c r="D253" i="48" s="1"/>
  <c r="H253" i="48" s="1"/>
  <c r="B9" i="28"/>
  <c r="B10" i="28"/>
  <c r="B11" i="28"/>
  <c r="B12" i="28"/>
  <c r="B13" i="28"/>
  <c r="B14" i="28"/>
  <c r="B15" i="28"/>
  <c r="B16" i="28"/>
  <c r="B17" i="28"/>
  <c r="D114" i="19" l="1"/>
  <c r="F5" i="28"/>
  <c r="D254" i="48"/>
  <c r="H254" i="48" s="1"/>
  <c r="F14" i="28"/>
  <c r="D263" i="48"/>
  <c r="H263" i="48" s="1"/>
  <c r="F10" i="28"/>
  <c r="D259" i="48"/>
  <c r="H259" i="48" s="1"/>
  <c r="F17" i="28"/>
  <c r="D266" i="48"/>
  <c r="H266" i="48" s="1"/>
  <c r="F13" i="28"/>
  <c r="D262" i="48"/>
  <c r="H262" i="48" s="1"/>
  <c r="F9" i="28"/>
  <c r="D258" i="48"/>
  <c r="H258" i="48" s="1"/>
  <c r="F7" i="28"/>
  <c r="D256" i="48"/>
  <c r="H256" i="48" s="1"/>
  <c r="F15" i="28"/>
  <c r="D264" i="48"/>
  <c r="H264" i="48" s="1"/>
  <c r="F11" i="28"/>
  <c r="D260" i="48"/>
  <c r="H260" i="48" s="1"/>
  <c r="F6" i="28"/>
  <c r="D255" i="48"/>
  <c r="H255" i="48" s="1"/>
  <c r="F16" i="28"/>
  <c r="D265" i="48"/>
  <c r="H265" i="48" s="1"/>
  <c r="F12" i="28"/>
  <c r="D261" i="48"/>
  <c r="H261" i="48" s="1"/>
  <c r="F8" i="28"/>
  <c r="D257" i="48"/>
  <c r="H257" i="48" s="1"/>
  <c r="B18" i="28"/>
  <c r="F18" i="28" s="1"/>
  <c r="F4" i="28"/>
  <c r="B159" i="20"/>
  <c r="H15" i="9" s="1"/>
  <c r="B159" i="40"/>
  <c r="J15" i="9" s="1"/>
  <c r="B24" i="18" s="1"/>
  <c r="B390" i="48" s="1"/>
  <c r="B158" i="38"/>
  <c r="I15" i="9" s="1"/>
  <c r="B159" i="19"/>
  <c r="D115" i="19" l="1"/>
  <c r="B15" i="9"/>
  <c r="B280" i="48"/>
  <c r="S5" i="28"/>
  <c r="C23" i="46"/>
  <c r="C24" i="46" s="1"/>
  <c r="C25" i="46" s="1"/>
  <c r="C26" i="46" s="1"/>
  <c r="C27" i="46" s="1"/>
  <c r="C28" i="46" s="1"/>
  <c r="J27" i="11"/>
  <c r="S431" i="48" s="1"/>
  <c r="I27" i="11"/>
  <c r="R431" i="48" s="1"/>
  <c r="G27" i="11"/>
  <c r="P431" i="48" s="1"/>
  <c r="F27" i="11"/>
  <c r="J32" i="11"/>
  <c r="S436" i="48" s="1"/>
  <c r="H32" i="11"/>
  <c r="Q436" i="48" s="1"/>
  <c r="F32" i="11"/>
  <c r="J22" i="11"/>
  <c r="S426" i="48" s="1"/>
  <c r="H22" i="11"/>
  <c r="Q426" i="48" s="1"/>
  <c r="G22" i="11"/>
  <c r="P426" i="48" s="1"/>
  <c r="F22" i="11"/>
  <c r="S19" i="28"/>
  <c r="S21" i="28" s="1"/>
  <c r="S14" i="28"/>
  <c r="S16" i="28" s="1"/>
  <c r="S9" i="28"/>
  <c r="S11" i="28" s="1"/>
  <c r="H70" i="9" s="1"/>
  <c r="D116" i="19" l="1"/>
  <c r="AK580" i="48"/>
  <c r="AL551" i="48"/>
  <c r="AL523" i="48"/>
  <c r="AK552" i="48"/>
  <c r="AK494" i="48"/>
  <c r="AL465" i="48" s="1"/>
  <c r="AK493" i="48"/>
  <c r="AL464" i="48" s="1"/>
  <c r="AL495" i="48"/>
  <c r="AK524" i="48"/>
  <c r="AL493" i="48"/>
  <c r="AK522" i="48"/>
  <c r="AK582" i="48"/>
  <c r="AL553" i="48"/>
  <c r="S445" i="48"/>
  <c r="AK581" i="48"/>
  <c r="AL552" i="48"/>
  <c r="J41" i="11"/>
  <c r="S4" i="28"/>
  <c r="F41" i="11"/>
  <c r="I22" i="11"/>
  <c r="R426" i="48" s="1"/>
  <c r="R4" i="28"/>
  <c r="H27" i="11"/>
  <c r="E5" i="18"/>
  <c r="I32" i="11"/>
  <c r="G32" i="11"/>
  <c r="E8" i="18"/>
  <c r="E3" i="18"/>
  <c r="E4" i="18"/>
  <c r="E2" i="18"/>
  <c r="E10" i="18"/>
  <c r="E9" i="18"/>
  <c r="E6" i="18"/>
  <c r="E7" i="18"/>
  <c r="D117" i="19" l="1"/>
  <c r="AK472" i="48"/>
  <c r="AK473" i="48"/>
  <c r="AK501" i="48"/>
  <c r="G41" i="11"/>
  <c r="P436" i="48"/>
  <c r="H41" i="11"/>
  <c r="Q431" i="48"/>
  <c r="I41" i="11"/>
  <c r="R436" i="48"/>
  <c r="AL522" i="48"/>
  <c r="AK551" i="48"/>
  <c r="AK560" i="48"/>
  <c r="J46" i="11"/>
  <c r="J51" i="11" s="1"/>
  <c r="I46" i="11"/>
  <c r="H46" i="11"/>
  <c r="G46" i="11"/>
  <c r="G51" i="11" s="1"/>
  <c r="F46" i="11"/>
  <c r="F51" i="11" s="1"/>
  <c r="G70" i="9"/>
  <c r="S6" i="28"/>
  <c r="G69" i="9"/>
  <c r="R6" i="28"/>
  <c r="A33" i="9"/>
  <c r="A34" i="9"/>
  <c r="A35" i="9"/>
  <c r="J35" i="11"/>
  <c r="S439" i="48" s="1"/>
  <c r="I35" i="11"/>
  <c r="R439" i="48" s="1"/>
  <c r="H35" i="11"/>
  <c r="Q439" i="48" s="1"/>
  <c r="G35" i="11"/>
  <c r="P439" i="48" s="1"/>
  <c r="F35" i="11"/>
  <c r="J30" i="11"/>
  <c r="S434" i="48" s="1"/>
  <c r="I30" i="11"/>
  <c r="R434" i="48" s="1"/>
  <c r="H30" i="11"/>
  <c r="Q434" i="48" s="1"/>
  <c r="G30" i="11"/>
  <c r="P434" i="48" s="1"/>
  <c r="F30" i="11"/>
  <c r="J25" i="11"/>
  <c r="S429" i="48" s="1"/>
  <c r="I25" i="11"/>
  <c r="R429" i="48" s="1"/>
  <c r="H25" i="11"/>
  <c r="Q429" i="48" s="1"/>
  <c r="G25" i="11"/>
  <c r="P429" i="48" s="1"/>
  <c r="F25" i="11"/>
  <c r="J20" i="11"/>
  <c r="S424" i="48" s="1"/>
  <c r="I20" i="11"/>
  <c r="R424" i="48" s="1"/>
  <c r="H20" i="11"/>
  <c r="Q424" i="48" s="1"/>
  <c r="G20" i="11"/>
  <c r="P424" i="48" s="1"/>
  <c r="F20" i="11"/>
  <c r="J16" i="11"/>
  <c r="S420" i="48" s="1"/>
  <c r="I16" i="11"/>
  <c r="R420" i="48" s="1"/>
  <c r="H16" i="11"/>
  <c r="Q420" i="48" s="1"/>
  <c r="G16" i="11"/>
  <c r="P420" i="48" s="1"/>
  <c r="F16" i="11"/>
  <c r="J12" i="11"/>
  <c r="S416" i="48" s="1"/>
  <c r="I12" i="11"/>
  <c r="R416" i="48" s="1"/>
  <c r="H12" i="11"/>
  <c r="Q416" i="48" s="1"/>
  <c r="G12" i="11"/>
  <c r="P416" i="48" s="1"/>
  <c r="F12" i="11"/>
  <c r="B20" i="17"/>
  <c r="A13" i="9"/>
  <c r="A31" i="9" s="1"/>
  <c r="A14" i="9"/>
  <c r="A32" i="9" s="1"/>
  <c r="D118" i="19" l="1"/>
  <c r="H51" i="11"/>
  <c r="AH550" i="48"/>
  <c r="AI521" i="48"/>
  <c r="AH494" i="48"/>
  <c r="AH582" i="48"/>
  <c r="AO582" i="48" s="1"/>
  <c r="AI553" i="48"/>
  <c r="AH551" i="48"/>
  <c r="AO551" i="48" s="1"/>
  <c r="AI522" i="48"/>
  <c r="AP522" i="48" s="1"/>
  <c r="AH495" i="48"/>
  <c r="AI466" i="48" s="1"/>
  <c r="AH474" i="48" s="1"/>
  <c r="AH583" i="48"/>
  <c r="S443" i="48"/>
  <c r="AI554" i="48"/>
  <c r="AK523" i="48"/>
  <c r="AL494" i="48"/>
  <c r="Q445" i="48"/>
  <c r="AK495" i="48"/>
  <c r="AL466" i="48" s="1"/>
  <c r="P445" i="48"/>
  <c r="AI491" i="48"/>
  <c r="AH520" i="48"/>
  <c r="AH492" i="48"/>
  <c r="AI463" i="48" s="1"/>
  <c r="AH471" i="48" s="1"/>
  <c r="AH580" i="48"/>
  <c r="AO580" i="48" s="1"/>
  <c r="AI551" i="48"/>
  <c r="AH552" i="48"/>
  <c r="AO552" i="48" s="1"/>
  <c r="AI523" i="48"/>
  <c r="AI495" i="48"/>
  <c r="AH524" i="48"/>
  <c r="AO524" i="48" s="1"/>
  <c r="AH496" i="48"/>
  <c r="AI467" i="48" s="1"/>
  <c r="AH475" i="48" s="1"/>
  <c r="P443" i="48"/>
  <c r="AK530" i="48"/>
  <c r="AH578" i="48"/>
  <c r="AI549" i="48"/>
  <c r="AI493" i="48"/>
  <c r="AH522" i="48"/>
  <c r="AO522" i="48" s="1"/>
  <c r="AH554" i="48"/>
  <c r="AI525" i="48"/>
  <c r="R443" i="48"/>
  <c r="AH491" i="48"/>
  <c r="AH579" i="48"/>
  <c r="AI550" i="48"/>
  <c r="AI494" i="48"/>
  <c r="AH523" i="48"/>
  <c r="AK559" i="48"/>
  <c r="AH549" i="48"/>
  <c r="AI520" i="48"/>
  <c r="AH521" i="48"/>
  <c r="AI492" i="48"/>
  <c r="AH493" i="48"/>
  <c r="AH581" i="48"/>
  <c r="AO581" i="48" s="1"/>
  <c r="AI552" i="48"/>
  <c r="AH553" i="48"/>
  <c r="AI524" i="48"/>
  <c r="Q443" i="48"/>
  <c r="AH525" i="48"/>
  <c r="AI496" i="48"/>
  <c r="I51" i="11"/>
  <c r="AL524" i="48"/>
  <c r="R445" i="48"/>
  <c r="AK553" i="48"/>
  <c r="H39" i="11"/>
  <c r="F35" i="48" s="1"/>
  <c r="I39" i="11"/>
  <c r="F36" i="48" s="1"/>
  <c r="J39" i="11"/>
  <c r="F37" i="48" s="1"/>
  <c r="M27" i="9"/>
  <c r="E18" i="17"/>
  <c r="B19" i="17"/>
  <c r="F19" i="17"/>
  <c r="F25" i="17"/>
  <c r="M25" i="9"/>
  <c r="F20" i="17"/>
  <c r="B18" i="17"/>
  <c r="C20" i="17"/>
  <c r="D19" i="17"/>
  <c r="E20" i="17"/>
  <c r="F18" i="17"/>
  <c r="G20" i="17"/>
  <c r="C18" i="17"/>
  <c r="D20" i="17"/>
  <c r="G18" i="17"/>
  <c r="E22" i="17"/>
  <c r="M26" i="9"/>
  <c r="C19" i="17"/>
  <c r="E19" i="17"/>
  <c r="G19" i="17"/>
  <c r="B24" i="17"/>
  <c r="F21" i="17"/>
  <c r="K25" i="9"/>
  <c r="C16" i="18"/>
  <c r="L32" i="9"/>
  <c r="I31" i="11"/>
  <c r="R435" i="48" s="1"/>
  <c r="G24" i="17"/>
  <c r="K26" i="9"/>
  <c r="K30" i="9"/>
  <c r="G26" i="11"/>
  <c r="P430" i="48" s="1"/>
  <c r="L25" i="9"/>
  <c r="D16" i="18"/>
  <c r="L29" i="9"/>
  <c r="F31" i="11"/>
  <c r="M28" i="9"/>
  <c r="M32" i="9"/>
  <c r="I36" i="11"/>
  <c r="R440" i="48" s="1"/>
  <c r="F39" i="11"/>
  <c r="F33" i="48" s="1"/>
  <c r="B23" i="17"/>
  <c r="E25" i="17"/>
  <c r="F24" i="17"/>
  <c r="G23" i="17"/>
  <c r="C23" i="17"/>
  <c r="D22" i="17"/>
  <c r="E21" i="17"/>
  <c r="D18" i="17"/>
  <c r="M31" i="9"/>
  <c r="H36" i="11"/>
  <c r="Q440" i="48" s="1"/>
  <c r="K27" i="9"/>
  <c r="K31" i="9"/>
  <c r="H26" i="11"/>
  <c r="Q430" i="48" s="1"/>
  <c r="L26" i="9"/>
  <c r="L30" i="9"/>
  <c r="L42" i="9" s="1"/>
  <c r="G31" i="11"/>
  <c r="P435" i="48" s="1"/>
  <c r="M29" i="9"/>
  <c r="F36" i="11"/>
  <c r="G39" i="11"/>
  <c r="F34" i="48" s="1"/>
  <c r="B22" i="17"/>
  <c r="D25" i="17"/>
  <c r="E24" i="17"/>
  <c r="F23" i="17"/>
  <c r="G22" i="17"/>
  <c r="C22" i="17"/>
  <c r="D21" i="17"/>
  <c r="K29" i="9"/>
  <c r="F26" i="11"/>
  <c r="L28" i="9"/>
  <c r="C24" i="17"/>
  <c r="D23" i="17"/>
  <c r="K28" i="9"/>
  <c r="K32" i="9"/>
  <c r="I26" i="11"/>
  <c r="R430" i="48" s="1"/>
  <c r="L27" i="9"/>
  <c r="L31" i="9"/>
  <c r="H31" i="11"/>
  <c r="Q435" i="48" s="1"/>
  <c r="M30" i="9"/>
  <c r="G36" i="11"/>
  <c r="P440" i="48" s="1"/>
  <c r="B25" i="17"/>
  <c r="B21" i="17"/>
  <c r="G25" i="17"/>
  <c r="C25" i="17"/>
  <c r="D24" i="17"/>
  <c r="E23" i="17"/>
  <c r="F22" i="17"/>
  <c r="G21" i="17"/>
  <c r="C21" i="17"/>
  <c r="H5" i="17"/>
  <c r="H9" i="17"/>
  <c r="H44" i="11" s="1"/>
  <c r="H6" i="17"/>
  <c r="H10" i="17"/>
  <c r="I44" i="11" s="1"/>
  <c r="H3" i="17"/>
  <c r="H7" i="17"/>
  <c r="F44" i="11" s="1"/>
  <c r="J44" i="11"/>
  <c r="H4" i="17"/>
  <c r="H8" i="17"/>
  <c r="G44" i="11" s="1"/>
  <c r="D119" i="19" l="1"/>
  <c r="AH504" i="48"/>
  <c r="AH497" i="48"/>
  <c r="AI462" i="48"/>
  <c r="AO493" i="48"/>
  <c r="AI464" i="48"/>
  <c r="AK474" i="48"/>
  <c r="AP466" i="48"/>
  <c r="AO474" i="48" s="1"/>
  <c r="AO494" i="48"/>
  <c r="AI465" i="48"/>
  <c r="AH502" i="48"/>
  <c r="AH532" i="48"/>
  <c r="AH500" i="48"/>
  <c r="AH529" i="48"/>
  <c r="AH558" i="48"/>
  <c r="AK496" i="48"/>
  <c r="AL525" i="48"/>
  <c r="AK554" i="48"/>
  <c r="AO554" i="48" s="1"/>
  <c r="AH533" i="48"/>
  <c r="AO530" i="48"/>
  <c r="AH499" i="48"/>
  <c r="AI497" i="48"/>
  <c r="AH530" i="48"/>
  <c r="AH561" i="48"/>
  <c r="AP553" i="48"/>
  <c r="AL496" i="48"/>
  <c r="AK525" i="48"/>
  <c r="AO525" i="48" s="1"/>
  <c r="D27" i="18"/>
  <c r="D392" i="48" s="1"/>
  <c r="D393" i="48" s="1"/>
  <c r="D382" i="48"/>
  <c r="C27" i="18"/>
  <c r="C392" i="48" s="1"/>
  <c r="C393" i="48" s="1"/>
  <c r="C382" i="48"/>
  <c r="AO553" i="48"/>
  <c r="AK561" i="48"/>
  <c r="AH501" i="48"/>
  <c r="AP493" i="48"/>
  <c r="AH559" i="48"/>
  <c r="AP551" i="48"/>
  <c r="AO559" i="48" s="1"/>
  <c r="AK502" i="48"/>
  <c r="AP494" i="48"/>
  <c r="AH560" i="48"/>
  <c r="AP552" i="48"/>
  <c r="AO560" i="48" s="1"/>
  <c r="AH528" i="48"/>
  <c r="AI526" i="48"/>
  <c r="AH557" i="48"/>
  <c r="AI555" i="48"/>
  <c r="AH503" i="48"/>
  <c r="AP495" i="48"/>
  <c r="AO523" i="48"/>
  <c r="AK531" i="48"/>
  <c r="AK532" i="48"/>
  <c r="AP524" i="48"/>
  <c r="AO532" i="48" s="1"/>
  <c r="AH555" i="48"/>
  <c r="AH584" i="48"/>
  <c r="AH531" i="48"/>
  <c r="AP523" i="48"/>
  <c r="AH526" i="48"/>
  <c r="AO495" i="48"/>
  <c r="AK503" i="48"/>
  <c r="AH562" i="48"/>
  <c r="G36" i="48"/>
  <c r="G37" i="48"/>
  <c r="G34" i="48"/>
  <c r="H209" i="48"/>
  <c r="G35" i="48"/>
  <c r="H49" i="11"/>
  <c r="J49" i="11"/>
  <c r="I49" i="11"/>
  <c r="K39" i="9"/>
  <c r="K43" i="9"/>
  <c r="C30" i="17"/>
  <c r="E30" i="17"/>
  <c r="D30" i="17"/>
  <c r="G30" i="17"/>
  <c r="F30" i="17"/>
  <c r="B30" i="17"/>
  <c r="L39" i="9"/>
  <c r="M40" i="9"/>
  <c r="M42" i="9"/>
  <c r="K44" i="9"/>
  <c r="M38" i="9"/>
  <c r="K41" i="9"/>
  <c r="K38" i="9"/>
  <c r="M39" i="9"/>
  <c r="M41" i="9"/>
  <c r="L43" i="9"/>
  <c r="L40" i="9"/>
  <c r="M43" i="9"/>
  <c r="L41" i="9"/>
  <c r="K40" i="9"/>
  <c r="L38" i="9"/>
  <c r="F49" i="11"/>
  <c r="K42" i="9"/>
  <c r="G49" i="11"/>
  <c r="M44" i="9"/>
  <c r="L44" i="9"/>
  <c r="L2" i="38"/>
  <c r="L3" i="38"/>
  <c r="L4" i="38"/>
  <c r="L5" i="38"/>
  <c r="L6" i="38"/>
  <c r="L7" i="38"/>
  <c r="L8" i="38"/>
  <c r="L9" i="38"/>
  <c r="L10" i="38"/>
  <c r="L11" i="38"/>
  <c r="L12" i="38"/>
  <c r="L13" i="38"/>
  <c r="L14" i="38"/>
  <c r="L15" i="38"/>
  <c r="L16" i="38"/>
  <c r="L17" i="38"/>
  <c r="L18" i="38"/>
  <c r="L19" i="38"/>
  <c r="L20" i="38"/>
  <c r="L21" i="38"/>
  <c r="L22" i="38"/>
  <c r="L23" i="38"/>
  <c r="L24" i="38"/>
  <c r="L25" i="38"/>
  <c r="L26" i="38"/>
  <c r="L27" i="38"/>
  <c r="L28" i="38"/>
  <c r="L29" i="38"/>
  <c r="L30" i="38"/>
  <c r="L31" i="38"/>
  <c r="L32" i="38"/>
  <c r="L33" i="38"/>
  <c r="L34" i="38"/>
  <c r="L35" i="38"/>
  <c r="L36" i="38"/>
  <c r="L37" i="38"/>
  <c r="L38" i="38"/>
  <c r="L39" i="38"/>
  <c r="L40" i="38"/>
  <c r="L41" i="38"/>
  <c r="L42" i="38"/>
  <c r="L43" i="38"/>
  <c r="L44" i="38"/>
  <c r="L45" i="38"/>
  <c r="L46" i="38"/>
  <c r="L47" i="38"/>
  <c r="L48" i="38"/>
  <c r="L49" i="38"/>
  <c r="L50" i="38"/>
  <c r="L51" i="38"/>
  <c r="L52" i="38"/>
  <c r="L53" i="38"/>
  <c r="L54" i="38"/>
  <c r="L55" i="38"/>
  <c r="L56" i="38"/>
  <c r="L57" i="38"/>
  <c r="L58" i="38"/>
  <c r="L59" i="38"/>
  <c r="L60" i="38"/>
  <c r="L61" i="38"/>
  <c r="L62" i="38"/>
  <c r="L63" i="38"/>
  <c r="L64" i="38"/>
  <c r="L65" i="38"/>
  <c r="L66" i="38"/>
  <c r="L67" i="38"/>
  <c r="L68" i="38"/>
  <c r="L69" i="38"/>
  <c r="L70" i="38"/>
  <c r="L71" i="38"/>
  <c r="L72" i="38"/>
  <c r="L73" i="38"/>
  <c r="L74" i="38"/>
  <c r="L75" i="38"/>
  <c r="L76" i="38"/>
  <c r="L77" i="38"/>
  <c r="L78" i="38"/>
  <c r="L79" i="38"/>
  <c r="L80" i="38"/>
  <c r="L81" i="38"/>
  <c r="L82" i="38"/>
  <c r="L83" i="38"/>
  <c r="L84" i="38"/>
  <c r="L85" i="38"/>
  <c r="L86" i="38"/>
  <c r="L87" i="38"/>
  <c r="L88" i="38"/>
  <c r="L89" i="38"/>
  <c r="L90" i="38"/>
  <c r="L91" i="38"/>
  <c r="L92" i="38"/>
  <c r="L93" i="38"/>
  <c r="L94" i="38"/>
  <c r="L95" i="38"/>
  <c r="L96" i="38"/>
  <c r="L97" i="38"/>
  <c r="L98" i="38"/>
  <c r="L99" i="38"/>
  <c r="L100" i="38"/>
  <c r="L101" i="38"/>
  <c r="L102" i="38"/>
  <c r="L103" i="38"/>
  <c r="L104" i="38"/>
  <c r="L105" i="38"/>
  <c r="L106" i="38"/>
  <c r="L107" i="38"/>
  <c r="L108" i="38"/>
  <c r="C8" i="33"/>
  <c r="C9" i="33"/>
  <c r="C10" i="33"/>
  <c r="C11" i="33"/>
  <c r="C12" i="33"/>
  <c r="C7" i="33"/>
  <c r="B8" i="33"/>
  <c r="B9" i="33"/>
  <c r="B10" i="33"/>
  <c r="B11" i="33"/>
  <c r="B12" i="33"/>
  <c r="B7" i="33"/>
  <c r="A8" i="33"/>
  <c r="A9" i="33"/>
  <c r="A10" i="33"/>
  <c r="A11" i="33"/>
  <c r="A12" i="33"/>
  <c r="A7" i="33"/>
  <c r="B5" i="33"/>
  <c r="B4" i="33"/>
  <c r="D120" i="19" l="1"/>
  <c r="AO501" i="48"/>
  <c r="AH472" i="48"/>
  <c r="AP464" i="48"/>
  <c r="AO472" i="48" s="1"/>
  <c r="AO502" i="48"/>
  <c r="AH470" i="48"/>
  <c r="AI468" i="48"/>
  <c r="AO496" i="48"/>
  <c r="AL467" i="48"/>
  <c r="AH473" i="48"/>
  <c r="AP465" i="48"/>
  <c r="AO473" i="48" s="1"/>
  <c r="AO561" i="48"/>
  <c r="AO531" i="48"/>
  <c r="AP496" i="48"/>
  <c r="AK504" i="48"/>
  <c r="AP525" i="48"/>
  <c r="AO533" i="48" s="1"/>
  <c r="AK533" i="48"/>
  <c r="AO503" i="48"/>
  <c r="A1" i="28"/>
  <c r="N15" i="28"/>
  <c r="E27" i="11"/>
  <c r="E32" i="11"/>
  <c r="F20" i="33"/>
  <c r="G20" i="33"/>
  <c r="F21" i="33"/>
  <c r="G21" i="33"/>
  <c r="F22" i="33"/>
  <c r="G22" i="33"/>
  <c r="F23" i="33"/>
  <c r="G23" i="33"/>
  <c r="F24" i="33"/>
  <c r="G24" i="33"/>
  <c r="F25" i="33"/>
  <c r="G25" i="33"/>
  <c r="G19" i="33"/>
  <c r="F19" i="33"/>
  <c r="E20" i="33"/>
  <c r="E21" i="33"/>
  <c r="E22" i="33"/>
  <c r="E23" i="33"/>
  <c r="E24" i="33"/>
  <c r="E25" i="33"/>
  <c r="E19" i="33"/>
  <c r="E17" i="33"/>
  <c r="E16" i="33"/>
  <c r="C20" i="33"/>
  <c r="C21" i="33"/>
  <c r="C22" i="33"/>
  <c r="C23" i="33"/>
  <c r="C19" i="33"/>
  <c r="B20" i="33"/>
  <c r="B21" i="33"/>
  <c r="B22" i="33"/>
  <c r="B23" i="33"/>
  <c r="B19" i="33"/>
  <c r="A20" i="33"/>
  <c r="A21" i="33"/>
  <c r="A22" i="33"/>
  <c r="A23" i="33"/>
  <c r="A19" i="33"/>
  <c r="B17" i="33"/>
  <c r="D23" i="48" s="1"/>
  <c r="B16" i="33"/>
  <c r="C23" i="48" s="1"/>
  <c r="G8" i="33"/>
  <c r="G9" i="33"/>
  <c r="G10" i="33"/>
  <c r="G11" i="33"/>
  <c r="G12" i="33"/>
  <c r="F8" i="33"/>
  <c r="F9" i="33"/>
  <c r="F10" i="33"/>
  <c r="F11" i="33"/>
  <c r="F12" i="33"/>
  <c r="E8" i="33"/>
  <c r="E9" i="33"/>
  <c r="E10" i="33"/>
  <c r="E11" i="33"/>
  <c r="E12" i="33"/>
  <c r="E7" i="33"/>
  <c r="D121" i="19" l="1"/>
  <c r="AO504" i="48"/>
  <c r="AP467" i="48"/>
  <c r="AO475" i="48" s="1"/>
  <c r="AK475" i="48"/>
  <c r="B307" i="48"/>
  <c r="C308" i="48"/>
  <c r="C354" i="48" s="1"/>
  <c r="C307" i="48"/>
  <c r="C353" i="48" s="1"/>
  <c r="L134" i="40"/>
  <c r="E134" i="40"/>
  <c r="L133" i="40"/>
  <c r="E133" i="40"/>
  <c r="L132" i="40"/>
  <c r="E132" i="40"/>
  <c r="L131" i="40"/>
  <c r="E131" i="40"/>
  <c r="L130" i="40"/>
  <c r="E130" i="40"/>
  <c r="L129" i="40"/>
  <c r="E129" i="40"/>
  <c r="L128" i="40"/>
  <c r="E128" i="40"/>
  <c r="L127" i="40"/>
  <c r="E127" i="40"/>
  <c r="L126" i="40"/>
  <c r="E126" i="40"/>
  <c r="L125" i="40"/>
  <c r="E125" i="40"/>
  <c r="L124" i="40"/>
  <c r="E124" i="40"/>
  <c r="L123" i="40"/>
  <c r="E123" i="40"/>
  <c r="L122" i="40"/>
  <c r="E122" i="40"/>
  <c r="L121" i="40"/>
  <c r="E121" i="40"/>
  <c r="L120" i="40"/>
  <c r="E120" i="40"/>
  <c r="L119" i="40"/>
  <c r="E119" i="40"/>
  <c r="L118" i="40"/>
  <c r="E118" i="40"/>
  <c r="L117" i="40"/>
  <c r="E117" i="40"/>
  <c r="L116" i="40"/>
  <c r="E116" i="40"/>
  <c r="L115" i="40"/>
  <c r="E115" i="40"/>
  <c r="L114" i="40"/>
  <c r="E114" i="40"/>
  <c r="L113" i="40"/>
  <c r="E113" i="40"/>
  <c r="L112" i="40"/>
  <c r="E112" i="40"/>
  <c r="L111" i="40"/>
  <c r="E111" i="40"/>
  <c r="L110" i="40"/>
  <c r="E110" i="40"/>
  <c r="G109" i="40"/>
  <c r="L109" i="40"/>
  <c r="E109" i="40"/>
  <c r="J108" i="40"/>
  <c r="I108" i="40"/>
  <c r="G108" i="40"/>
  <c r="L108" i="40"/>
  <c r="E108" i="40"/>
  <c r="J107" i="40"/>
  <c r="I107" i="40"/>
  <c r="G107" i="40"/>
  <c r="L107" i="40"/>
  <c r="E107" i="40"/>
  <c r="J106" i="40"/>
  <c r="I106" i="40"/>
  <c r="G106" i="40"/>
  <c r="L106" i="40"/>
  <c r="E106" i="40"/>
  <c r="J105" i="40"/>
  <c r="I105" i="40"/>
  <c r="G105" i="40"/>
  <c r="L105" i="40"/>
  <c r="E105" i="40"/>
  <c r="J104" i="40"/>
  <c r="I104" i="40"/>
  <c r="G104" i="40"/>
  <c r="L104" i="40"/>
  <c r="E104" i="40"/>
  <c r="J103" i="40"/>
  <c r="I103" i="40"/>
  <c r="G103" i="40"/>
  <c r="L103" i="40"/>
  <c r="E103" i="40"/>
  <c r="J102" i="40"/>
  <c r="I102" i="40"/>
  <c r="G102" i="40"/>
  <c r="L102" i="40"/>
  <c r="E102" i="40"/>
  <c r="J101" i="40"/>
  <c r="I101" i="40"/>
  <c r="G101" i="40"/>
  <c r="L101" i="40"/>
  <c r="E101" i="40"/>
  <c r="J100" i="40"/>
  <c r="I100" i="40"/>
  <c r="G100" i="40"/>
  <c r="L100" i="40"/>
  <c r="E100" i="40"/>
  <c r="J99" i="40"/>
  <c r="I99" i="40"/>
  <c r="G99" i="40"/>
  <c r="L99" i="40"/>
  <c r="E99" i="40"/>
  <c r="J98" i="40"/>
  <c r="I98" i="40"/>
  <c r="G98" i="40"/>
  <c r="L98" i="40"/>
  <c r="E98" i="40"/>
  <c r="J97" i="40"/>
  <c r="I97" i="40"/>
  <c r="G97" i="40"/>
  <c r="L97" i="40"/>
  <c r="E97" i="40"/>
  <c r="J96" i="40"/>
  <c r="I96" i="40"/>
  <c r="G96" i="40"/>
  <c r="L96" i="40"/>
  <c r="E96" i="40"/>
  <c r="J95" i="40"/>
  <c r="I95" i="40"/>
  <c r="G95" i="40"/>
  <c r="L95" i="40"/>
  <c r="E95" i="40"/>
  <c r="J94" i="40"/>
  <c r="I94" i="40"/>
  <c r="G94" i="40"/>
  <c r="L94" i="40"/>
  <c r="E94" i="40"/>
  <c r="J93" i="40"/>
  <c r="I93" i="40"/>
  <c r="G93" i="40"/>
  <c r="L93" i="40"/>
  <c r="E93" i="40"/>
  <c r="J92" i="40"/>
  <c r="I92" i="40"/>
  <c r="G92" i="40"/>
  <c r="L92" i="40"/>
  <c r="E92" i="40"/>
  <c r="J91" i="40"/>
  <c r="I91" i="40"/>
  <c r="G91" i="40"/>
  <c r="L91" i="40"/>
  <c r="E91" i="40"/>
  <c r="J90" i="40"/>
  <c r="I90" i="40"/>
  <c r="G90" i="40"/>
  <c r="L90" i="40"/>
  <c r="E90" i="40"/>
  <c r="J89" i="40"/>
  <c r="I89" i="40"/>
  <c r="G89" i="40"/>
  <c r="L89" i="40"/>
  <c r="E89" i="40"/>
  <c r="J88" i="40"/>
  <c r="I88" i="40"/>
  <c r="G88" i="40"/>
  <c r="L88" i="40"/>
  <c r="E88" i="40"/>
  <c r="J87" i="40"/>
  <c r="I87" i="40"/>
  <c r="G87" i="40"/>
  <c r="L87" i="40"/>
  <c r="E87" i="40"/>
  <c r="J86" i="40"/>
  <c r="I86" i="40"/>
  <c r="G86" i="40"/>
  <c r="L86" i="40"/>
  <c r="E86" i="40"/>
  <c r="J85" i="40"/>
  <c r="I85" i="40"/>
  <c r="G85" i="40"/>
  <c r="L85" i="40"/>
  <c r="E85" i="40"/>
  <c r="J84" i="40"/>
  <c r="I84" i="40"/>
  <c r="G84" i="40"/>
  <c r="L84" i="40"/>
  <c r="E84" i="40"/>
  <c r="J83" i="40"/>
  <c r="I83" i="40"/>
  <c r="G83" i="40"/>
  <c r="L83" i="40"/>
  <c r="E83" i="40"/>
  <c r="J82" i="40"/>
  <c r="I82" i="40"/>
  <c r="G82" i="40"/>
  <c r="L82" i="40"/>
  <c r="E82" i="40"/>
  <c r="J81" i="40"/>
  <c r="I81" i="40"/>
  <c r="G81" i="40"/>
  <c r="L81" i="40"/>
  <c r="E81" i="40"/>
  <c r="J80" i="40"/>
  <c r="I80" i="40"/>
  <c r="G80" i="40"/>
  <c r="L80" i="40"/>
  <c r="E80" i="40"/>
  <c r="J79" i="40"/>
  <c r="I79" i="40"/>
  <c r="G79" i="40"/>
  <c r="L79" i="40"/>
  <c r="E79" i="40"/>
  <c r="J78" i="40"/>
  <c r="I78" i="40"/>
  <c r="G78" i="40"/>
  <c r="L78" i="40"/>
  <c r="E78" i="40"/>
  <c r="J77" i="40"/>
  <c r="I77" i="40"/>
  <c r="G77" i="40"/>
  <c r="L77" i="40"/>
  <c r="E77" i="40"/>
  <c r="J76" i="40"/>
  <c r="I76" i="40"/>
  <c r="G76" i="40"/>
  <c r="L76" i="40"/>
  <c r="E76" i="40"/>
  <c r="J75" i="40"/>
  <c r="I75" i="40"/>
  <c r="G75" i="40"/>
  <c r="L75" i="40"/>
  <c r="E75" i="40"/>
  <c r="J74" i="40"/>
  <c r="I74" i="40"/>
  <c r="G74" i="40"/>
  <c r="L74" i="40"/>
  <c r="E74" i="40"/>
  <c r="J73" i="40"/>
  <c r="I73" i="40"/>
  <c r="G73" i="40"/>
  <c r="L73" i="40"/>
  <c r="E73" i="40"/>
  <c r="J72" i="40"/>
  <c r="I72" i="40"/>
  <c r="G72" i="40"/>
  <c r="L72" i="40"/>
  <c r="E72" i="40"/>
  <c r="J71" i="40"/>
  <c r="I71" i="40"/>
  <c r="G71" i="40"/>
  <c r="L71" i="40"/>
  <c r="E71" i="40"/>
  <c r="J70" i="40"/>
  <c r="I70" i="40"/>
  <c r="G70" i="40"/>
  <c r="L70" i="40"/>
  <c r="E70" i="40"/>
  <c r="J69" i="40"/>
  <c r="I69" i="40"/>
  <c r="G69" i="40"/>
  <c r="L69" i="40"/>
  <c r="E69" i="40"/>
  <c r="J68" i="40"/>
  <c r="I68" i="40"/>
  <c r="G68" i="40"/>
  <c r="L68" i="40"/>
  <c r="E68" i="40"/>
  <c r="J67" i="40"/>
  <c r="I67" i="40"/>
  <c r="G67" i="40"/>
  <c r="L67" i="40"/>
  <c r="E67" i="40"/>
  <c r="J66" i="40"/>
  <c r="I66" i="40"/>
  <c r="G66" i="40"/>
  <c r="L66" i="40"/>
  <c r="E66" i="40"/>
  <c r="J65" i="40"/>
  <c r="I65" i="40"/>
  <c r="G65" i="40"/>
  <c r="L65" i="40"/>
  <c r="E65" i="40"/>
  <c r="J64" i="40"/>
  <c r="I64" i="40"/>
  <c r="G64" i="40"/>
  <c r="L64" i="40"/>
  <c r="E64" i="40"/>
  <c r="J63" i="40"/>
  <c r="I63" i="40"/>
  <c r="G63" i="40"/>
  <c r="L63" i="40"/>
  <c r="E63" i="40"/>
  <c r="J62" i="40"/>
  <c r="I62" i="40"/>
  <c r="G62" i="40"/>
  <c r="L62" i="40"/>
  <c r="E62" i="40"/>
  <c r="J61" i="40"/>
  <c r="I61" i="40"/>
  <c r="G61" i="40"/>
  <c r="L61" i="40"/>
  <c r="E61" i="40"/>
  <c r="J60" i="40"/>
  <c r="I60" i="40"/>
  <c r="G60" i="40"/>
  <c r="L60" i="40"/>
  <c r="E60" i="40"/>
  <c r="J59" i="40"/>
  <c r="I59" i="40"/>
  <c r="G59" i="40"/>
  <c r="L59" i="40"/>
  <c r="E59" i="40"/>
  <c r="J58" i="40"/>
  <c r="I58" i="40"/>
  <c r="G58" i="40"/>
  <c r="L58" i="40"/>
  <c r="E58" i="40"/>
  <c r="J57" i="40"/>
  <c r="I57" i="40"/>
  <c r="G57" i="40"/>
  <c r="L57" i="40"/>
  <c r="E57" i="40"/>
  <c r="J56" i="40"/>
  <c r="I56" i="40"/>
  <c r="G56" i="40"/>
  <c r="L56" i="40"/>
  <c r="E56" i="40"/>
  <c r="J55" i="40"/>
  <c r="I55" i="40"/>
  <c r="G55" i="40"/>
  <c r="L55" i="40"/>
  <c r="E55" i="40"/>
  <c r="J54" i="40"/>
  <c r="I54" i="40"/>
  <c r="G54" i="40"/>
  <c r="L54" i="40"/>
  <c r="E54" i="40"/>
  <c r="J53" i="40"/>
  <c r="I53" i="40"/>
  <c r="G53" i="40"/>
  <c r="L53" i="40"/>
  <c r="E53" i="40"/>
  <c r="J52" i="40"/>
  <c r="I52" i="40"/>
  <c r="G52" i="40"/>
  <c r="L52" i="40"/>
  <c r="E52" i="40"/>
  <c r="J51" i="40"/>
  <c r="I51" i="40"/>
  <c r="G51" i="40"/>
  <c r="L51" i="40"/>
  <c r="E51" i="40"/>
  <c r="J50" i="40"/>
  <c r="I50" i="40"/>
  <c r="G50" i="40"/>
  <c r="L50" i="40"/>
  <c r="E50" i="40"/>
  <c r="J49" i="40"/>
  <c r="I49" i="40"/>
  <c r="G49" i="40"/>
  <c r="L49" i="40"/>
  <c r="E49" i="40"/>
  <c r="J48" i="40"/>
  <c r="I48" i="40"/>
  <c r="G48" i="40"/>
  <c r="L48" i="40"/>
  <c r="E48" i="40"/>
  <c r="J47" i="40"/>
  <c r="I47" i="40"/>
  <c r="G47" i="40"/>
  <c r="L47" i="40"/>
  <c r="E47" i="40"/>
  <c r="J46" i="40"/>
  <c r="I46" i="40"/>
  <c r="G46" i="40"/>
  <c r="L46" i="40"/>
  <c r="E46" i="40"/>
  <c r="J45" i="40"/>
  <c r="I45" i="40"/>
  <c r="G45" i="40"/>
  <c r="L45" i="40"/>
  <c r="E45" i="40"/>
  <c r="J44" i="40"/>
  <c r="I44" i="40"/>
  <c r="G44" i="40"/>
  <c r="L44" i="40"/>
  <c r="E44" i="40"/>
  <c r="J43" i="40"/>
  <c r="I43" i="40"/>
  <c r="G43" i="40"/>
  <c r="L43" i="40"/>
  <c r="E43" i="40"/>
  <c r="J42" i="40"/>
  <c r="I42" i="40"/>
  <c r="G42" i="40"/>
  <c r="L42" i="40"/>
  <c r="E42" i="40"/>
  <c r="J41" i="40"/>
  <c r="I41" i="40"/>
  <c r="G41" i="40"/>
  <c r="L41" i="40"/>
  <c r="E41" i="40"/>
  <c r="J40" i="40"/>
  <c r="I40" i="40"/>
  <c r="G40" i="40"/>
  <c r="L40" i="40"/>
  <c r="E40" i="40"/>
  <c r="J39" i="40"/>
  <c r="I39" i="40"/>
  <c r="G39" i="40"/>
  <c r="L39" i="40"/>
  <c r="E39" i="40"/>
  <c r="J38" i="40"/>
  <c r="I38" i="40"/>
  <c r="G38" i="40"/>
  <c r="L38" i="40"/>
  <c r="E38" i="40"/>
  <c r="J37" i="40"/>
  <c r="I37" i="40"/>
  <c r="G37" i="40"/>
  <c r="L37" i="40"/>
  <c r="E37" i="40"/>
  <c r="J36" i="40"/>
  <c r="I36" i="40"/>
  <c r="G36" i="40"/>
  <c r="L36" i="40"/>
  <c r="E36" i="40"/>
  <c r="J35" i="40"/>
  <c r="I35" i="40"/>
  <c r="G35" i="40"/>
  <c r="L35" i="40"/>
  <c r="E35" i="40"/>
  <c r="J34" i="40"/>
  <c r="I34" i="40"/>
  <c r="G34" i="40"/>
  <c r="L34" i="40"/>
  <c r="E34" i="40"/>
  <c r="J33" i="40"/>
  <c r="I33" i="40"/>
  <c r="G33" i="40"/>
  <c r="L33" i="40"/>
  <c r="E33" i="40"/>
  <c r="J32" i="40"/>
  <c r="I32" i="40"/>
  <c r="G32" i="40"/>
  <c r="L32" i="40"/>
  <c r="E32" i="40"/>
  <c r="J31" i="40"/>
  <c r="I31" i="40"/>
  <c r="G31" i="40"/>
  <c r="L31" i="40"/>
  <c r="E31" i="40"/>
  <c r="J30" i="40"/>
  <c r="I30" i="40"/>
  <c r="G30" i="40"/>
  <c r="L30" i="40"/>
  <c r="E30" i="40"/>
  <c r="J29" i="40"/>
  <c r="I29" i="40"/>
  <c r="G29" i="40"/>
  <c r="L29" i="40"/>
  <c r="E29" i="40"/>
  <c r="J28" i="40"/>
  <c r="I28" i="40"/>
  <c r="G28" i="40"/>
  <c r="L28" i="40"/>
  <c r="E28" i="40"/>
  <c r="J27" i="40"/>
  <c r="I27" i="40"/>
  <c r="G27" i="40"/>
  <c r="L27" i="40"/>
  <c r="E27" i="40"/>
  <c r="J26" i="40"/>
  <c r="I26" i="40"/>
  <c r="G26" i="40"/>
  <c r="L26" i="40"/>
  <c r="E26" i="40"/>
  <c r="J25" i="40"/>
  <c r="I25" i="40"/>
  <c r="G25" i="40"/>
  <c r="L25" i="40"/>
  <c r="E25" i="40"/>
  <c r="J24" i="40"/>
  <c r="I24" i="40"/>
  <c r="G24" i="40"/>
  <c r="L24" i="40"/>
  <c r="E24" i="40"/>
  <c r="J23" i="40"/>
  <c r="I23" i="40"/>
  <c r="G23" i="40"/>
  <c r="L23" i="40"/>
  <c r="E23" i="40"/>
  <c r="J22" i="40"/>
  <c r="I22" i="40"/>
  <c r="G22" i="40"/>
  <c r="L22" i="40"/>
  <c r="E22" i="40"/>
  <c r="J21" i="40"/>
  <c r="I21" i="40"/>
  <c r="G21" i="40"/>
  <c r="L21" i="40"/>
  <c r="E21" i="40"/>
  <c r="J20" i="40"/>
  <c r="I20" i="40"/>
  <c r="G20" i="40"/>
  <c r="L20" i="40"/>
  <c r="E20" i="40"/>
  <c r="J19" i="40"/>
  <c r="I19" i="40"/>
  <c r="G19" i="40"/>
  <c r="L19" i="40"/>
  <c r="E19" i="40"/>
  <c r="J18" i="40"/>
  <c r="I18" i="40"/>
  <c r="G18" i="40"/>
  <c r="L18" i="40"/>
  <c r="E18" i="40"/>
  <c r="J17" i="40"/>
  <c r="I17" i="40"/>
  <c r="G17" i="40"/>
  <c r="L17" i="40"/>
  <c r="E17" i="40"/>
  <c r="J16" i="40"/>
  <c r="I16" i="40"/>
  <c r="G16" i="40"/>
  <c r="L16" i="40"/>
  <c r="E16" i="40"/>
  <c r="J15" i="40"/>
  <c r="I15" i="40"/>
  <c r="G15" i="40"/>
  <c r="L15" i="40"/>
  <c r="E15" i="40"/>
  <c r="J14" i="40"/>
  <c r="I14" i="40"/>
  <c r="G14" i="40"/>
  <c r="L14" i="40"/>
  <c r="E14" i="40"/>
  <c r="J13" i="40"/>
  <c r="I13" i="40"/>
  <c r="G13" i="40"/>
  <c r="L13" i="40"/>
  <c r="E13" i="40"/>
  <c r="J12" i="40"/>
  <c r="I12" i="40"/>
  <c r="G12" i="40"/>
  <c r="L12" i="40"/>
  <c r="E12" i="40"/>
  <c r="J11" i="40"/>
  <c r="I11" i="40"/>
  <c r="G11" i="40"/>
  <c r="L11" i="40"/>
  <c r="E11" i="40"/>
  <c r="J10" i="40"/>
  <c r="I10" i="40"/>
  <c r="G10" i="40"/>
  <c r="L10" i="40"/>
  <c r="E10" i="40"/>
  <c r="J9" i="40"/>
  <c r="I9" i="40"/>
  <c r="G9" i="40"/>
  <c r="L9" i="40"/>
  <c r="E9" i="40"/>
  <c r="J8" i="40"/>
  <c r="I8" i="40"/>
  <c r="G8" i="40"/>
  <c r="L8" i="40"/>
  <c r="E8" i="40"/>
  <c r="J7" i="40"/>
  <c r="I7" i="40"/>
  <c r="G7" i="40"/>
  <c r="L7" i="40"/>
  <c r="E7" i="40"/>
  <c r="J6" i="40"/>
  <c r="I6" i="40"/>
  <c r="G6" i="40"/>
  <c r="L6" i="40"/>
  <c r="E6" i="40"/>
  <c r="J5" i="40"/>
  <c r="I5" i="40"/>
  <c r="G5" i="40"/>
  <c r="L5" i="40"/>
  <c r="E5" i="40"/>
  <c r="J4" i="40"/>
  <c r="I4" i="40"/>
  <c r="G4" i="40"/>
  <c r="L4" i="40"/>
  <c r="E4" i="40"/>
  <c r="J3" i="40"/>
  <c r="I3" i="40"/>
  <c r="G3" i="40"/>
  <c r="L3" i="40"/>
  <c r="E3" i="40"/>
  <c r="J2" i="40"/>
  <c r="I2" i="40"/>
  <c r="H2" i="40"/>
  <c r="G2" i="40"/>
  <c r="F2" i="40"/>
  <c r="L2" i="40"/>
  <c r="E2" i="40"/>
  <c r="F134" i="38"/>
  <c r="E134" i="38"/>
  <c r="F133" i="38"/>
  <c r="E133" i="38"/>
  <c r="F132" i="38"/>
  <c r="E132" i="38"/>
  <c r="F131" i="38"/>
  <c r="E131" i="38"/>
  <c r="F130" i="38"/>
  <c r="E130" i="38"/>
  <c r="F129" i="38"/>
  <c r="E129" i="38"/>
  <c r="F128" i="38"/>
  <c r="E128" i="38"/>
  <c r="F127" i="38"/>
  <c r="E127" i="38"/>
  <c r="F126" i="38"/>
  <c r="E126" i="38"/>
  <c r="F125" i="38"/>
  <c r="E125" i="38"/>
  <c r="F124" i="38"/>
  <c r="E124" i="38"/>
  <c r="F123" i="38"/>
  <c r="E123" i="38"/>
  <c r="F122" i="38"/>
  <c r="E122" i="38"/>
  <c r="F121" i="38"/>
  <c r="E121" i="38"/>
  <c r="F120" i="38"/>
  <c r="E120" i="38"/>
  <c r="F119" i="38"/>
  <c r="E119" i="38"/>
  <c r="F118" i="38"/>
  <c r="E118" i="38"/>
  <c r="F117" i="38"/>
  <c r="E117" i="38"/>
  <c r="F116" i="38"/>
  <c r="E116" i="38"/>
  <c r="F115" i="38"/>
  <c r="E115" i="38"/>
  <c r="F114" i="38"/>
  <c r="E114" i="38"/>
  <c r="F113" i="38"/>
  <c r="E113" i="38"/>
  <c r="F112" i="38"/>
  <c r="E112" i="38"/>
  <c r="F111" i="38"/>
  <c r="E111" i="38"/>
  <c r="F110" i="38"/>
  <c r="E110" i="38"/>
  <c r="K109" i="38"/>
  <c r="F109" i="38"/>
  <c r="E109" i="38"/>
  <c r="J108" i="38"/>
  <c r="K108" i="38"/>
  <c r="F108" i="38"/>
  <c r="E108" i="38"/>
  <c r="J107" i="38"/>
  <c r="K107" i="38"/>
  <c r="F107" i="38"/>
  <c r="E107" i="38"/>
  <c r="J106" i="38"/>
  <c r="K106" i="38"/>
  <c r="F106" i="38"/>
  <c r="E106" i="38"/>
  <c r="J105" i="38"/>
  <c r="K105" i="38"/>
  <c r="F105" i="38"/>
  <c r="E105" i="38"/>
  <c r="J104" i="38"/>
  <c r="K104" i="38"/>
  <c r="F104" i="38"/>
  <c r="E104" i="38"/>
  <c r="J103" i="38"/>
  <c r="K103" i="38"/>
  <c r="F103" i="38"/>
  <c r="E103" i="38"/>
  <c r="J102" i="38"/>
  <c r="K102" i="38"/>
  <c r="F102" i="38"/>
  <c r="E102" i="38"/>
  <c r="J101" i="38"/>
  <c r="K101" i="38"/>
  <c r="F101" i="38"/>
  <c r="E101" i="38"/>
  <c r="J100" i="38"/>
  <c r="K100" i="38"/>
  <c r="F100" i="38"/>
  <c r="E100" i="38"/>
  <c r="J99" i="38"/>
  <c r="K99" i="38"/>
  <c r="F99" i="38"/>
  <c r="E99" i="38"/>
  <c r="J98" i="38"/>
  <c r="K98" i="38"/>
  <c r="F98" i="38"/>
  <c r="E98" i="38"/>
  <c r="J97" i="38"/>
  <c r="K97" i="38"/>
  <c r="F97" i="38"/>
  <c r="E97" i="38"/>
  <c r="J96" i="38"/>
  <c r="K96" i="38"/>
  <c r="F96" i="38"/>
  <c r="E96" i="38"/>
  <c r="J95" i="38"/>
  <c r="K95" i="38"/>
  <c r="F95" i="38"/>
  <c r="E95" i="38"/>
  <c r="J94" i="38"/>
  <c r="K94" i="38"/>
  <c r="F94" i="38"/>
  <c r="E94" i="38"/>
  <c r="J93" i="38"/>
  <c r="K93" i="38"/>
  <c r="F93" i="38"/>
  <c r="E93" i="38"/>
  <c r="J92" i="38"/>
  <c r="K92" i="38"/>
  <c r="F92" i="38"/>
  <c r="E92" i="38"/>
  <c r="J91" i="38"/>
  <c r="K91" i="38"/>
  <c r="F91" i="38"/>
  <c r="E91" i="38"/>
  <c r="J90" i="38"/>
  <c r="K90" i="38"/>
  <c r="F90" i="38"/>
  <c r="E90" i="38"/>
  <c r="J89" i="38"/>
  <c r="K89" i="38"/>
  <c r="F89" i="38"/>
  <c r="E89" i="38"/>
  <c r="J88" i="38"/>
  <c r="K88" i="38"/>
  <c r="F88" i="38"/>
  <c r="E88" i="38"/>
  <c r="J87" i="38"/>
  <c r="K87" i="38"/>
  <c r="F87" i="38"/>
  <c r="E87" i="38"/>
  <c r="J86" i="38"/>
  <c r="K86" i="38"/>
  <c r="F86" i="38"/>
  <c r="E86" i="38"/>
  <c r="J85" i="38"/>
  <c r="K85" i="38"/>
  <c r="F85" i="38"/>
  <c r="E85" i="38"/>
  <c r="J84" i="38"/>
  <c r="K84" i="38"/>
  <c r="F84" i="38"/>
  <c r="E84" i="38"/>
  <c r="J83" i="38"/>
  <c r="K83" i="38"/>
  <c r="F83" i="38"/>
  <c r="E83" i="38"/>
  <c r="J82" i="38"/>
  <c r="K82" i="38"/>
  <c r="F82" i="38"/>
  <c r="E82" i="38"/>
  <c r="J81" i="38"/>
  <c r="K81" i="38"/>
  <c r="F81" i="38"/>
  <c r="E81" i="38"/>
  <c r="J80" i="38"/>
  <c r="K80" i="38"/>
  <c r="F80" i="38"/>
  <c r="E80" i="38"/>
  <c r="J79" i="38"/>
  <c r="K79" i="38"/>
  <c r="F79" i="38"/>
  <c r="E79" i="38"/>
  <c r="J78" i="38"/>
  <c r="K78" i="38"/>
  <c r="F78" i="38"/>
  <c r="E78" i="38"/>
  <c r="J77" i="38"/>
  <c r="K77" i="38"/>
  <c r="F77" i="38"/>
  <c r="E77" i="38"/>
  <c r="J76" i="38"/>
  <c r="K76" i="38"/>
  <c r="F76" i="38"/>
  <c r="E76" i="38"/>
  <c r="J75" i="38"/>
  <c r="K75" i="38"/>
  <c r="F75" i="38"/>
  <c r="E75" i="38"/>
  <c r="J74" i="38"/>
  <c r="K74" i="38"/>
  <c r="F74" i="38"/>
  <c r="E74" i="38"/>
  <c r="J73" i="38"/>
  <c r="K73" i="38"/>
  <c r="F73" i="38"/>
  <c r="E73" i="38"/>
  <c r="J72" i="38"/>
  <c r="K72" i="38"/>
  <c r="F72" i="38"/>
  <c r="E72" i="38"/>
  <c r="J71" i="38"/>
  <c r="K71" i="38"/>
  <c r="F71" i="38"/>
  <c r="E71" i="38"/>
  <c r="J70" i="38"/>
  <c r="K70" i="38"/>
  <c r="F70" i="38"/>
  <c r="E70" i="38"/>
  <c r="J69" i="38"/>
  <c r="K69" i="38"/>
  <c r="F69" i="38"/>
  <c r="E69" i="38"/>
  <c r="J68" i="38"/>
  <c r="K68" i="38"/>
  <c r="F68" i="38"/>
  <c r="E68" i="38"/>
  <c r="J67" i="38"/>
  <c r="K67" i="38"/>
  <c r="F67" i="38"/>
  <c r="E67" i="38"/>
  <c r="J66" i="38"/>
  <c r="K66" i="38"/>
  <c r="F66" i="38"/>
  <c r="E66" i="38"/>
  <c r="J65" i="38"/>
  <c r="K65" i="38"/>
  <c r="F65" i="38"/>
  <c r="E65" i="38"/>
  <c r="J64" i="38"/>
  <c r="K64" i="38"/>
  <c r="F64" i="38"/>
  <c r="E64" i="38"/>
  <c r="J63" i="38"/>
  <c r="K63" i="38"/>
  <c r="F63" i="38"/>
  <c r="E63" i="38"/>
  <c r="J62" i="38"/>
  <c r="K62" i="38"/>
  <c r="F62" i="38"/>
  <c r="E62" i="38"/>
  <c r="J61" i="38"/>
  <c r="K61" i="38"/>
  <c r="F61" i="38"/>
  <c r="E61" i="38"/>
  <c r="J60" i="38"/>
  <c r="K60" i="38"/>
  <c r="F60" i="38"/>
  <c r="E60" i="38"/>
  <c r="J59" i="38"/>
  <c r="K59" i="38"/>
  <c r="F59" i="38"/>
  <c r="E59" i="38"/>
  <c r="J58" i="38"/>
  <c r="K58" i="38"/>
  <c r="F58" i="38"/>
  <c r="E58" i="38"/>
  <c r="J57" i="38"/>
  <c r="K57" i="38"/>
  <c r="F57" i="38"/>
  <c r="E57" i="38"/>
  <c r="J56" i="38"/>
  <c r="K56" i="38"/>
  <c r="F56" i="38"/>
  <c r="E56" i="38"/>
  <c r="J55" i="38"/>
  <c r="K55" i="38"/>
  <c r="F55" i="38"/>
  <c r="E55" i="38"/>
  <c r="J54" i="38"/>
  <c r="K54" i="38"/>
  <c r="F54" i="38"/>
  <c r="E54" i="38"/>
  <c r="J53" i="38"/>
  <c r="K53" i="38"/>
  <c r="F53" i="38"/>
  <c r="E53" i="38"/>
  <c r="J52" i="38"/>
  <c r="K52" i="38"/>
  <c r="F52" i="38"/>
  <c r="E52" i="38"/>
  <c r="J51" i="38"/>
  <c r="K51" i="38"/>
  <c r="F51" i="38"/>
  <c r="E51" i="38"/>
  <c r="J50" i="38"/>
  <c r="K50" i="38"/>
  <c r="F50" i="38"/>
  <c r="E50" i="38"/>
  <c r="J49" i="38"/>
  <c r="K49" i="38"/>
  <c r="F49" i="38"/>
  <c r="E49" i="38"/>
  <c r="J48" i="38"/>
  <c r="K48" i="38"/>
  <c r="F48" i="38"/>
  <c r="E48" i="38"/>
  <c r="J47" i="38"/>
  <c r="K47" i="38"/>
  <c r="F47" i="38"/>
  <c r="E47" i="38"/>
  <c r="J46" i="38"/>
  <c r="K46" i="38"/>
  <c r="F46" i="38"/>
  <c r="E46" i="38"/>
  <c r="J45" i="38"/>
  <c r="K45" i="38"/>
  <c r="F45" i="38"/>
  <c r="E45" i="38"/>
  <c r="J44" i="38"/>
  <c r="K44" i="38"/>
  <c r="F44" i="38"/>
  <c r="E44" i="38"/>
  <c r="J43" i="38"/>
  <c r="K43" i="38"/>
  <c r="F43" i="38"/>
  <c r="E43" i="38"/>
  <c r="J42" i="38"/>
  <c r="K42" i="38"/>
  <c r="F42" i="38"/>
  <c r="E42" i="38"/>
  <c r="J41" i="38"/>
  <c r="K41" i="38"/>
  <c r="F41" i="38"/>
  <c r="E41" i="38"/>
  <c r="J40" i="38"/>
  <c r="K40" i="38"/>
  <c r="F40" i="38"/>
  <c r="E40" i="38"/>
  <c r="J39" i="38"/>
  <c r="K39" i="38"/>
  <c r="F39" i="38"/>
  <c r="E39" i="38"/>
  <c r="J38" i="38"/>
  <c r="K38" i="38"/>
  <c r="F38" i="38"/>
  <c r="E38" i="38"/>
  <c r="J37" i="38"/>
  <c r="K37" i="38"/>
  <c r="F37" i="38"/>
  <c r="E37" i="38"/>
  <c r="J36" i="38"/>
  <c r="K36" i="38"/>
  <c r="F36" i="38"/>
  <c r="E36" i="38"/>
  <c r="J35" i="38"/>
  <c r="K35" i="38"/>
  <c r="F35" i="38"/>
  <c r="E35" i="38"/>
  <c r="J34" i="38"/>
  <c r="K34" i="38"/>
  <c r="F34" i="38"/>
  <c r="E34" i="38"/>
  <c r="J33" i="38"/>
  <c r="K33" i="38"/>
  <c r="F33" i="38"/>
  <c r="E33" i="38"/>
  <c r="J32" i="38"/>
  <c r="K32" i="38"/>
  <c r="F32" i="38"/>
  <c r="E32" i="38"/>
  <c r="J31" i="38"/>
  <c r="K31" i="38"/>
  <c r="F31" i="38"/>
  <c r="E31" i="38"/>
  <c r="J30" i="38"/>
  <c r="K30" i="38"/>
  <c r="F30" i="38"/>
  <c r="E30" i="38"/>
  <c r="J29" i="38"/>
  <c r="K29" i="38"/>
  <c r="F29" i="38"/>
  <c r="E29" i="38"/>
  <c r="J28" i="38"/>
  <c r="K28" i="38"/>
  <c r="F28" i="38"/>
  <c r="E28" i="38"/>
  <c r="J27" i="38"/>
  <c r="K27" i="38"/>
  <c r="F27" i="38"/>
  <c r="E27" i="38"/>
  <c r="J26" i="38"/>
  <c r="K26" i="38"/>
  <c r="F26" i="38"/>
  <c r="E26" i="38"/>
  <c r="J25" i="38"/>
  <c r="K25" i="38"/>
  <c r="F25" i="38"/>
  <c r="E25" i="38"/>
  <c r="J24" i="38"/>
  <c r="K24" i="38"/>
  <c r="F24" i="38"/>
  <c r="E24" i="38"/>
  <c r="J23" i="38"/>
  <c r="K23" i="38"/>
  <c r="F23" i="38"/>
  <c r="E23" i="38"/>
  <c r="J22" i="38"/>
  <c r="K22" i="38"/>
  <c r="F22" i="38"/>
  <c r="E22" i="38"/>
  <c r="J21" i="38"/>
  <c r="K21" i="38"/>
  <c r="F21" i="38"/>
  <c r="E21" i="38"/>
  <c r="J20" i="38"/>
  <c r="K20" i="38"/>
  <c r="F20" i="38"/>
  <c r="E20" i="38"/>
  <c r="J19" i="38"/>
  <c r="K19" i="38"/>
  <c r="F19" i="38"/>
  <c r="E19" i="38"/>
  <c r="J18" i="38"/>
  <c r="K18" i="38"/>
  <c r="F18" i="38"/>
  <c r="E18" i="38"/>
  <c r="J17" i="38"/>
  <c r="K17" i="38"/>
  <c r="F17" i="38"/>
  <c r="E17" i="38"/>
  <c r="J16" i="38"/>
  <c r="K16" i="38"/>
  <c r="F16" i="38"/>
  <c r="E16" i="38"/>
  <c r="J15" i="38"/>
  <c r="K15" i="38"/>
  <c r="F15" i="38"/>
  <c r="E15" i="38"/>
  <c r="J14" i="38"/>
  <c r="K14" i="38"/>
  <c r="F14" i="38"/>
  <c r="E14" i="38"/>
  <c r="J13" i="38"/>
  <c r="K13" i="38"/>
  <c r="F13" i="38"/>
  <c r="E13" i="38"/>
  <c r="J12" i="38"/>
  <c r="K12" i="38"/>
  <c r="F12" i="38"/>
  <c r="E12" i="38"/>
  <c r="J11" i="38"/>
  <c r="K11" i="38"/>
  <c r="F11" i="38"/>
  <c r="E11" i="38"/>
  <c r="J10" i="38"/>
  <c r="K10" i="38"/>
  <c r="F10" i="38"/>
  <c r="E10" i="38"/>
  <c r="J9" i="38"/>
  <c r="K9" i="38"/>
  <c r="F9" i="38"/>
  <c r="E9" i="38"/>
  <c r="J8" i="38"/>
  <c r="K8" i="38"/>
  <c r="F8" i="38"/>
  <c r="E8" i="38"/>
  <c r="J7" i="38"/>
  <c r="K7" i="38"/>
  <c r="F7" i="38"/>
  <c r="E7" i="38"/>
  <c r="J6" i="38"/>
  <c r="K6" i="38"/>
  <c r="F6" i="38"/>
  <c r="E6" i="38"/>
  <c r="J5" i="38"/>
  <c r="K5" i="38"/>
  <c r="F5" i="38"/>
  <c r="E5" i="38"/>
  <c r="J4" i="38"/>
  <c r="K4" i="38"/>
  <c r="F4" i="38"/>
  <c r="E4" i="38"/>
  <c r="J3" i="38"/>
  <c r="K3" i="38"/>
  <c r="F3" i="38"/>
  <c r="E3" i="38"/>
  <c r="J2" i="38"/>
  <c r="I2" i="38"/>
  <c r="K2" i="38"/>
  <c r="G2" i="38"/>
  <c r="F2" i="38"/>
  <c r="E2" i="38"/>
  <c r="F110" i="20"/>
  <c r="F111" i="20"/>
  <c r="F112" i="20"/>
  <c r="F113" i="20"/>
  <c r="F114" i="20"/>
  <c r="F115" i="20"/>
  <c r="F116" i="20"/>
  <c r="F117" i="20"/>
  <c r="F118" i="20"/>
  <c r="F119" i="20"/>
  <c r="F120" i="20"/>
  <c r="F121" i="20"/>
  <c r="F122" i="20"/>
  <c r="F123" i="20"/>
  <c r="E111" i="20"/>
  <c r="E112" i="20"/>
  <c r="E113" i="20"/>
  <c r="E114" i="20"/>
  <c r="E115" i="20"/>
  <c r="E116" i="20"/>
  <c r="E117" i="20"/>
  <c r="E118" i="20"/>
  <c r="E119" i="20"/>
  <c r="E120" i="20"/>
  <c r="E121" i="20"/>
  <c r="E122" i="20"/>
  <c r="E123" i="20"/>
  <c r="D122" i="19" l="1"/>
  <c r="H307" i="48"/>
  <c r="B353" i="48"/>
  <c r="H353" i="48" s="1"/>
  <c r="B308" i="48"/>
  <c r="B154" i="40"/>
  <c r="J10" i="9" s="1"/>
  <c r="B19" i="18" s="1"/>
  <c r="B385" i="48" s="1"/>
  <c r="B158" i="40"/>
  <c r="J14" i="9" s="1"/>
  <c r="B23" i="18" s="1"/>
  <c r="B389" i="48" s="1"/>
  <c r="B157" i="40"/>
  <c r="J13" i="9" s="1"/>
  <c r="B22" i="18" s="1"/>
  <c r="B388" i="48" s="1"/>
  <c r="B156" i="40"/>
  <c r="J12" i="9" s="1"/>
  <c r="B21" i="18" s="1"/>
  <c r="B387" i="48" s="1"/>
  <c r="B155" i="40"/>
  <c r="J11" i="9" s="1"/>
  <c r="B20" i="18" s="1"/>
  <c r="B386" i="48" s="1"/>
  <c r="B153" i="40"/>
  <c r="J9" i="9" s="1"/>
  <c r="B18" i="18" s="1"/>
  <c r="B384" i="48" s="1"/>
  <c r="B152" i="40"/>
  <c r="J8" i="9" s="1"/>
  <c r="B17" i="18" s="1"/>
  <c r="B383" i="48" s="1"/>
  <c r="B151" i="40"/>
  <c r="B156" i="38"/>
  <c r="I13" i="9" s="1"/>
  <c r="B151" i="38"/>
  <c r="I8" i="9" s="1"/>
  <c r="I26" i="9" s="1"/>
  <c r="B154" i="38"/>
  <c r="I11" i="9" s="1"/>
  <c r="B153" i="38"/>
  <c r="I10" i="9" s="1"/>
  <c r="I28" i="9" s="1"/>
  <c r="B150" i="38"/>
  <c r="B157" i="38"/>
  <c r="I14" i="9" s="1"/>
  <c r="B152" i="38"/>
  <c r="I9" i="9" s="1"/>
  <c r="I27" i="9" s="1"/>
  <c r="B155" i="38"/>
  <c r="I12" i="9" s="1"/>
  <c r="E3" i="20"/>
  <c r="F3" i="20"/>
  <c r="I3" i="20"/>
  <c r="K3" i="20"/>
  <c r="L3" i="20"/>
  <c r="E4" i="20"/>
  <c r="F4" i="20"/>
  <c r="I4" i="20"/>
  <c r="K4" i="20"/>
  <c r="L4" i="20"/>
  <c r="E5" i="20"/>
  <c r="F5" i="20"/>
  <c r="I5" i="20"/>
  <c r="K5" i="20"/>
  <c r="L5" i="20"/>
  <c r="E6" i="20"/>
  <c r="F6" i="20"/>
  <c r="I6" i="20"/>
  <c r="K6" i="20"/>
  <c r="L6" i="20"/>
  <c r="E7" i="20"/>
  <c r="F7" i="20"/>
  <c r="I7" i="20"/>
  <c r="K7" i="20"/>
  <c r="L7" i="20"/>
  <c r="E8" i="20"/>
  <c r="F8" i="20"/>
  <c r="I8" i="20"/>
  <c r="K8" i="20"/>
  <c r="L8" i="20"/>
  <c r="E9" i="20"/>
  <c r="F9" i="20"/>
  <c r="I9" i="20"/>
  <c r="K9" i="20"/>
  <c r="L9" i="20"/>
  <c r="E10" i="20"/>
  <c r="F10" i="20"/>
  <c r="I10" i="20"/>
  <c r="K10" i="20"/>
  <c r="L10" i="20"/>
  <c r="E11" i="20"/>
  <c r="F11" i="20"/>
  <c r="I11" i="20"/>
  <c r="K11" i="20"/>
  <c r="L11" i="20"/>
  <c r="E12" i="20"/>
  <c r="F12" i="20"/>
  <c r="I12" i="20"/>
  <c r="K12" i="20"/>
  <c r="L12" i="20"/>
  <c r="E13" i="20"/>
  <c r="F13" i="20"/>
  <c r="I13" i="20"/>
  <c r="K13" i="20"/>
  <c r="L13" i="20"/>
  <c r="E14" i="20"/>
  <c r="F14" i="20"/>
  <c r="I14" i="20"/>
  <c r="K14" i="20"/>
  <c r="L14" i="20"/>
  <c r="E15" i="20"/>
  <c r="F15" i="20"/>
  <c r="I15" i="20"/>
  <c r="K15" i="20"/>
  <c r="L15" i="20"/>
  <c r="E16" i="20"/>
  <c r="F16" i="20"/>
  <c r="I16" i="20"/>
  <c r="K16" i="20"/>
  <c r="L16" i="20"/>
  <c r="E17" i="20"/>
  <c r="F17" i="20"/>
  <c r="I17" i="20"/>
  <c r="K17" i="20"/>
  <c r="L17" i="20"/>
  <c r="E18" i="20"/>
  <c r="F18" i="20"/>
  <c r="I18" i="20"/>
  <c r="K18" i="20"/>
  <c r="L18" i="20"/>
  <c r="E19" i="20"/>
  <c r="F19" i="20"/>
  <c r="I19" i="20"/>
  <c r="K19" i="20"/>
  <c r="L19" i="20"/>
  <c r="E20" i="20"/>
  <c r="F20" i="20"/>
  <c r="I20" i="20"/>
  <c r="K20" i="20"/>
  <c r="L20" i="20"/>
  <c r="E21" i="20"/>
  <c r="F21" i="20"/>
  <c r="I21" i="20"/>
  <c r="K21" i="20"/>
  <c r="L21" i="20"/>
  <c r="E22" i="20"/>
  <c r="F22" i="20"/>
  <c r="I22" i="20"/>
  <c r="K22" i="20"/>
  <c r="L22" i="20"/>
  <c r="E23" i="20"/>
  <c r="F23" i="20"/>
  <c r="I23" i="20"/>
  <c r="K23" i="20"/>
  <c r="L23" i="20"/>
  <c r="E24" i="20"/>
  <c r="F24" i="20"/>
  <c r="I24" i="20"/>
  <c r="K24" i="20"/>
  <c r="L24" i="20"/>
  <c r="E25" i="20"/>
  <c r="F25" i="20"/>
  <c r="I25" i="20"/>
  <c r="K25" i="20"/>
  <c r="L25" i="20"/>
  <c r="E26" i="20"/>
  <c r="F26" i="20"/>
  <c r="I26" i="20"/>
  <c r="K26" i="20"/>
  <c r="L26" i="20"/>
  <c r="E27" i="20"/>
  <c r="F27" i="20"/>
  <c r="I27" i="20"/>
  <c r="K27" i="20"/>
  <c r="L27" i="20"/>
  <c r="E28" i="20"/>
  <c r="F28" i="20"/>
  <c r="I28" i="20"/>
  <c r="K28" i="20"/>
  <c r="L28" i="20"/>
  <c r="E29" i="20"/>
  <c r="F29" i="20"/>
  <c r="I29" i="20"/>
  <c r="K29" i="20"/>
  <c r="L29" i="20"/>
  <c r="E30" i="20"/>
  <c r="F30" i="20"/>
  <c r="I30" i="20"/>
  <c r="K30" i="20"/>
  <c r="L30" i="20"/>
  <c r="E31" i="20"/>
  <c r="F31" i="20"/>
  <c r="I31" i="20"/>
  <c r="K31" i="20"/>
  <c r="L31" i="20"/>
  <c r="E32" i="20"/>
  <c r="F32" i="20"/>
  <c r="I32" i="20"/>
  <c r="K32" i="20"/>
  <c r="L32" i="20"/>
  <c r="E33" i="20"/>
  <c r="F33" i="20"/>
  <c r="I33" i="20"/>
  <c r="K33" i="20"/>
  <c r="L33" i="20"/>
  <c r="E34" i="20"/>
  <c r="F34" i="20"/>
  <c r="I34" i="20"/>
  <c r="K34" i="20"/>
  <c r="L34" i="20"/>
  <c r="E35" i="20"/>
  <c r="F35" i="20"/>
  <c r="I35" i="20"/>
  <c r="K35" i="20"/>
  <c r="L35" i="20"/>
  <c r="E36" i="20"/>
  <c r="F36" i="20"/>
  <c r="I36" i="20"/>
  <c r="K36" i="20"/>
  <c r="L36" i="20"/>
  <c r="E37" i="20"/>
  <c r="F37" i="20"/>
  <c r="I37" i="20"/>
  <c r="K37" i="20"/>
  <c r="L37" i="20"/>
  <c r="E38" i="20"/>
  <c r="F38" i="20"/>
  <c r="I38" i="20"/>
  <c r="K38" i="20"/>
  <c r="L38" i="20"/>
  <c r="E39" i="20"/>
  <c r="F39" i="20"/>
  <c r="I39" i="20"/>
  <c r="K39" i="20"/>
  <c r="L39" i="20"/>
  <c r="E40" i="20"/>
  <c r="F40" i="20"/>
  <c r="I40" i="20"/>
  <c r="K40" i="20"/>
  <c r="L40" i="20"/>
  <c r="E41" i="20"/>
  <c r="F41" i="20"/>
  <c r="I41" i="20"/>
  <c r="K41" i="20"/>
  <c r="L41" i="20"/>
  <c r="E42" i="20"/>
  <c r="F42" i="20"/>
  <c r="I42" i="20"/>
  <c r="K42" i="20"/>
  <c r="L42" i="20"/>
  <c r="E43" i="20"/>
  <c r="F43" i="20"/>
  <c r="I43" i="20"/>
  <c r="K43" i="20"/>
  <c r="L43" i="20"/>
  <c r="E44" i="20"/>
  <c r="F44" i="20"/>
  <c r="I44" i="20"/>
  <c r="K44" i="20"/>
  <c r="L44" i="20"/>
  <c r="E45" i="20"/>
  <c r="F45" i="20"/>
  <c r="I45" i="20"/>
  <c r="K45" i="20"/>
  <c r="L45" i="20"/>
  <c r="E46" i="20"/>
  <c r="F46" i="20"/>
  <c r="I46" i="20"/>
  <c r="K46" i="20"/>
  <c r="L46" i="20"/>
  <c r="E47" i="20"/>
  <c r="F47" i="20"/>
  <c r="I47" i="20"/>
  <c r="K47" i="20"/>
  <c r="L47" i="20"/>
  <c r="E48" i="20"/>
  <c r="F48" i="20"/>
  <c r="I48" i="20"/>
  <c r="K48" i="20"/>
  <c r="L48" i="20"/>
  <c r="E49" i="20"/>
  <c r="F49" i="20"/>
  <c r="I49" i="20"/>
  <c r="K49" i="20"/>
  <c r="L49" i="20"/>
  <c r="E50" i="20"/>
  <c r="F50" i="20"/>
  <c r="I50" i="20"/>
  <c r="K50" i="20"/>
  <c r="L50" i="20"/>
  <c r="E51" i="20"/>
  <c r="F51" i="20"/>
  <c r="I51" i="20"/>
  <c r="K51" i="20"/>
  <c r="L51" i="20"/>
  <c r="E52" i="20"/>
  <c r="F52" i="20"/>
  <c r="I52" i="20"/>
  <c r="K52" i="20"/>
  <c r="L52" i="20"/>
  <c r="E53" i="20"/>
  <c r="F53" i="20"/>
  <c r="I53" i="20"/>
  <c r="K53" i="20"/>
  <c r="L53" i="20"/>
  <c r="E54" i="20"/>
  <c r="F54" i="20"/>
  <c r="I54" i="20"/>
  <c r="K54" i="20"/>
  <c r="L54" i="20"/>
  <c r="E55" i="20"/>
  <c r="F55" i="20"/>
  <c r="I55" i="20"/>
  <c r="K55" i="20"/>
  <c r="L55" i="20"/>
  <c r="E56" i="20"/>
  <c r="F56" i="20"/>
  <c r="I56" i="20"/>
  <c r="K56" i="20"/>
  <c r="L56" i="20"/>
  <c r="E57" i="20"/>
  <c r="F57" i="20"/>
  <c r="I57" i="20"/>
  <c r="K57" i="20"/>
  <c r="L57" i="20"/>
  <c r="E58" i="20"/>
  <c r="F58" i="20"/>
  <c r="I58" i="20"/>
  <c r="K58" i="20"/>
  <c r="L58" i="20"/>
  <c r="E59" i="20"/>
  <c r="F59" i="20"/>
  <c r="I59" i="20"/>
  <c r="K59" i="20"/>
  <c r="L59" i="20"/>
  <c r="E60" i="20"/>
  <c r="F60" i="20"/>
  <c r="I60" i="20"/>
  <c r="K60" i="20"/>
  <c r="L60" i="20"/>
  <c r="E61" i="20"/>
  <c r="F61" i="20"/>
  <c r="I61" i="20"/>
  <c r="K61" i="20"/>
  <c r="L61" i="20"/>
  <c r="E62" i="20"/>
  <c r="F62" i="20"/>
  <c r="I62" i="20"/>
  <c r="K62" i="20"/>
  <c r="L62" i="20"/>
  <c r="E63" i="20"/>
  <c r="F63" i="20"/>
  <c r="I63" i="20"/>
  <c r="K63" i="20"/>
  <c r="L63" i="20"/>
  <c r="E64" i="20"/>
  <c r="F64" i="20"/>
  <c r="I64" i="20"/>
  <c r="K64" i="20"/>
  <c r="L64" i="20"/>
  <c r="E65" i="20"/>
  <c r="F65" i="20"/>
  <c r="I65" i="20"/>
  <c r="K65" i="20"/>
  <c r="L65" i="20"/>
  <c r="E66" i="20"/>
  <c r="F66" i="20"/>
  <c r="I66" i="20"/>
  <c r="K66" i="20"/>
  <c r="L66" i="20"/>
  <c r="E67" i="20"/>
  <c r="F67" i="20"/>
  <c r="I67" i="20"/>
  <c r="K67" i="20"/>
  <c r="L67" i="20"/>
  <c r="E68" i="20"/>
  <c r="F68" i="20"/>
  <c r="I68" i="20"/>
  <c r="K68" i="20"/>
  <c r="L68" i="20"/>
  <c r="E69" i="20"/>
  <c r="F69" i="20"/>
  <c r="I69" i="20"/>
  <c r="K69" i="20"/>
  <c r="L69" i="20"/>
  <c r="E70" i="20"/>
  <c r="F70" i="20"/>
  <c r="I70" i="20"/>
  <c r="K70" i="20"/>
  <c r="L70" i="20"/>
  <c r="E71" i="20"/>
  <c r="F71" i="20"/>
  <c r="I71" i="20"/>
  <c r="K71" i="20"/>
  <c r="L71" i="20"/>
  <c r="E72" i="20"/>
  <c r="F72" i="20"/>
  <c r="I72" i="20"/>
  <c r="K72" i="20"/>
  <c r="L72" i="20"/>
  <c r="E73" i="20"/>
  <c r="F73" i="20"/>
  <c r="I73" i="20"/>
  <c r="K73" i="20"/>
  <c r="L73" i="20"/>
  <c r="E74" i="20"/>
  <c r="F74" i="20"/>
  <c r="I74" i="20"/>
  <c r="K74" i="20"/>
  <c r="L74" i="20"/>
  <c r="E75" i="20"/>
  <c r="F75" i="20"/>
  <c r="I75" i="20"/>
  <c r="K75" i="20"/>
  <c r="L75" i="20"/>
  <c r="E76" i="20"/>
  <c r="F76" i="20"/>
  <c r="I76" i="20"/>
  <c r="K76" i="20"/>
  <c r="L76" i="20"/>
  <c r="E77" i="20"/>
  <c r="F77" i="20"/>
  <c r="I77" i="20"/>
  <c r="K77" i="20"/>
  <c r="L77" i="20"/>
  <c r="E78" i="20"/>
  <c r="F78" i="20"/>
  <c r="I78" i="20"/>
  <c r="K78" i="20"/>
  <c r="L78" i="20"/>
  <c r="E79" i="20"/>
  <c r="F79" i="20"/>
  <c r="I79" i="20"/>
  <c r="K79" i="20"/>
  <c r="L79" i="20"/>
  <c r="E80" i="20"/>
  <c r="F80" i="20"/>
  <c r="I80" i="20"/>
  <c r="K80" i="20"/>
  <c r="L80" i="20"/>
  <c r="E81" i="20"/>
  <c r="F81" i="20"/>
  <c r="I81" i="20"/>
  <c r="K81" i="20"/>
  <c r="L81" i="20"/>
  <c r="E82" i="20"/>
  <c r="F82" i="20"/>
  <c r="I82" i="20"/>
  <c r="K82" i="20"/>
  <c r="L82" i="20"/>
  <c r="E83" i="20"/>
  <c r="F83" i="20"/>
  <c r="I83" i="20"/>
  <c r="K83" i="20"/>
  <c r="L83" i="20"/>
  <c r="E84" i="20"/>
  <c r="F84" i="20"/>
  <c r="I84" i="20"/>
  <c r="K84" i="20"/>
  <c r="L84" i="20"/>
  <c r="E85" i="20"/>
  <c r="F85" i="20"/>
  <c r="I85" i="20"/>
  <c r="K85" i="20"/>
  <c r="L85" i="20"/>
  <c r="E86" i="20"/>
  <c r="F86" i="20"/>
  <c r="I86" i="20"/>
  <c r="K86" i="20"/>
  <c r="L86" i="20"/>
  <c r="E87" i="20"/>
  <c r="F87" i="20"/>
  <c r="I87" i="20"/>
  <c r="K87" i="20"/>
  <c r="L87" i="20"/>
  <c r="E88" i="20"/>
  <c r="F88" i="20"/>
  <c r="I88" i="20"/>
  <c r="K88" i="20"/>
  <c r="L88" i="20"/>
  <c r="E89" i="20"/>
  <c r="F89" i="20"/>
  <c r="I89" i="20"/>
  <c r="K89" i="20"/>
  <c r="L89" i="20"/>
  <c r="E90" i="20"/>
  <c r="F90" i="20"/>
  <c r="I90" i="20"/>
  <c r="K90" i="20"/>
  <c r="L90" i="20"/>
  <c r="E91" i="20"/>
  <c r="F91" i="20"/>
  <c r="I91" i="20"/>
  <c r="K91" i="20"/>
  <c r="L91" i="20"/>
  <c r="E92" i="20"/>
  <c r="F92" i="20"/>
  <c r="I92" i="20"/>
  <c r="K92" i="20"/>
  <c r="L92" i="20"/>
  <c r="E93" i="20"/>
  <c r="F93" i="20"/>
  <c r="I93" i="20"/>
  <c r="K93" i="20"/>
  <c r="L93" i="20"/>
  <c r="E94" i="20"/>
  <c r="F94" i="20"/>
  <c r="I94" i="20"/>
  <c r="K94" i="20"/>
  <c r="L94" i="20"/>
  <c r="E95" i="20"/>
  <c r="F95" i="20"/>
  <c r="I95" i="20"/>
  <c r="K95" i="20"/>
  <c r="L95" i="20"/>
  <c r="E96" i="20"/>
  <c r="F96" i="20"/>
  <c r="I96" i="20"/>
  <c r="K96" i="20"/>
  <c r="L96" i="20"/>
  <c r="E97" i="20"/>
  <c r="F97" i="20"/>
  <c r="I97" i="20"/>
  <c r="K97" i="20"/>
  <c r="L97" i="20"/>
  <c r="E98" i="20"/>
  <c r="F98" i="20"/>
  <c r="I98" i="20"/>
  <c r="K98" i="20"/>
  <c r="L98" i="20"/>
  <c r="E99" i="20"/>
  <c r="F99" i="20"/>
  <c r="I99" i="20"/>
  <c r="K99" i="20"/>
  <c r="L99" i="20"/>
  <c r="E100" i="20"/>
  <c r="F100" i="20"/>
  <c r="I100" i="20"/>
  <c r="K100" i="20"/>
  <c r="L100" i="20"/>
  <c r="E101" i="20"/>
  <c r="F101" i="20"/>
  <c r="I101" i="20"/>
  <c r="K101" i="20"/>
  <c r="L101" i="20"/>
  <c r="E102" i="20"/>
  <c r="F102" i="20"/>
  <c r="I102" i="20"/>
  <c r="K102" i="20"/>
  <c r="L102" i="20"/>
  <c r="E103" i="20"/>
  <c r="F103" i="20"/>
  <c r="I103" i="20"/>
  <c r="K103" i="20"/>
  <c r="L103" i="20"/>
  <c r="E104" i="20"/>
  <c r="F104" i="20"/>
  <c r="I104" i="20"/>
  <c r="K104" i="20"/>
  <c r="L104" i="20"/>
  <c r="E105" i="20"/>
  <c r="F105" i="20"/>
  <c r="I105" i="20"/>
  <c r="K105" i="20"/>
  <c r="L105" i="20"/>
  <c r="E106" i="20"/>
  <c r="F106" i="20"/>
  <c r="I106" i="20"/>
  <c r="K106" i="20"/>
  <c r="L106" i="20"/>
  <c r="E107" i="20"/>
  <c r="F107" i="20"/>
  <c r="I107" i="20"/>
  <c r="K107" i="20"/>
  <c r="L107" i="20"/>
  <c r="E108" i="20"/>
  <c r="F108" i="20"/>
  <c r="I108" i="20"/>
  <c r="K108" i="20"/>
  <c r="L108" i="20"/>
  <c r="E109" i="20"/>
  <c r="F109" i="20"/>
  <c r="I109" i="20"/>
  <c r="E110" i="20"/>
  <c r="L2" i="20"/>
  <c r="F2" i="20"/>
  <c r="I2" i="20"/>
  <c r="J2" i="20"/>
  <c r="G2" i="20"/>
  <c r="K2" i="20"/>
  <c r="E2" i="20"/>
  <c r="B354" i="48" l="1"/>
  <c r="J7" i="9"/>
  <c r="B16" i="18" s="1"/>
  <c r="B164" i="40"/>
  <c r="I7" i="9"/>
  <c r="I25" i="9" s="1"/>
  <c r="I38" i="9" s="1"/>
  <c r="B163" i="38"/>
  <c r="I39" i="9"/>
  <c r="I40" i="9"/>
  <c r="I30" i="9"/>
  <c r="G17" i="11"/>
  <c r="P421" i="48" s="1"/>
  <c r="J31" i="9"/>
  <c r="H21" i="11"/>
  <c r="Q425" i="48" s="1"/>
  <c r="I29" i="9"/>
  <c r="I41" i="9" s="1"/>
  <c r="F17" i="11"/>
  <c r="J27" i="9"/>
  <c r="J32" i="9"/>
  <c r="I21" i="11"/>
  <c r="R425" i="48" s="1"/>
  <c r="J26" i="9"/>
  <c r="I32" i="9"/>
  <c r="I17" i="11"/>
  <c r="R421" i="48" s="1"/>
  <c r="J29" i="9"/>
  <c r="F21" i="11"/>
  <c r="I31" i="9"/>
  <c r="H17" i="11"/>
  <c r="Q421" i="48" s="1"/>
  <c r="J30" i="9"/>
  <c r="G21" i="11"/>
  <c r="P425" i="48" s="1"/>
  <c r="J28" i="9"/>
  <c r="B158" i="20"/>
  <c r="H14" i="9" s="1"/>
  <c r="I13" i="11" s="1"/>
  <c r="R417" i="48" s="1"/>
  <c r="B157" i="20"/>
  <c r="H13" i="9" s="1"/>
  <c r="H13" i="11" s="1"/>
  <c r="Q417" i="48" s="1"/>
  <c r="B156" i="20"/>
  <c r="H12" i="9" s="1"/>
  <c r="G13" i="11" s="1"/>
  <c r="P417" i="48" s="1"/>
  <c r="B154" i="20"/>
  <c r="H10" i="9" s="1"/>
  <c r="B153" i="20"/>
  <c r="H9" i="9" s="1"/>
  <c r="B152" i="20"/>
  <c r="H8" i="9" s="1"/>
  <c r="B151" i="20"/>
  <c r="B155" i="20"/>
  <c r="H11" i="9" s="1"/>
  <c r="F13" i="11" s="1"/>
  <c r="P444" i="48" l="1"/>
  <c r="AK492" i="48"/>
  <c r="AL520" i="48"/>
  <c r="AK549" i="48"/>
  <c r="AO549" i="48" s="1"/>
  <c r="AK521" i="48"/>
  <c r="AO521" i="48" s="1"/>
  <c r="AL492" i="48"/>
  <c r="AL521" i="48"/>
  <c r="AK550" i="48"/>
  <c r="AO550" i="48" s="1"/>
  <c r="Q444" i="48"/>
  <c r="B27" i="18"/>
  <c r="B392" i="48" s="1"/>
  <c r="B393" i="48" s="1"/>
  <c r="D347" i="48" s="1"/>
  <c r="B382" i="48"/>
  <c r="AK491" i="48"/>
  <c r="AL491" i="48"/>
  <c r="AK520" i="48"/>
  <c r="AO520" i="48" s="1"/>
  <c r="R444" i="48"/>
  <c r="H40" i="11"/>
  <c r="I40" i="11"/>
  <c r="J25" i="9"/>
  <c r="J38" i="9" s="1"/>
  <c r="J40" i="9"/>
  <c r="H7" i="9"/>
  <c r="G7" i="9" s="1"/>
  <c r="B164" i="20"/>
  <c r="J42" i="9"/>
  <c r="J41" i="9"/>
  <c r="F40" i="11"/>
  <c r="J44" i="9"/>
  <c r="I43" i="9"/>
  <c r="J39" i="9"/>
  <c r="G40" i="11"/>
  <c r="I44" i="9"/>
  <c r="J43" i="9"/>
  <c r="I42" i="9"/>
  <c r="G8" i="9"/>
  <c r="H26" i="9"/>
  <c r="G13" i="9"/>
  <c r="H31" i="9"/>
  <c r="G11" i="9"/>
  <c r="H29" i="9"/>
  <c r="G9" i="9"/>
  <c r="H27" i="9"/>
  <c r="G14" i="9"/>
  <c r="H32" i="9"/>
  <c r="G10" i="9"/>
  <c r="H28" i="9"/>
  <c r="G12" i="9"/>
  <c r="H30" i="9"/>
  <c r="AO492" i="48" l="1"/>
  <c r="AL463" i="48"/>
  <c r="AO491" i="48"/>
  <c r="AL462" i="48"/>
  <c r="D348" i="48"/>
  <c r="E348" i="48" s="1"/>
  <c r="E359" i="48" s="1"/>
  <c r="H359" i="48" s="1"/>
  <c r="E347" i="48"/>
  <c r="AP491" i="48"/>
  <c r="AK499" i="48"/>
  <c r="AK529" i="48"/>
  <c r="AP521" i="48"/>
  <c r="AO529" i="48" s="1"/>
  <c r="AP520" i="48"/>
  <c r="AO528" i="48" s="1"/>
  <c r="AK528" i="48"/>
  <c r="AP492" i="48"/>
  <c r="AO500" i="48" s="1"/>
  <c r="AK500" i="48"/>
  <c r="H25" i="9"/>
  <c r="H38" i="9" s="1"/>
  <c r="H40" i="9"/>
  <c r="H44" i="9"/>
  <c r="H41" i="9"/>
  <c r="F8" i="11"/>
  <c r="F45" i="11"/>
  <c r="F50" i="11" s="1"/>
  <c r="G45" i="11"/>
  <c r="G50" i="11" s="1"/>
  <c r="G8" i="11"/>
  <c r="H45" i="11"/>
  <c r="H50" i="11" s="1"/>
  <c r="H8" i="11"/>
  <c r="I8" i="11"/>
  <c r="I45" i="11"/>
  <c r="I50" i="11" s="1"/>
  <c r="H42" i="9"/>
  <c r="H39" i="9"/>
  <c r="H43" i="9"/>
  <c r="M3" i="19"/>
  <c r="M4" i="19"/>
  <c r="M5" i="19"/>
  <c r="M6" i="19"/>
  <c r="M7" i="19"/>
  <c r="M8" i="19"/>
  <c r="M9" i="19"/>
  <c r="M10" i="19"/>
  <c r="M11" i="19"/>
  <c r="M12" i="19"/>
  <c r="M13" i="19"/>
  <c r="M14" i="19"/>
  <c r="M15" i="19"/>
  <c r="M16" i="19"/>
  <c r="M17" i="19"/>
  <c r="M18" i="19"/>
  <c r="M19" i="19"/>
  <c r="M20" i="19"/>
  <c r="M21" i="19"/>
  <c r="M22" i="19"/>
  <c r="M23" i="19"/>
  <c r="M24" i="19"/>
  <c r="M25" i="19"/>
  <c r="M26" i="19"/>
  <c r="M27" i="19"/>
  <c r="M28" i="19"/>
  <c r="M29" i="19"/>
  <c r="M30" i="19"/>
  <c r="M31" i="19"/>
  <c r="M32" i="19"/>
  <c r="M33" i="19"/>
  <c r="M34" i="19"/>
  <c r="M35" i="19"/>
  <c r="M36" i="19"/>
  <c r="M37" i="19"/>
  <c r="M38" i="19"/>
  <c r="M39" i="19"/>
  <c r="M40" i="19"/>
  <c r="M41" i="19"/>
  <c r="M42" i="19"/>
  <c r="M43" i="19"/>
  <c r="M44" i="19"/>
  <c r="M45" i="19"/>
  <c r="M46" i="19"/>
  <c r="M47" i="19"/>
  <c r="M48" i="19"/>
  <c r="M49" i="19"/>
  <c r="M50" i="19"/>
  <c r="M51" i="19"/>
  <c r="M52" i="19"/>
  <c r="M53" i="19"/>
  <c r="M54" i="19"/>
  <c r="M55" i="19"/>
  <c r="M56" i="19"/>
  <c r="M57" i="19"/>
  <c r="M58" i="19"/>
  <c r="M59" i="19"/>
  <c r="M60" i="19"/>
  <c r="M61" i="19"/>
  <c r="M62" i="19"/>
  <c r="M63" i="19"/>
  <c r="M64" i="19"/>
  <c r="M65" i="19"/>
  <c r="M66" i="19"/>
  <c r="M67" i="19"/>
  <c r="M68" i="19"/>
  <c r="M69" i="19"/>
  <c r="M70" i="19"/>
  <c r="M71" i="19"/>
  <c r="M72" i="19"/>
  <c r="M73" i="19"/>
  <c r="M74" i="19"/>
  <c r="M75" i="19"/>
  <c r="M76" i="19"/>
  <c r="M77" i="19"/>
  <c r="M78" i="19"/>
  <c r="M79" i="19"/>
  <c r="M80" i="19"/>
  <c r="M81" i="19"/>
  <c r="M82" i="19"/>
  <c r="M83" i="19"/>
  <c r="M84" i="19"/>
  <c r="M85" i="19"/>
  <c r="M86" i="19"/>
  <c r="M87" i="19"/>
  <c r="M88" i="19"/>
  <c r="M89" i="19"/>
  <c r="M90" i="19"/>
  <c r="M91" i="19"/>
  <c r="M92" i="19"/>
  <c r="M93" i="19"/>
  <c r="M94" i="19"/>
  <c r="M95" i="19"/>
  <c r="M96" i="19"/>
  <c r="M97" i="19"/>
  <c r="M98" i="19"/>
  <c r="M99" i="19"/>
  <c r="M100" i="19"/>
  <c r="M101" i="19"/>
  <c r="M102" i="19"/>
  <c r="M103" i="19"/>
  <c r="M104" i="19"/>
  <c r="M105" i="19"/>
  <c r="M106" i="19"/>
  <c r="M107" i="19"/>
  <c r="M108" i="19"/>
  <c r="M109" i="19"/>
  <c r="M110" i="19"/>
  <c r="M111" i="19"/>
  <c r="M112" i="19"/>
  <c r="M113" i="19"/>
  <c r="M114" i="19"/>
  <c r="M115" i="19"/>
  <c r="M116" i="19"/>
  <c r="M117" i="19"/>
  <c r="M118" i="19"/>
  <c r="M119" i="19"/>
  <c r="M120" i="19"/>
  <c r="M121" i="19"/>
  <c r="M122" i="19"/>
  <c r="M123" i="19"/>
  <c r="M124" i="19"/>
  <c r="M125" i="19"/>
  <c r="M126" i="19"/>
  <c r="M127" i="19"/>
  <c r="M128" i="19"/>
  <c r="M129" i="19"/>
  <c r="M130" i="19"/>
  <c r="M131" i="19"/>
  <c r="M132" i="19"/>
  <c r="M133" i="19"/>
  <c r="M134" i="19"/>
  <c r="AO499" i="48" l="1"/>
  <c r="AK470" i="48"/>
  <c r="AP462" i="48"/>
  <c r="AO470" i="48" s="1"/>
  <c r="AP463" i="48"/>
  <c r="AO471" i="48" s="1"/>
  <c r="AK471" i="48"/>
  <c r="B34" i="48"/>
  <c r="I178" i="48" s="1"/>
  <c r="P412" i="48"/>
  <c r="B36" i="48"/>
  <c r="I180" i="48" s="1"/>
  <c r="R412" i="48"/>
  <c r="B35" i="48"/>
  <c r="I179" i="48" s="1"/>
  <c r="Q412" i="48"/>
  <c r="B33" i="48"/>
  <c r="I177" i="48" s="1"/>
  <c r="G110" i="40"/>
  <c r="K110" i="38"/>
  <c r="I110" i="20"/>
  <c r="H131" i="40"/>
  <c r="I131" i="38"/>
  <c r="J131" i="20"/>
  <c r="H123" i="40"/>
  <c r="I123" i="38"/>
  <c r="J123" i="20"/>
  <c r="H119" i="40"/>
  <c r="I119" i="38"/>
  <c r="J119" i="20"/>
  <c r="H111" i="40"/>
  <c r="I111" i="38"/>
  <c r="J111" i="20"/>
  <c r="I103" i="38"/>
  <c r="H103" i="40"/>
  <c r="J103" i="20"/>
  <c r="I95" i="38"/>
  <c r="H95" i="40"/>
  <c r="J95" i="20"/>
  <c r="I87" i="38"/>
  <c r="H87" i="40"/>
  <c r="J87" i="20"/>
  <c r="H79" i="40"/>
  <c r="I79" i="38"/>
  <c r="J79" i="20"/>
  <c r="H71" i="40"/>
  <c r="I71" i="38"/>
  <c r="J71" i="20"/>
  <c r="H63" i="40"/>
  <c r="I63" i="38"/>
  <c r="J63" i="20"/>
  <c r="H55" i="40"/>
  <c r="I55" i="38"/>
  <c r="J55" i="20"/>
  <c r="H47" i="40"/>
  <c r="I47" i="38"/>
  <c r="J47" i="20"/>
  <c r="H39" i="40"/>
  <c r="I39" i="38"/>
  <c r="J39" i="20"/>
  <c r="H27" i="40"/>
  <c r="I27" i="38"/>
  <c r="J27" i="20"/>
  <c r="H19" i="40"/>
  <c r="I19" i="38"/>
  <c r="J19" i="20"/>
  <c r="H11" i="40"/>
  <c r="I11" i="38"/>
  <c r="J11" i="20"/>
  <c r="H3" i="40"/>
  <c r="I3" i="38"/>
  <c r="J3" i="20"/>
  <c r="H134" i="40"/>
  <c r="I134" i="38"/>
  <c r="J134" i="20"/>
  <c r="H126" i="40"/>
  <c r="I126" i="38"/>
  <c r="J126" i="20"/>
  <c r="H118" i="40"/>
  <c r="I118" i="38"/>
  <c r="J118" i="20"/>
  <c r="H114" i="40"/>
  <c r="I114" i="38"/>
  <c r="J114" i="20"/>
  <c r="I106" i="38"/>
  <c r="H106" i="40"/>
  <c r="J106" i="20"/>
  <c r="I102" i="38"/>
  <c r="H102" i="40"/>
  <c r="J102" i="20"/>
  <c r="I94" i="38"/>
  <c r="H94" i="40"/>
  <c r="J94" i="20"/>
  <c r="H82" i="40"/>
  <c r="I82" i="38"/>
  <c r="J82" i="20"/>
  <c r="H74" i="40"/>
  <c r="I74" i="38"/>
  <c r="J74" i="20"/>
  <c r="H66" i="40"/>
  <c r="I66" i="38"/>
  <c r="J66" i="20"/>
  <c r="H58" i="40"/>
  <c r="I58" i="38"/>
  <c r="J58" i="20"/>
  <c r="H50" i="40"/>
  <c r="I50" i="38"/>
  <c r="J50" i="20"/>
  <c r="H42" i="40"/>
  <c r="I42" i="38"/>
  <c r="J42" i="20"/>
  <c r="H38" i="40"/>
  <c r="I38" i="38"/>
  <c r="J38" i="20"/>
  <c r="H30" i="40"/>
  <c r="I30" i="38"/>
  <c r="J30" i="20"/>
  <c r="H22" i="40"/>
  <c r="I22" i="38"/>
  <c r="J22" i="20"/>
  <c r="H14" i="40"/>
  <c r="I14" i="38"/>
  <c r="J14" i="20"/>
  <c r="H6" i="40"/>
  <c r="I6" i="38"/>
  <c r="J6" i="20"/>
  <c r="H133" i="40"/>
  <c r="I133" i="38"/>
  <c r="J133" i="20"/>
  <c r="H129" i="40"/>
  <c r="I129" i="38"/>
  <c r="J129" i="20"/>
  <c r="H125" i="40"/>
  <c r="I125" i="38"/>
  <c r="J125" i="20"/>
  <c r="H121" i="40"/>
  <c r="I121" i="38"/>
  <c r="J121" i="20"/>
  <c r="H117" i="40"/>
  <c r="I117" i="38"/>
  <c r="J117" i="20"/>
  <c r="H113" i="40"/>
  <c r="I113" i="38"/>
  <c r="J113" i="20"/>
  <c r="I109" i="38"/>
  <c r="H109" i="40"/>
  <c r="J109" i="20"/>
  <c r="I105" i="38"/>
  <c r="H105" i="40"/>
  <c r="J105" i="20"/>
  <c r="I101" i="38"/>
  <c r="H101" i="40"/>
  <c r="J101" i="20"/>
  <c r="I97" i="38"/>
  <c r="H97" i="40"/>
  <c r="J97" i="20"/>
  <c r="I93" i="38"/>
  <c r="H93" i="40"/>
  <c r="J93" i="20"/>
  <c r="I89" i="38"/>
  <c r="H89" i="40"/>
  <c r="J89" i="20"/>
  <c r="I85" i="38"/>
  <c r="H85" i="40"/>
  <c r="J85" i="20"/>
  <c r="H81" i="40"/>
  <c r="I81" i="38"/>
  <c r="J81" i="20"/>
  <c r="H77" i="40"/>
  <c r="I77" i="38"/>
  <c r="J77" i="20"/>
  <c r="H73" i="40"/>
  <c r="I73" i="38"/>
  <c r="J73" i="20"/>
  <c r="H69" i="40"/>
  <c r="I69" i="38"/>
  <c r="J69" i="20"/>
  <c r="H65" i="40"/>
  <c r="I65" i="38"/>
  <c r="J65" i="20"/>
  <c r="H61" i="40"/>
  <c r="I61" i="38"/>
  <c r="J61" i="20"/>
  <c r="H57" i="40"/>
  <c r="I57" i="38"/>
  <c r="J57" i="20"/>
  <c r="H53" i="40"/>
  <c r="I53" i="38"/>
  <c r="J53" i="20"/>
  <c r="H49" i="40"/>
  <c r="I49" i="38"/>
  <c r="J49" i="20"/>
  <c r="H45" i="40"/>
  <c r="I45" i="38"/>
  <c r="J45" i="20"/>
  <c r="H41" i="40"/>
  <c r="I41" i="38"/>
  <c r="J41" i="20"/>
  <c r="H37" i="40"/>
  <c r="I37" i="38"/>
  <c r="J37" i="20"/>
  <c r="H33" i="40"/>
  <c r="I33" i="38"/>
  <c r="J33" i="20"/>
  <c r="H29" i="40"/>
  <c r="I29" i="38"/>
  <c r="J29" i="20"/>
  <c r="H25" i="40"/>
  <c r="I25" i="38"/>
  <c r="J25" i="20"/>
  <c r="H21" i="40"/>
  <c r="I21" i="38"/>
  <c r="J21" i="20"/>
  <c r="H17" i="40"/>
  <c r="I17" i="38"/>
  <c r="J17" i="20"/>
  <c r="H13" i="40"/>
  <c r="I13" i="38"/>
  <c r="J13" i="20"/>
  <c r="H9" i="40"/>
  <c r="I9" i="38"/>
  <c r="J9" i="20"/>
  <c r="H5" i="40"/>
  <c r="I5" i="38"/>
  <c r="J5" i="20"/>
  <c r="H127" i="40"/>
  <c r="I127" i="38"/>
  <c r="J127" i="20"/>
  <c r="H115" i="40"/>
  <c r="I115" i="38"/>
  <c r="J115" i="20"/>
  <c r="I107" i="38"/>
  <c r="H107" i="40"/>
  <c r="J107" i="20"/>
  <c r="I99" i="38"/>
  <c r="H99" i="40"/>
  <c r="J99" i="20"/>
  <c r="I91" i="38"/>
  <c r="H91" i="40"/>
  <c r="J91" i="20"/>
  <c r="I83" i="38"/>
  <c r="H83" i="40"/>
  <c r="J83" i="20"/>
  <c r="H75" i="40"/>
  <c r="I75" i="38"/>
  <c r="J75" i="20"/>
  <c r="H67" i="40"/>
  <c r="I67" i="38"/>
  <c r="J67" i="20"/>
  <c r="H59" i="40"/>
  <c r="I59" i="38"/>
  <c r="J59" i="20"/>
  <c r="H51" i="40"/>
  <c r="I51" i="38"/>
  <c r="J51" i="20"/>
  <c r="H43" i="40"/>
  <c r="I43" i="38"/>
  <c r="J43" i="20"/>
  <c r="H35" i="40"/>
  <c r="I35" i="38"/>
  <c r="J35" i="20"/>
  <c r="H31" i="40"/>
  <c r="I31" i="38"/>
  <c r="J31" i="20"/>
  <c r="H23" i="40"/>
  <c r="I23" i="38"/>
  <c r="J23" i="20"/>
  <c r="H15" i="40"/>
  <c r="I15" i="38"/>
  <c r="J15" i="20"/>
  <c r="H7" i="40"/>
  <c r="I7" i="38"/>
  <c r="J7" i="20"/>
  <c r="H130" i="40"/>
  <c r="I130" i="38"/>
  <c r="J130" i="20"/>
  <c r="H122" i="40"/>
  <c r="I122" i="38"/>
  <c r="J122" i="20"/>
  <c r="H110" i="40"/>
  <c r="I110" i="38"/>
  <c r="J110" i="20"/>
  <c r="I98" i="38"/>
  <c r="H98" i="40"/>
  <c r="J98" i="20"/>
  <c r="I90" i="38"/>
  <c r="H90" i="40"/>
  <c r="J90" i="20"/>
  <c r="I86" i="38"/>
  <c r="H86" i="40"/>
  <c r="J86" i="20"/>
  <c r="H78" i="40"/>
  <c r="I78" i="38"/>
  <c r="J78" i="20"/>
  <c r="H70" i="40"/>
  <c r="I70" i="38"/>
  <c r="J70" i="20"/>
  <c r="H62" i="40"/>
  <c r="I62" i="38"/>
  <c r="J62" i="20"/>
  <c r="H54" i="40"/>
  <c r="I54" i="38"/>
  <c r="J54" i="20"/>
  <c r="H46" i="40"/>
  <c r="I46" i="38"/>
  <c r="J46" i="20"/>
  <c r="H34" i="40"/>
  <c r="I34" i="38"/>
  <c r="J34" i="20"/>
  <c r="H26" i="40"/>
  <c r="I26" i="38"/>
  <c r="J26" i="20"/>
  <c r="H18" i="40"/>
  <c r="I18" i="38"/>
  <c r="J18" i="20"/>
  <c r="H10" i="40"/>
  <c r="I10" i="38"/>
  <c r="J10" i="20"/>
  <c r="H132" i="40"/>
  <c r="I132" i="38"/>
  <c r="J132" i="20"/>
  <c r="H128" i="40"/>
  <c r="I128" i="38"/>
  <c r="J128" i="20"/>
  <c r="H124" i="40"/>
  <c r="I124" i="38"/>
  <c r="J124" i="20"/>
  <c r="H120" i="40"/>
  <c r="I120" i="38"/>
  <c r="J120" i="20"/>
  <c r="H116" i="40"/>
  <c r="I116" i="38"/>
  <c r="J116" i="20"/>
  <c r="H112" i="40"/>
  <c r="I112" i="38"/>
  <c r="J112" i="20"/>
  <c r="I108" i="38"/>
  <c r="H108" i="40"/>
  <c r="J108" i="20"/>
  <c r="I104" i="38"/>
  <c r="H104" i="40"/>
  <c r="J104" i="20"/>
  <c r="I100" i="38"/>
  <c r="H100" i="40"/>
  <c r="J100" i="20"/>
  <c r="I96" i="38"/>
  <c r="H96" i="40"/>
  <c r="J96" i="20"/>
  <c r="I92" i="38"/>
  <c r="H92" i="40"/>
  <c r="J92" i="20"/>
  <c r="I88" i="38"/>
  <c r="H88" i="40"/>
  <c r="J88" i="20"/>
  <c r="I84" i="38"/>
  <c r="H84" i="40"/>
  <c r="J84" i="20"/>
  <c r="H80" i="40"/>
  <c r="I80" i="38"/>
  <c r="J80" i="20"/>
  <c r="H76" i="40"/>
  <c r="I76" i="38"/>
  <c r="J76" i="20"/>
  <c r="H72" i="40"/>
  <c r="I72" i="38"/>
  <c r="J72" i="20"/>
  <c r="H68" i="40"/>
  <c r="I68" i="38"/>
  <c r="J68" i="20"/>
  <c r="H64" i="40"/>
  <c r="I64" i="38"/>
  <c r="J64" i="20"/>
  <c r="H60" i="40"/>
  <c r="I60" i="38"/>
  <c r="J60" i="20"/>
  <c r="H56" i="40"/>
  <c r="I56" i="38"/>
  <c r="J56" i="20"/>
  <c r="H52" i="40"/>
  <c r="I52" i="38"/>
  <c r="J52" i="20"/>
  <c r="H48" i="40"/>
  <c r="I48" i="38"/>
  <c r="J48" i="20"/>
  <c r="H44" i="40"/>
  <c r="I44" i="38"/>
  <c r="J44" i="20"/>
  <c r="H40" i="40"/>
  <c r="I40" i="38"/>
  <c r="J40" i="20"/>
  <c r="H36" i="40"/>
  <c r="I36" i="38"/>
  <c r="J36" i="20"/>
  <c r="H32" i="40"/>
  <c r="I32" i="38"/>
  <c r="J32" i="20"/>
  <c r="H28" i="40"/>
  <c r="I28" i="38"/>
  <c r="J28" i="20"/>
  <c r="H24" i="40"/>
  <c r="I24" i="38"/>
  <c r="J24" i="20"/>
  <c r="H20" i="40"/>
  <c r="I20" i="38"/>
  <c r="J20" i="20"/>
  <c r="H16" i="40"/>
  <c r="I16" i="38"/>
  <c r="J16" i="20"/>
  <c r="H12" i="40"/>
  <c r="I12" i="38"/>
  <c r="J12" i="20"/>
  <c r="H8" i="40"/>
  <c r="I8" i="38"/>
  <c r="J8" i="20"/>
  <c r="H4" i="40"/>
  <c r="I4" i="38"/>
  <c r="J4" i="20"/>
  <c r="C35" i="48" l="1"/>
  <c r="C36" i="48"/>
  <c r="C34" i="48"/>
  <c r="G111" i="40"/>
  <c r="K111" i="38"/>
  <c r="I111" i="20"/>
  <c r="N207" i="40"/>
  <c r="O219" i="40" s="1"/>
  <c r="N205" i="38" l="1"/>
  <c r="O217" i="38" s="1"/>
  <c r="N208" i="40"/>
  <c r="O220" i="40" s="1"/>
  <c r="N206" i="40"/>
  <c r="O218" i="40" s="1"/>
  <c r="N205" i="40"/>
  <c r="O217" i="40" s="1"/>
  <c r="N206" i="38"/>
  <c r="O218" i="38" s="1"/>
  <c r="N207" i="38"/>
  <c r="O219" i="38" s="1"/>
  <c r="G113" i="40"/>
  <c r="K113" i="38"/>
  <c r="I113" i="20"/>
  <c r="N204" i="38"/>
  <c r="O216" i="38" s="1"/>
  <c r="K112" i="38"/>
  <c r="G112" i="40"/>
  <c r="I112" i="20"/>
  <c r="G114" i="40" l="1"/>
  <c r="K114" i="38"/>
  <c r="I114" i="20"/>
  <c r="G115" i="40" l="1"/>
  <c r="K115" i="38"/>
  <c r="I115" i="20"/>
  <c r="K116" i="38" l="1"/>
  <c r="G116" i="40"/>
  <c r="I116" i="20"/>
  <c r="K117" i="38" l="1"/>
  <c r="G117" i="40"/>
  <c r="I117" i="20"/>
  <c r="G118" i="40" l="1"/>
  <c r="K118" i="38"/>
  <c r="I118" i="20"/>
  <c r="G119" i="40" l="1"/>
  <c r="K119" i="38"/>
  <c r="I119" i="20"/>
  <c r="K120" i="38" l="1"/>
  <c r="G120" i="40"/>
  <c r="I120" i="20"/>
  <c r="K121" i="38" l="1"/>
  <c r="I121" i="20"/>
  <c r="K122" i="38" l="1"/>
  <c r="I122" i="20"/>
  <c r="K123" i="38" l="1"/>
  <c r="I123" i="20"/>
  <c r="K124" i="38" l="1"/>
  <c r="I124" i="20"/>
  <c r="K125" i="38" l="1"/>
  <c r="I125" i="20"/>
  <c r="K126" i="38" l="1"/>
  <c r="I126" i="20"/>
  <c r="K127" i="38" l="1"/>
  <c r="I127" i="20"/>
  <c r="K128" i="38" l="1"/>
  <c r="I128" i="20"/>
  <c r="K129" i="38" l="1"/>
  <c r="I129" i="20"/>
  <c r="K130" i="38" l="1"/>
  <c r="I130" i="20"/>
  <c r="K131" i="38" l="1"/>
  <c r="I131" i="20"/>
  <c r="K132" i="38" l="1"/>
  <c r="I132" i="20"/>
  <c r="K133" i="38" l="1"/>
  <c r="I133" i="20"/>
  <c r="K134" i="38" l="1"/>
  <c r="I134" i="20"/>
  <c r="H28" i="19" l="1"/>
  <c r="Q28" i="19" s="1"/>
  <c r="H29" i="19"/>
  <c r="Q29" i="19" s="1"/>
  <c r="H30" i="19"/>
  <c r="Q30" i="19" s="1"/>
  <c r="H31" i="19"/>
  <c r="Q31" i="19" s="1"/>
  <c r="H32" i="19"/>
  <c r="Q32" i="19" s="1"/>
  <c r="H33" i="19"/>
  <c r="Q33" i="19" s="1"/>
  <c r="H34" i="19"/>
  <c r="Q34" i="19" s="1"/>
  <c r="H35" i="19"/>
  <c r="Q35" i="19" s="1"/>
  <c r="H36" i="19"/>
  <c r="Q36" i="19" s="1"/>
  <c r="H37" i="19"/>
  <c r="Q37" i="19" s="1"/>
  <c r="H38" i="19"/>
  <c r="Q38" i="19" s="1"/>
  <c r="H27" i="19"/>
  <c r="Q27" i="19" s="1"/>
  <c r="H16" i="19"/>
  <c r="Q16" i="19" s="1"/>
  <c r="H17" i="19"/>
  <c r="Q17" i="19" s="1"/>
  <c r="H18" i="19"/>
  <c r="Q18" i="19" s="1"/>
  <c r="H19" i="19"/>
  <c r="Q19" i="19" s="1"/>
  <c r="H20" i="19"/>
  <c r="Q20" i="19" s="1"/>
  <c r="H21" i="19"/>
  <c r="Q21" i="19" s="1"/>
  <c r="H22" i="19"/>
  <c r="Q22" i="19" s="1"/>
  <c r="H23" i="19"/>
  <c r="Q23" i="19" s="1"/>
  <c r="H24" i="19"/>
  <c r="Q24" i="19" s="1"/>
  <c r="H25" i="19"/>
  <c r="Q25" i="19" s="1"/>
  <c r="H26" i="19"/>
  <c r="Q26" i="19" s="1"/>
  <c r="H15" i="19"/>
  <c r="Q15" i="19" s="1"/>
  <c r="H4" i="19"/>
  <c r="Q4" i="19" s="1"/>
  <c r="H5" i="19"/>
  <c r="Q5" i="19" s="1"/>
  <c r="H6" i="19"/>
  <c r="Q6" i="19" s="1"/>
  <c r="H7" i="19"/>
  <c r="Q7" i="19" s="1"/>
  <c r="H8" i="19"/>
  <c r="Q8" i="19" s="1"/>
  <c r="H9" i="19"/>
  <c r="Q9" i="19" s="1"/>
  <c r="H10" i="19"/>
  <c r="Q10" i="19" s="1"/>
  <c r="H11" i="19"/>
  <c r="Q11" i="19" s="1"/>
  <c r="H12" i="19"/>
  <c r="Q12" i="19" s="1"/>
  <c r="H13" i="19"/>
  <c r="Q13" i="19" s="1"/>
  <c r="H14" i="19"/>
  <c r="Q14" i="19" s="1"/>
  <c r="H3" i="19"/>
  <c r="Q3" i="19" s="1"/>
  <c r="H110" i="19"/>
  <c r="Q110" i="19" s="1"/>
  <c r="H109" i="19"/>
  <c r="Q109" i="19" s="1"/>
  <c r="H107" i="19"/>
  <c r="Q107" i="19" s="1"/>
  <c r="H103" i="19"/>
  <c r="Q103" i="19" s="1"/>
  <c r="D103" i="40" l="1"/>
  <c r="D103" i="38"/>
  <c r="D109" i="40"/>
  <c r="D109" i="38"/>
  <c r="D107" i="40"/>
  <c r="D107" i="38"/>
  <c r="D110" i="40"/>
  <c r="D110" i="38"/>
  <c r="H69" i="19"/>
  <c r="H65" i="19"/>
  <c r="Q65" i="19" s="1"/>
  <c r="H51" i="19"/>
  <c r="Q51" i="19" s="1"/>
  <c r="H59" i="19"/>
  <c r="Q59" i="19" s="1"/>
  <c r="H67" i="19"/>
  <c r="H83" i="19"/>
  <c r="Q83" i="19" s="1"/>
  <c r="H87" i="19"/>
  <c r="Q87" i="19" s="1"/>
  <c r="H91" i="19"/>
  <c r="Q91" i="19" s="1"/>
  <c r="H95" i="19"/>
  <c r="H101" i="19"/>
  <c r="Q101" i="19" s="1"/>
  <c r="C71" i="38"/>
  <c r="H41" i="19"/>
  <c r="Q41" i="19" s="1"/>
  <c r="C64" i="40"/>
  <c r="H64" i="19"/>
  <c r="Q64" i="19" s="1"/>
  <c r="H68" i="19"/>
  <c r="Q68" i="19" s="1"/>
  <c r="C76" i="40"/>
  <c r="H80" i="19"/>
  <c r="Q80" i="19" s="1"/>
  <c r="H84" i="19"/>
  <c r="C92" i="38"/>
  <c r="C96" i="38"/>
  <c r="H88" i="19"/>
  <c r="H92" i="19"/>
  <c r="H96" i="19"/>
  <c r="H106" i="19"/>
  <c r="Q106" i="19" s="1"/>
  <c r="H45" i="19"/>
  <c r="Q45" i="19" s="1"/>
  <c r="H42" i="19"/>
  <c r="Q42" i="19" s="1"/>
  <c r="H46" i="19"/>
  <c r="Q46" i="19" s="1"/>
  <c r="H50" i="19"/>
  <c r="Q50" i="19" s="1"/>
  <c r="C57" i="20"/>
  <c r="H53" i="19"/>
  <c r="Q53" i="19" s="1"/>
  <c r="C69" i="20"/>
  <c r="H73" i="19"/>
  <c r="Q73" i="19" s="1"/>
  <c r="C81" i="20"/>
  <c r="H81" i="19"/>
  <c r="Q81" i="19" s="1"/>
  <c r="H85" i="19"/>
  <c r="Q85" i="19" s="1"/>
  <c r="C89" i="38"/>
  <c r="C93" i="38"/>
  <c r="C97" i="38"/>
  <c r="H89" i="19"/>
  <c r="H93" i="19"/>
  <c r="Q93" i="19" s="1"/>
  <c r="C79" i="20"/>
  <c r="H61" i="19"/>
  <c r="Q61" i="19" s="1"/>
  <c r="H77" i="19"/>
  <c r="Q77" i="19" s="1"/>
  <c r="H44" i="19"/>
  <c r="Q44" i="19" s="1"/>
  <c r="H55" i="19"/>
  <c r="Q55" i="19" s="1"/>
  <c r="H63" i="19"/>
  <c r="Q63" i="19" s="1"/>
  <c r="H71" i="19"/>
  <c r="H75" i="19"/>
  <c r="Q75" i="19" s="1"/>
  <c r="H79" i="19"/>
  <c r="Q79" i="19" s="1"/>
  <c r="C91" i="38"/>
  <c r="H105" i="19"/>
  <c r="Q105" i="19" s="1"/>
  <c r="C72" i="38"/>
  <c r="H72" i="19"/>
  <c r="Q72" i="19" s="1"/>
  <c r="H76" i="19"/>
  <c r="Q76" i="19" s="1"/>
  <c r="H102" i="19"/>
  <c r="Q102" i="19" s="1"/>
  <c r="U21" i="24"/>
  <c r="W21" i="24"/>
  <c r="H54" i="19"/>
  <c r="Q54" i="19" s="1"/>
  <c r="H58" i="19"/>
  <c r="Q58" i="19" s="1"/>
  <c r="H62" i="19"/>
  <c r="H66" i="19"/>
  <c r="Q66" i="19" s="1"/>
  <c r="H70" i="19"/>
  <c r="Q70" i="19" s="1"/>
  <c r="H74" i="19"/>
  <c r="Q74" i="19" s="1"/>
  <c r="H78" i="19"/>
  <c r="Q78" i="19" s="1"/>
  <c r="H82" i="19"/>
  <c r="Q82" i="19" s="1"/>
  <c r="H86" i="19"/>
  <c r="C90" i="38"/>
  <c r="C94" i="38"/>
  <c r="C98" i="38"/>
  <c r="H90" i="19"/>
  <c r="H94" i="19"/>
  <c r="H98" i="19"/>
  <c r="Q98" i="19" s="1"/>
  <c r="H100" i="19"/>
  <c r="Q100" i="19" s="1"/>
  <c r="H104" i="19"/>
  <c r="Q104" i="19" s="1"/>
  <c r="H108" i="19"/>
  <c r="Q108" i="19" s="1"/>
  <c r="C95" i="38"/>
  <c r="H57" i="19"/>
  <c r="Q57" i="19" s="1"/>
  <c r="H97" i="19"/>
  <c r="C11" i="38"/>
  <c r="C11" i="40"/>
  <c r="C11" i="20"/>
  <c r="C23" i="40"/>
  <c r="C23" i="38"/>
  <c r="C23" i="20"/>
  <c r="C35" i="40"/>
  <c r="C35" i="38"/>
  <c r="C35" i="20"/>
  <c r="D10" i="40"/>
  <c r="D10" i="38"/>
  <c r="D10" i="20"/>
  <c r="D26" i="40"/>
  <c r="D26" i="38"/>
  <c r="D26" i="20"/>
  <c r="D38" i="40"/>
  <c r="D38" i="38"/>
  <c r="D38" i="20"/>
  <c r="C13" i="40"/>
  <c r="C13" i="38"/>
  <c r="C13" i="20"/>
  <c r="C9" i="40"/>
  <c r="C9" i="38"/>
  <c r="C9" i="20"/>
  <c r="C5" i="40"/>
  <c r="C5" i="38"/>
  <c r="C5" i="20"/>
  <c r="C25" i="40"/>
  <c r="C25" i="38"/>
  <c r="C25" i="20"/>
  <c r="C21" i="40"/>
  <c r="C21" i="38"/>
  <c r="C21" i="20"/>
  <c r="C17" i="40"/>
  <c r="C17" i="38"/>
  <c r="C17" i="20"/>
  <c r="C37" i="40"/>
  <c r="C37" i="38"/>
  <c r="C37" i="20"/>
  <c r="C33" i="40"/>
  <c r="C33" i="38"/>
  <c r="C33" i="20"/>
  <c r="C29" i="40"/>
  <c r="C29" i="38"/>
  <c r="C29" i="20"/>
  <c r="D12" i="40"/>
  <c r="D12" i="38"/>
  <c r="D12" i="20"/>
  <c r="D8" i="38"/>
  <c r="D8" i="40"/>
  <c r="D8" i="20"/>
  <c r="D4" i="40"/>
  <c r="D4" i="38"/>
  <c r="D4" i="20"/>
  <c r="D24" i="40"/>
  <c r="D24" i="38"/>
  <c r="D24" i="20"/>
  <c r="D20" i="40"/>
  <c r="D20" i="38"/>
  <c r="D20" i="20"/>
  <c r="D16" i="40"/>
  <c r="D16" i="38"/>
  <c r="D16" i="20"/>
  <c r="D36" i="40"/>
  <c r="D36" i="38"/>
  <c r="D36" i="20"/>
  <c r="D32" i="40"/>
  <c r="D32" i="38"/>
  <c r="D32" i="20"/>
  <c r="D28" i="40"/>
  <c r="D28" i="38"/>
  <c r="D28" i="20"/>
  <c r="C3" i="40"/>
  <c r="C3" i="38"/>
  <c r="C3" i="20"/>
  <c r="C15" i="40"/>
  <c r="C15" i="38"/>
  <c r="C15" i="20"/>
  <c r="C27" i="38"/>
  <c r="C27" i="40"/>
  <c r="C27" i="20"/>
  <c r="D14" i="40"/>
  <c r="D14" i="38"/>
  <c r="D14" i="20"/>
  <c r="D22" i="40"/>
  <c r="D22" i="38"/>
  <c r="D22" i="20"/>
  <c r="D30" i="40"/>
  <c r="D30" i="38"/>
  <c r="D30" i="20"/>
  <c r="C12" i="40"/>
  <c r="C12" i="38"/>
  <c r="C12" i="20"/>
  <c r="C8" i="40"/>
  <c r="C8" i="38"/>
  <c r="C8" i="20"/>
  <c r="C4" i="40"/>
  <c r="C4" i="38"/>
  <c r="C4" i="20"/>
  <c r="C24" i="40"/>
  <c r="C24" i="38"/>
  <c r="C24" i="20"/>
  <c r="C20" i="40"/>
  <c r="C20" i="38"/>
  <c r="C20" i="20"/>
  <c r="C16" i="40"/>
  <c r="C16" i="38"/>
  <c r="C16" i="20"/>
  <c r="C36" i="40"/>
  <c r="C36" i="38"/>
  <c r="C36" i="20"/>
  <c r="C32" i="40"/>
  <c r="C32" i="38"/>
  <c r="C32" i="20"/>
  <c r="C28" i="40"/>
  <c r="C28" i="38"/>
  <c r="C28" i="20"/>
  <c r="D3" i="40"/>
  <c r="D3" i="38"/>
  <c r="D3" i="20"/>
  <c r="D11" i="40"/>
  <c r="D11" i="38"/>
  <c r="D11" i="20"/>
  <c r="D7" i="40"/>
  <c r="D7" i="38"/>
  <c r="D7" i="20"/>
  <c r="D15" i="40"/>
  <c r="D15" i="38"/>
  <c r="D15" i="20"/>
  <c r="D23" i="40"/>
  <c r="D23" i="38"/>
  <c r="D23" i="20"/>
  <c r="D19" i="40"/>
  <c r="D19" i="38"/>
  <c r="D19" i="20"/>
  <c r="D27" i="40"/>
  <c r="D27" i="38"/>
  <c r="D27" i="20"/>
  <c r="D35" i="40"/>
  <c r="D35" i="38"/>
  <c r="D35" i="20"/>
  <c r="D31" i="40"/>
  <c r="D31" i="38"/>
  <c r="D31" i="20"/>
  <c r="C7" i="40"/>
  <c r="C7" i="38"/>
  <c r="C7" i="20"/>
  <c r="C19" i="40"/>
  <c r="C19" i="38"/>
  <c r="C19" i="20"/>
  <c r="C31" i="40"/>
  <c r="C31" i="38"/>
  <c r="C31" i="20"/>
  <c r="D6" i="40"/>
  <c r="D6" i="38"/>
  <c r="D6" i="20"/>
  <c r="D18" i="40"/>
  <c r="D18" i="38"/>
  <c r="D18" i="20"/>
  <c r="D34" i="40"/>
  <c r="D34" i="38"/>
  <c r="D34" i="20"/>
  <c r="C14" i="40"/>
  <c r="C14" i="38"/>
  <c r="C14" i="20"/>
  <c r="C10" i="40"/>
  <c r="C10" i="38"/>
  <c r="C10" i="20"/>
  <c r="C6" i="40"/>
  <c r="C6" i="38"/>
  <c r="C6" i="20"/>
  <c r="C26" i="40"/>
  <c r="C26" i="38"/>
  <c r="C26" i="20"/>
  <c r="C22" i="40"/>
  <c r="C22" i="38"/>
  <c r="C22" i="20"/>
  <c r="C18" i="40"/>
  <c r="C18" i="38"/>
  <c r="C18" i="20"/>
  <c r="C38" i="40"/>
  <c r="C38" i="38"/>
  <c r="C38" i="20"/>
  <c r="C34" i="40"/>
  <c r="C34" i="38"/>
  <c r="C34" i="20"/>
  <c r="C30" i="40"/>
  <c r="C30" i="38"/>
  <c r="C30" i="20"/>
  <c r="D13" i="40"/>
  <c r="D13" i="38"/>
  <c r="D13" i="20"/>
  <c r="D9" i="40"/>
  <c r="D9" i="38"/>
  <c r="D9" i="20"/>
  <c r="D5" i="40"/>
  <c r="D5" i="38"/>
  <c r="D5" i="20"/>
  <c r="D25" i="40"/>
  <c r="D25" i="38"/>
  <c r="D25" i="20"/>
  <c r="D21" i="40"/>
  <c r="D21" i="38"/>
  <c r="D21" i="20"/>
  <c r="D17" i="40"/>
  <c r="D17" i="38"/>
  <c r="D17" i="20"/>
  <c r="D37" i="40"/>
  <c r="D37" i="38"/>
  <c r="D37" i="20"/>
  <c r="D33" i="40"/>
  <c r="D33" i="38"/>
  <c r="D33" i="20"/>
  <c r="D29" i="40"/>
  <c r="D29" i="38"/>
  <c r="D29" i="20"/>
  <c r="D103" i="20"/>
  <c r="H49" i="19"/>
  <c r="Q49" i="19" s="1"/>
  <c r="D107" i="20"/>
  <c r="H48" i="19"/>
  <c r="Q48" i="19" s="1"/>
  <c r="H40" i="19"/>
  <c r="Q40" i="19" s="1"/>
  <c r="U41" i="24"/>
  <c r="Y21" i="24"/>
  <c r="Z41" i="24"/>
  <c r="H60" i="19"/>
  <c r="Q60" i="19" s="1"/>
  <c r="H56" i="19"/>
  <c r="Q56" i="19" s="1"/>
  <c r="H52" i="19"/>
  <c r="Q52" i="19" s="1"/>
  <c r="V41" i="24"/>
  <c r="H39" i="19"/>
  <c r="Q39" i="19" s="1"/>
  <c r="H47" i="19"/>
  <c r="Q47" i="19" s="1"/>
  <c r="H43" i="19"/>
  <c r="Q43" i="19" s="1"/>
  <c r="H99" i="19"/>
  <c r="Q99" i="19" s="1"/>
  <c r="V21" i="24"/>
  <c r="W41" i="24"/>
  <c r="X21" i="24"/>
  <c r="X41" i="24"/>
  <c r="Y41" i="24"/>
  <c r="D94" i="38" l="1"/>
  <c r="Q94" i="19"/>
  <c r="D71" i="38"/>
  <c r="Q71" i="19"/>
  <c r="D89" i="38"/>
  <c r="Q89" i="19"/>
  <c r="D96" i="38"/>
  <c r="Q96" i="19"/>
  <c r="D62" i="40"/>
  <c r="Q62" i="19"/>
  <c r="D97" i="38"/>
  <c r="Q97" i="19"/>
  <c r="D90" i="38"/>
  <c r="Q90" i="19"/>
  <c r="D86" i="38"/>
  <c r="Q86" i="19"/>
  <c r="D92" i="38"/>
  <c r="Q92" i="19"/>
  <c r="D84" i="40"/>
  <c r="Q84" i="19"/>
  <c r="D88" i="20"/>
  <c r="Q88" i="19"/>
  <c r="D95" i="38"/>
  <c r="Q95" i="19"/>
  <c r="D67" i="40"/>
  <c r="Q67" i="19"/>
  <c r="D69" i="40"/>
  <c r="Q69" i="19"/>
  <c r="D100" i="40"/>
  <c r="D100" i="38"/>
  <c r="D98" i="40"/>
  <c r="D98" i="38"/>
  <c r="C99" i="40"/>
  <c r="C99" i="38"/>
  <c r="C99" i="20"/>
  <c r="D108" i="40"/>
  <c r="D108" i="38"/>
  <c r="D105" i="40"/>
  <c r="D105" i="38"/>
  <c r="D101" i="40"/>
  <c r="D101" i="38"/>
  <c r="D93" i="40"/>
  <c r="D93" i="38"/>
  <c r="D91" i="20"/>
  <c r="D91" i="38"/>
  <c r="D99" i="40"/>
  <c r="D99" i="38"/>
  <c r="D104" i="40"/>
  <c r="D104" i="38"/>
  <c r="D102" i="40"/>
  <c r="D102" i="38"/>
  <c r="D106" i="40"/>
  <c r="D106" i="38"/>
  <c r="H129" i="19"/>
  <c r="H127" i="19"/>
  <c r="H130" i="19"/>
  <c r="H125" i="19"/>
  <c r="H131" i="19"/>
  <c r="H134" i="19"/>
  <c r="H126" i="19"/>
  <c r="H132" i="19"/>
  <c r="H123" i="19"/>
  <c r="H124" i="19"/>
  <c r="H133" i="19"/>
  <c r="H128" i="19"/>
  <c r="D69" i="20"/>
  <c r="D62" i="20"/>
  <c r="C81" i="40"/>
  <c r="D88" i="40"/>
  <c r="C79" i="40"/>
  <c r="D84" i="38"/>
  <c r="D69" i="38"/>
  <c r="C79" i="38"/>
  <c r="D62" i="38"/>
  <c r="D88" i="38"/>
  <c r="C76" i="20"/>
  <c r="C64" i="20"/>
  <c r="D67" i="38"/>
  <c r="D84" i="20"/>
  <c r="C76" i="38"/>
  <c r="C64" i="38"/>
  <c r="D71" i="20"/>
  <c r="C95" i="20"/>
  <c r="D75" i="40"/>
  <c r="D46" i="20"/>
  <c r="D106" i="20"/>
  <c r="D59" i="38"/>
  <c r="D65" i="20"/>
  <c r="C77" i="38"/>
  <c r="C83" i="20"/>
  <c r="D81" i="38"/>
  <c r="C95" i="40"/>
  <c r="D75" i="38"/>
  <c r="D46" i="38"/>
  <c r="D41" i="40"/>
  <c r="D59" i="20"/>
  <c r="C55" i="20"/>
  <c r="D86" i="40"/>
  <c r="C82" i="20"/>
  <c r="D66" i="40"/>
  <c r="C58" i="20"/>
  <c r="C58" i="40"/>
  <c r="D97" i="40"/>
  <c r="C98" i="20"/>
  <c r="D82" i="20"/>
  <c r="D58" i="20"/>
  <c r="C60" i="38"/>
  <c r="C87" i="20"/>
  <c r="D63" i="40"/>
  <c r="D44" i="40"/>
  <c r="C51" i="40"/>
  <c r="D89" i="20"/>
  <c r="D85" i="40"/>
  <c r="C77" i="40"/>
  <c r="C53" i="20"/>
  <c r="D45" i="38"/>
  <c r="D80" i="20"/>
  <c r="D68" i="40"/>
  <c r="C52" i="20"/>
  <c r="D87" i="38"/>
  <c r="C67" i="40"/>
  <c r="C59" i="38"/>
  <c r="D57" i="38"/>
  <c r="D78" i="38"/>
  <c r="D74" i="40"/>
  <c r="C70" i="38"/>
  <c r="D54" i="20"/>
  <c r="D76" i="38"/>
  <c r="C56" i="40"/>
  <c r="D79" i="40"/>
  <c r="D55" i="38"/>
  <c r="D77" i="20"/>
  <c r="D81" i="40"/>
  <c r="D73" i="20"/>
  <c r="D53" i="38"/>
  <c r="D50" i="38"/>
  <c r="C75" i="40"/>
  <c r="C92" i="40"/>
  <c r="C84" i="40"/>
  <c r="D64" i="40"/>
  <c r="D83" i="38"/>
  <c r="C63" i="38"/>
  <c r="D100" i="20"/>
  <c r="D94" i="40"/>
  <c r="C90" i="40"/>
  <c r="C86" i="38"/>
  <c r="D70" i="38"/>
  <c r="D72" i="20"/>
  <c r="D75" i="20"/>
  <c r="D61" i="38"/>
  <c r="C85" i="38"/>
  <c r="C73" i="38"/>
  <c r="C61" i="20"/>
  <c r="C88" i="38"/>
  <c r="C80" i="40"/>
  <c r="C68" i="20"/>
  <c r="D41" i="38"/>
  <c r="D95" i="40"/>
  <c r="C83" i="40"/>
  <c r="D59" i="40"/>
  <c r="D65" i="38"/>
  <c r="C55" i="38"/>
  <c r="D90" i="40"/>
  <c r="D86" i="20"/>
  <c r="C82" i="40"/>
  <c r="D66" i="20"/>
  <c r="C58" i="38"/>
  <c r="D71" i="40"/>
  <c r="D93" i="20"/>
  <c r="C89" i="20"/>
  <c r="C81" i="38"/>
  <c r="C57" i="40"/>
  <c r="D42" i="38"/>
  <c r="C71" i="40"/>
  <c r="D67" i="20"/>
  <c r="D51" i="20"/>
  <c r="C87" i="40"/>
  <c r="D85" i="38"/>
  <c r="C67" i="38"/>
  <c r="D45" i="40"/>
  <c r="C60" i="40"/>
  <c r="C51" i="38"/>
  <c r="D90" i="20"/>
  <c r="D66" i="38"/>
  <c r="C87" i="38"/>
  <c r="C59" i="20"/>
  <c r="C53" i="40"/>
  <c r="C96" i="40"/>
  <c r="D80" i="38"/>
  <c r="D108" i="20"/>
  <c r="C67" i="20"/>
  <c r="C59" i="40"/>
  <c r="D87" i="20"/>
  <c r="D97" i="20"/>
  <c r="C98" i="40"/>
  <c r="D89" i="40"/>
  <c r="C61" i="40"/>
  <c r="D94" i="20"/>
  <c r="D65" i="40"/>
  <c r="C83" i="38"/>
  <c r="D46" i="40"/>
  <c r="D61" i="40"/>
  <c r="C88" i="20"/>
  <c r="D72" i="38"/>
  <c r="C84" i="20"/>
  <c r="D54" i="40"/>
  <c r="D96" i="20"/>
  <c r="D64" i="38"/>
  <c r="D74" i="38"/>
  <c r="D104" i="20"/>
  <c r="D54" i="38"/>
  <c r="C92" i="20"/>
  <c r="D76" i="40"/>
  <c r="D64" i="20"/>
  <c r="D83" i="20"/>
  <c r="C75" i="38"/>
  <c r="D74" i="20"/>
  <c r="C70" i="40"/>
  <c r="D81" i="20"/>
  <c r="D53" i="40"/>
  <c r="C97" i="20"/>
  <c r="D105" i="20"/>
  <c r="D55" i="40"/>
  <c r="D96" i="40"/>
  <c r="C84" i="38"/>
  <c r="C75" i="20"/>
  <c r="D78" i="20"/>
  <c r="C94" i="20"/>
  <c r="D73" i="38"/>
  <c r="C97" i="40"/>
  <c r="D98" i="20"/>
  <c r="D78" i="40"/>
  <c r="C63" i="40"/>
  <c r="D73" i="40"/>
  <c r="C93" i="20"/>
  <c r="C85" i="20"/>
  <c r="C73" i="20"/>
  <c r="C65" i="20"/>
  <c r="C61" i="38"/>
  <c r="C53" i="38"/>
  <c r="D50" i="40"/>
  <c r="D42" i="20"/>
  <c r="D44" i="20"/>
  <c r="C93" i="40"/>
  <c r="C85" i="40"/>
  <c r="C77" i="20"/>
  <c r="C73" i="40"/>
  <c r="C65" i="40"/>
  <c r="D79" i="20"/>
  <c r="D55" i="20"/>
  <c r="D45" i="20"/>
  <c r="C71" i="20"/>
  <c r="D82" i="38"/>
  <c r="C80" i="20"/>
  <c r="D68" i="20"/>
  <c r="C60" i="20"/>
  <c r="D57" i="40"/>
  <c r="D91" i="40"/>
  <c r="D51" i="38"/>
  <c r="C51" i="20"/>
  <c r="C66" i="40"/>
  <c r="C54" i="38"/>
  <c r="D85" i="20"/>
  <c r="D41" i="20"/>
  <c r="D44" i="38"/>
  <c r="D102" i="20"/>
  <c r="D80" i="40"/>
  <c r="D72" i="40"/>
  <c r="C65" i="38"/>
  <c r="D79" i="38"/>
  <c r="D70" i="40"/>
  <c r="D92" i="20"/>
  <c r="C80" i="38"/>
  <c r="C68" i="40"/>
  <c r="D51" i="40"/>
  <c r="D58" i="38"/>
  <c r="C90" i="20"/>
  <c r="C74" i="20"/>
  <c r="C63" i="20"/>
  <c r="C40" i="20"/>
  <c r="D77" i="38"/>
  <c r="D82" i="40"/>
  <c r="C72" i="40"/>
  <c r="D83" i="40"/>
  <c r="D63" i="20"/>
  <c r="C78" i="20"/>
  <c r="C54" i="40"/>
  <c r="C69" i="40"/>
  <c r="D50" i="20"/>
  <c r="D42" i="40"/>
  <c r="D95" i="20"/>
  <c r="D87" i="40"/>
  <c r="C40" i="38"/>
  <c r="D77" i="40"/>
  <c r="D61" i="20"/>
  <c r="D70" i="20"/>
  <c r="D92" i="40"/>
  <c r="D76" i="20"/>
  <c r="D68" i="38"/>
  <c r="C56" i="20"/>
  <c r="C52" i="38"/>
  <c r="D57" i="20"/>
  <c r="D101" i="20"/>
  <c r="D63" i="38"/>
  <c r="C78" i="38"/>
  <c r="C74" i="40"/>
  <c r="C66" i="20"/>
  <c r="C62" i="38"/>
  <c r="C91" i="20"/>
  <c r="D53" i="20"/>
  <c r="D58" i="40"/>
  <c r="C86" i="40"/>
  <c r="C74" i="38"/>
  <c r="C62" i="20"/>
  <c r="C89" i="40"/>
  <c r="C69" i="38"/>
  <c r="C57" i="38"/>
  <c r="C40" i="40"/>
  <c r="C96" i="20"/>
  <c r="C88" i="40"/>
  <c r="C72" i="20"/>
  <c r="C68" i="38"/>
  <c r="C56" i="38"/>
  <c r="C52" i="40"/>
  <c r="C55" i="40"/>
  <c r="C94" i="40"/>
  <c r="C86" i="20"/>
  <c r="C82" i="38"/>
  <c r="C78" i="40"/>
  <c r="C70" i="20"/>
  <c r="C66" i="38"/>
  <c r="C62" i="40"/>
  <c r="C54" i="20"/>
  <c r="C91" i="40"/>
  <c r="D56" i="40"/>
  <c r="D56" i="38"/>
  <c r="D56" i="20"/>
  <c r="D49" i="40"/>
  <c r="D49" i="38"/>
  <c r="D49" i="20"/>
  <c r="D39" i="40"/>
  <c r="D39" i="38"/>
  <c r="D39" i="20"/>
  <c r="D99" i="20"/>
  <c r="C41" i="38"/>
  <c r="C41" i="40"/>
  <c r="C41" i="20"/>
  <c r="D47" i="40"/>
  <c r="D47" i="38"/>
  <c r="D47" i="20"/>
  <c r="D48" i="40"/>
  <c r="D48" i="38"/>
  <c r="D48" i="20"/>
  <c r="D60" i="40"/>
  <c r="D60" i="38"/>
  <c r="D60" i="20"/>
  <c r="C39" i="38"/>
  <c r="C39" i="40"/>
  <c r="C39" i="20"/>
  <c r="D110" i="20"/>
  <c r="D43" i="40"/>
  <c r="D43" i="38"/>
  <c r="D43" i="20"/>
  <c r="D52" i="40"/>
  <c r="D52" i="38"/>
  <c r="D52" i="20"/>
  <c r="D40" i="40"/>
  <c r="D40" i="38"/>
  <c r="D40" i="20"/>
  <c r="B157" i="19"/>
  <c r="B278" i="48" s="1"/>
  <c r="B158" i="19"/>
  <c r="B279" i="48" s="1"/>
  <c r="B156" i="19"/>
  <c r="B277" i="48" s="1"/>
  <c r="B155" i="19"/>
  <c r="B276" i="48" s="1"/>
  <c r="B151" i="19"/>
  <c r="B272" i="48" s="1"/>
  <c r="B152" i="19"/>
  <c r="B153" i="19"/>
  <c r="B274" i="48" s="1"/>
  <c r="B154" i="19"/>
  <c r="E16" i="11"/>
  <c r="B16" i="11"/>
  <c r="C20" i="11"/>
  <c r="D20" i="11"/>
  <c r="D25" i="11"/>
  <c r="B30" i="11"/>
  <c r="D30" i="11"/>
  <c r="E35" i="11"/>
  <c r="E21" i="11"/>
  <c r="D21" i="11"/>
  <c r="E26" i="11"/>
  <c r="B26" i="11"/>
  <c r="C31" i="11"/>
  <c r="E36" i="11"/>
  <c r="B13" i="11"/>
  <c r="E17" i="11"/>
  <c r="C17" i="11"/>
  <c r="C16" i="11"/>
  <c r="D26" i="11"/>
  <c r="E22" i="11"/>
  <c r="C21" i="11"/>
  <c r="D13" i="11"/>
  <c r="B36" i="11"/>
  <c r="B31" i="11"/>
  <c r="G7" i="33"/>
  <c r="F7" i="33"/>
  <c r="E5" i="33"/>
  <c r="D22" i="48" s="1"/>
  <c r="E4" i="33"/>
  <c r="C22" i="48" s="1"/>
  <c r="A1" i="19"/>
  <c r="A1" i="33"/>
  <c r="B32" i="11"/>
  <c r="B27" i="11"/>
  <c r="C32" i="11"/>
  <c r="C27" i="11"/>
  <c r="D32" i="11"/>
  <c r="D27" i="11"/>
  <c r="H60" i="9"/>
  <c r="I60" i="9" s="1"/>
  <c r="G3" i="28"/>
  <c r="K5" i="24"/>
  <c r="L5" i="24"/>
  <c r="M5" i="24"/>
  <c r="N5" i="24"/>
  <c r="O5" i="24"/>
  <c r="P5" i="24"/>
  <c r="Q5" i="24"/>
  <c r="K21" i="24"/>
  <c r="L21" i="24"/>
  <c r="M21" i="24"/>
  <c r="N21" i="24"/>
  <c r="O21" i="24"/>
  <c r="P21" i="24"/>
  <c r="Q21" i="24"/>
  <c r="K41" i="24"/>
  <c r="L41" i="24"/>
  <c r="M41" i="24"/>
  <c r="N41" i="24"/>
  <c r="O41" i="24"/>
  <c r="P41" i="24"/>
  <c r="Q41" i="24"/>
  <c r="A12" i="9"/>
  <c r="A30" i="9" s="1"/>
  <c r="A11" i="9"/>
  <c r="A29" i="9" s="1"/>
  <c r="A7" i="9"/>
  <c r="A25" i="9" s="1"/>
  <c r="A8" i="9"/>
  <c r="A26" i="9" s="1"/>
  <c r="A9" i="9"/>
  <c r="A27" i="9" s="1"/>
  <c r="A10" i="9"/>
  <c r="A28" i="9" s="1"/>
  <c r="A24" i="11"/>
  <c r="E2" i="17"/>
  <c r="C1" i="18" s="1"/>
  <c r="A15" i="11"/>
  <c r="A11" i="11"/>
  <c r="C2" i="17"/>
  <c r="D2" i="17"/>
  <c r="B1" i="18" s="1"/>
  <c r="B366" i="48" s="1"/>
  <c r="F366" i="48" s="1"/>
  <c r="F2" i="17"/>
  <c r="D1" i="18" s="1"/>
  <c r="G2" i="17"/>
  <c r="B2" i="17"/>
  <c r="A34" i="11"/>
  <c r="A29" i="11"/>
  <c r="A19" i="11"/>
  <c r="B21" i="11"/>
  <c r="H4" i="49" l="1"/>
  <c r="Q124" i="19"/>
  <c r="H14" i="49"/>
  <c r="Q134" i="19"/>
  <c r="H7" i="49"/>
  <c r="Q127" i="19"/>
  <c r="H10" i="49"/>
  <c r="Q130" i="19"/>
  <c r="H3" i="49"/>
  <c r="Q123" i="19"/>
  <c r="H11" i="49"/>
  <c r="Q131" i="19"/>
  <c r="H9" i="49"/>
  <c r="Q129" i="19"/>
  <c r="H13" i="49"/>
  <c r="Q133" i="19"/>
  <c r="H6" i="49"/>
  <c r="Q126" i="19"/>
  <c r="H8" i="49"/>
  <c r="Q128" i="19"/>
  <c r="H12" i="49"/>
  <c r="Q132" i="19"/>
  <c r="H5" i="49"/>
  <c r="Q125" i="19"/>
  <c r="E41" i="11"/>
  <c r="B396" i="48"/>
  <c r="B380" i="48"/>
  <c r="A24" i="48"/>
  <c r="D43" i="48"/>
  <c r="D69" i="48" s="1"/>
  <c r="D107" i="48" s="1"/>
  <c r="D133" i="48" s="1"/>
  <c r="D171" i="48" s="1"/>
  <c r="D198" i="48" s="1"/>
  <c r="D288" i="48" s="1"/>
  <c r="A23" i="48"/>
  <c r="C43" i="48"/>
  <c r="C69" i="48" s="1"/>
  <c r="C107" i="48" s="1"/>
  <c r="C133" i="48" s="1"/>
  <c r="C171" i="48" s="1"/>
  <c r="C198" i="48" s="1"/>
  <c r="C288" i="48" s="1"/>
  <c r="B8" i="9"/>
  <c r="F8" i="9" s="1"/>
  <c r="B273" i="48"/>
  <c r="B10" i="9"/>
  <c r="F10" i="9" s="1"/>
  <c r="B275" i="48"/>
  <c r="AC11" i="24"/>
  <c r="AC15" i="24"/>
  <c r="AC19" i="24"/>
  <c r="AC12" i="24"/>
  <c r="AC16" i="24"/>
  <c r="AC10" i="24"/>
  <c r="AC9" i="24"/>
  <c r="AC13" i="24"/>
  <c r="AC17" i="24"/>
  <c r="AC14" i="24"/>
  <c r="AC18" i="24"/>
  <c r="D124" i="40"/>
  <c r="D124" i="38"/>
  <c r="D124" i="20"/>
  <c r="D127" i="40"/>
  <c r="D127" i="38"/>
  <c r="D127" i="20"/>
  <c r="C132" i="40"/>
  <c r="C132" i="38"/>
  <c r="C132" i="20"/>
  <c r="C128" i="40"/>
  <c r="C128" i="38"/>
  <c r="C128" i="20"/>
  <c r="C123" i="40"/>
  <c r="C123" i="38"/>
  <c r="C123" i="20"/>
  <c r="D123" i="40"/>
  <c r="D123" i="38"/>
  <c r="D123" i="20"/>
  <c r="D131" i="40"/>
  <c r="D131" i="38"/>
  <c r="D131" i="20"/>
  <c r="C125" i="40"/>
  <c r="C125" i="20"/>
  <c r="C125" i="38"/>
  <c r="C129" i="40"/>
  <c r="C129" i="20"/>
  <c r="C129" i="38"/>
  <c r="C124" i="40"/>
  <c r="C124" i="38"/>
  <c r="C124" i="20"/>
  <c r="C131" i="40"/>
  <c r="C131" i="38"/>
  <c r="C131" i="20"/>
  <c r="C127" i="40"/>
  <c r="C127" i="38"/>
  <c r="C127" i="20"/>
  <c r="D128" i="40"/>
  <c r="D128" i="38"/>
  <c r="D128" i="20"/>
  <c r="D132" i="40"/>
  <c r="D132" i="38"/>
  <c r="D132" i="20"/>
  <c r="D125" i="40"/>
  <c r="D125" i="38"/>
  <c r="D125" i="20"/>
  <c r="D129" i="40"/>
  <c r="D129" i="38"/>
  <c r="D129" i="20"/>
  <c r="D134" i="40"/>
  <c r="D134" i="38"/>
  <c r="D134" i="20"/>
  <c r="C130" i="40"/>
  <c r="C130" i="20"/>
  <c r="C130" i="38"/>
  <c r="C126" i="40"/>
  <c r="C126" i="20"/>
  <c r="C126" i="38"/>
  <c r="D133" i="40"/>
  <c r="D133" i="38"/>
  <c r="D133" i="20"/>
  <c r="D126" i="40"/>
  <c r="D126" i="38"/>
  <c r="D126" i="20"/>
  <c r="D130" i="40"/>
  <c r="D130" i="20"/>
  <c r="D130" i="38"/>
  <c r="B164" i="19"/>
  <c r="AC38" i="24"/>
  <c r="H180" i="19" s="1"/>
  <c r="AC39" i="24"/>
  <c r="H181" i="19" s="1"/>
  <c r="AC37" i="24"/>
  <c r="H179" i="19" s="1"/>
  <c r="AC31" i="24"/>
  <c r="H173" i="19" s="1"/>
  <c r="AC29" i="24"/>
  <c r="H171" i="19" s="1"/>
  <c r="AC33" i="24"/>
  <c r="H175" i="19" s="1"/>
  <c r="AC35" i="24"/>
  <c r="H177" i="19" s="1"/>
  <c r="AC32" i="24"/>
  <c r="H174" i="19" s="1"/>
  <c r="AC30" i="24"/>
  <c r="H172" i="19" s="1"/>
  <c r="AC28" i="24"/>
  <c r="H170" i="19" s="1"/>
  <c r="AC34" i="24"/>
  <c r="H176" i="19" s="1"/>
  <c r="AC36" i="24"/>
  <c r="H178" i="19" s="1"/>
  <c r="B12" i="9"/>
  <c r="F12" i="9" s="1"/>
  <c r="G4" i="11"/>
  <c r="P405" i="48" s="1"/>
  <c r="B14" i="9"/>
  <c r="F14" i="9" s="1"/>
  <c r="I4" i="11"/>
  <c r="R405" i="48" s="1"/>
  <c r="B13" i="9"/>
  <c r="F13" i="9" s="1"/>
  <c r="H4" i="11"/>
  <c r="Q405" i="48" s="1"/>
  <c r="B11" i="9"/>
  <c r="F11" i="9" s="1"/>
  <c r="F4" i="11"/>
  <c r="C35" i="11"/>
  <c r="B9" i="9"/>
  <c r="F9" i="9" s="1"/>
  <c r="B4" i="11"/>
  <c r="B7" i="9"/>
  <c r="F7" i="9" s="1"/>
  <c r="D36" i="11"/>
  <c r="C26" i="11"/>
  <c r="D31" i="11"/>
  <c r="B46" i="11"/>
  <c r="B22" i="11"/>
  <c r="B41" i="11" s="1"/>
  <c r="C30" i="11"/>
  <c r="E8" i="11"/>
  <c r="D109" i="20"/>
  <c r="C36" i="11"/>
  <c r="C12" i="11"/>
  <c r="D46" i="11"/>
  <c r="C13" i="11"/>
  <c r="B25" i="11"/>
  <c r="D22" i="11"/>
  <c r="E46" i="11"/>
  <c r="B17" i="11"/>
  <c r="B12" i="11"/>
  <c r="C44" i="11"/>
  <c r="C46" i="11"/>
  <c r="E13" i="11"/>
  <c r="E31" i="11"/>
  <c r="C46" i="40"/>
  <c r="C46" i="38"/>
  <c r="C46" i="20"/>
  <c r="E30" i="11"/>
  <c r="D44" i="11"/>
  <c r="D17" i="11"/>
  <c r="C22" i="11"/>
  <c r="B35" i="11"/>
  <c r="E45" i="11"/>
  <c r="D16" i="11"/>
  <c r="C50" i="40"/>
  <c r="C50" i="38"/>
  <c r="C50" i="20"/>
  <c r="C42" i="40"/>
  <c r="C42" i="38"/>
  <c r="C42" i="20"/>
  <c r="D12" i="11"/>
  <c r="D35" i="11"/>
  <c r="C25" i="11"/>
  <c r="E25" i="11"/>
  <c r="B20" i="11"/>
  <c r="E20" i="11"/>
  <c r="B44" i="11"/>
  <c r="E12" i="11"/>
  <c r="E44" i="11"/>
  <c r="C47" i="38"/>
  <c r="C47" i="40"/>
  <c r="C47" i="20"/>
  <c r="C43" i="38"/>
  <c r="C43" i="40"/>
  <c r="C43" i="20"/>
  <c r="C49" i="38"/>
  <c r="C49" i="40"/>
  <c r="C49" i="20"/>
  <c r="C45" i="38"/>
  <c r="C45" i="40"/>
  <c r="C45" i="20"/>
  <c r="C48" i="40"/>
  <c r="C48" i="38"/>
  <c r="C48" i="20"/>
  <c r="C44" i="40"/>
  <c r="C44" i="38"/>
  <c r="C44" i="20"/>
  <c r="E4" i="11"/>
  <c r="N205" i="20"/>
  <c r="O217" i="20" s="1"/>
  <c r="N208" i="20"/>
  <c r="O220" i="20" s="1"/>
  <c r="N207" i="20"/>
  <c r="O219" i="20" s="1"/>
  <c r="N206" i="20"/>
  <c r="O218" i="20" s="1"/>
  <c r="H3" i="28"/>
  <c r="C4" i="11"/>
  <c r="G4" i="28"/>
  <c r="H4" i="28" s="1"/>
  <c r="F22" i="28" s="1"/>
  <c r="D4" i="11"/>
  <c r="H17" i="49" l="1"/>
  <c r="Q5" i="49"/>
  <c r="R5" i="49" s="1"/>
  <c r="S5" i="49" s="1"/>
  <c r="T5" i="49" s="1"/>
  <c r="H20" i="49"/>
  <c r="Q8" i="49"/>
  <c r="R8" i="49" s="1"/>
  <c r="S8" i="49" s="1"/>
  <c r="T8" i="49" s="1"/>
  <c r="H25" i="49"/>
  <c r="Q13" i="49"/>
  <c r="R13" i="49" s="1"/>
  <c r="S13" i="49" s="1"/>
  <c r="T13" i="49" s="1"/>
  <c r="H23" i="49"/>
  <c r="Q11" i="49"/>
  <c r="R11" i="49" s="1"/>
  <c r="S11" i="49" s="1"/>
  <c r="T11" i="49" s="1"/>
  <c r="H22" i="49"/>
  <c r="Q10" i="49"/>
  <c r="R10" i="49" s="1"/>
  <c r="S10" i="49" s="1"/>
  <c r="T10" i="49" s="1"/>
  <c r="H26" i="49"/>
  <c r="Q14" i="49"/>
  <c r="R14" i="49" s="1"/>
  <c r="S14" i="49" s="1"/>
  <c r="T14" i="49" s="1"/>
  <c r="H24" i="49"/>
  <c r="Q12" i="49"/>
  <c r="R12" i="49" s="1"/>
  <c r="S12" i="49" s="1"/>
  <c r="T12" i="49" s="1"/>
  <c r="H18" i="49"/>
  <c r="Q6" i="49"/>
  <c r="R6" i="49" s="1"/>
  <c r="S6" i="49" s="1"/>
  <c r="T6" i="49" s="1"/>
  <c r="H21" i="49"/>
  <c r="Q9" i="49"/>
  <c r="R9" i="49" s="1"/>
  <c r="S9" i="49" s="1"/>
  <c r="T9" i="49" s="1"/>
  <c r="H15" i="49"/>
  <c r="Q3" i="49"/>
  <c r="H19" i="49"/>
  <c r="Q7" i="49"/>
  <c r="R7" i="49" s="1"/>
  <c r="S7" i="49" s="1"/>
  <c r="T7" i="49" s="1"/>
  <c r="H16" i="49"/>
  <c r="Q4" i="49"/>
  <c r="R4" i="49" s="1"/>
  <c r="S4" i="49" s="1"/>
  <c r="T4" i="49" s="1"/>
  <c r="D51" i="19"/>
  <c r="D51" i="49"/>
  <c r="D52" i="49" s="1"/>
  <c r="D53" i="49" s="1"/>
  <c r="D54" i="49" s="1"/>
  <c r="D55" i="49" s="1"/>
  <c r="D56" i="49" s="1"/>
  <c r="D87" i="19"/>
  <c r="D88" i="19" s="1"/>
  <c r="D87" i="49"/>
  <c r="D88" i="49" s="1"/>
  <c r="D89" i="49" s="1"/>
  <c r="D90" i="49" s="1"/>
  <c r="D91" i="49" s="1"/>
  <c r="D92" i="49" s="1"/>
  <c r="D93" i="49" s="1"/>
  <c r="D94" i="49" s="1"/>
  <c r="D95" i="49" s="1"/>
  <c r="D96" i="49" s="1"/>
  <c r="D97" i="49" s="1"/>
  <c r="D98" i="49" s="1"/>
  <c r="D15" i="19"/>
  <c r="D15" i="49"/>
  <c r="D16" i="49" s="1"/>
  <c r="D17" i="49" s="1"/>
  <c r="D18" i="49" s="1"/>
  <c r="D19" i="49" s="1"/>
  <c r="D20" i="49" s="1"/>
  <c r="D21" i="49" s="1"/>
  <c r="D22" i="49" s="1"/>
  <c r="D23" i="49" s="1"/>
  <c r="D24" i="49" s="1"/>
  <c r="D25" i="49" s="1"/>
  <c r="D26" i="49" s="1"/>
  <c r="D27" i="19"/>
  <c r="D28" i="19" s="1"/>
  <c r="D27" i="49"/>
  <c r="D28" i="49" s="1"/>
  <c r="D29" i="49" s="1"/>
  <c r="D30" i="49" s="1"/>
  <c r="D31" i="49" s="1"/>
  <c r="D75" i="19"/>
  <c r="D75" i="49"/>
  <c r="D76" i="49" s="1"/>
  <c r="D77" i="49" s="1"/>
  <c r="D78" i="49" s="1"/>
  <c r="D79" i="49" s="1"/>
  <c r="D80" i="49" s="1"/>
  <c r="D81" i="49" s="1"/>
  <c r="D82" i="49" s="1"/>
  <c r="D83" i="49" s="1"/>
  <c r="D84" i="49" s="1"/>
  <c r="D85" i="49" s="1"/>
  <c r="D86" i="49" s="1"/>
  <c r="D63" i="19"/>
  <c r="D64" i="19" s="1"/>
  <c r="D63" i="49"/>
  <c r="D64" i="49" s="1"/>
  <c r="D65" i="49" s="1"/>
  <c r="D66" i="49" s="1"/>
  <c r="D67" i="49" s="1"/>
  <c r="D68" i="49" s="1"/>
  <c r="D69" i="49" s="1"/>
  <c r="D70" i="49" s="1"/>
  <c r="D71" i="49" s="1"/>
  <c r="D72" i="49" s="1"/>
  <c r="D73" i="49" s="1"/>
  <c r="D74" i="49" s="1"/>
  <c r="D39" i="19"/>
  <c r="D39" i="49"/>
  <c r="D40" i="49" s="1"/>
  <c r="D41" i="49" s="1"/>
  <c r="D42" i="49" s="1"/>
  <c r="D43" i="49" s="1"/>
  <c r="D44" i="49" s="1"/>
  <c r="D3" i="19"/>
  <c r="D4" i="19" s="1"/>
  <c r="D3" i="49"/>
  <c r="D4" i="49" s="1"/>
  <c r="D5" i="49" s="1"/>
  <c r="D6" i="49" s="1"/>
  <c r="D7" i="49" s="1"/>
  <c r="D8" i="49" s="1"/>
  <c r="D9" i="49" s="1"/>
  <c r="D10" i="49" s="1"/>
  <c r="D11" i="49" s="1"/>
  <c r="D12" i="49" s="1"/>
  <c r="D13" i="49" s="1"/>
  <c r="D14" i="49" s="1"/>
  <c r="D76" i="19"/>
  <c r="D16" i="19"/>
  <c r="D52" i="19"/>
  <c r="D40" i="19"/>
  <c r="E51" i="11"/>
  <c r="B32" i="48"/>
  <c r="I176" i="48" s="1"/>
  <c r="D305" i="48"/>
  <c r="D311" i="48" s="1"/>
  <c r="D294" i="48"/>
  <c r="D299" i="48" s="1"/>
  <c r="C305" i="48"/>
  <c r="C311" i="48" s="1"/>
  <c r="C294" i="48"/>
  <c r="C299" i="48" s="1"/>
  <c r="H138" i="19"/>
  <c r="Q138" i="19" s="1"/>
  <c r="H140" i="19"/>
  <c r="Q140" i="19" s="1"/>
  <c r="H139" i="19"/>
  <c r="Q139" i="19" s="1"/>
  <c r="H137" i="19"/>
  <c r="Q137" i="19" s="1"/>
  <c r="H135" i="19"/>
  <c r="Q135" i="19" s="1"/>
  <c r="H136" i="19"/>
  <c r="Q136" i="19" s="1"/>
  <c r="H144" i="19"/>
  <c r="Q144" i="19" s="1"/>
  <c r="H143" i="19"/>
  <c r="Q143" i="19" s="1"/>
  <c r="H141" i="19"/>
  <c r="Q141" i="19" s="1"/>
  <c r="H142" i="19"/>
  <c r="Q142" i="19" s="1"/>
  <c r="B51" i="11"/>
  <c r="C40" i="11"/>
  <c r="E14" i="17"/>
  <c r="E291" i="48" s="1"/>
  <c r="E308" i="48" s="1"/>
  <c r="E354" i="48" s="1"/>
  <c r="D41" i="11"/>
  <c r="D51" i="11" s="1"/>
  <c r="B40" i="11"/>
  <c r="C8" i="11"/>
  <c r="B30" i="48" s="1"/>
  <c r="I174" i="48" s="1"/>
  <c r="C45" i="11"/>
  <c r="D40" i="11"/>
  <c r="E40" i="11"/>
  <c r="E50" i="11" s="1"/>
  <c r="B8" i="11"/>
  <c r="B29" i="48" s="1"/>
  <c r="I173" i="48" s="1"/>
  <c r="B45" i="11"/>
  <c r="D45" i="11"/>
  <c r="D8" i="11"/>
  <c r="B31" i="48" s="1"/>
  <c r="I175" i="48" s="1"/>
  <c r="B39" i="11"/>
  <c r="E39" i="11"/>
  <c r="D39" i="11"/>
  <c r="C39" i="11"/>
  <c r="C41" i="11"/>
  <c r="C51" i="11" s="1"/>
  <c r="F23" i="28"/>
  <c r="H28" i="49" l="1"/>
  <c r="Q16" i="49"/>
  <c r="R16" i="49" s="1"/>
  <c r="S16" i="49" s="1"/>
  <c r="T16" i="49" s="1"/>
  <c r="H27" i="49"/>
  <c r="Q15" i="49"/>
  <c r="H30" i="49"/>
  <c r="Q18" i="49"/>
  <c r="R18" i="49" s="1"/>
  <c r="S18" i="49" s="1"/>
  <c r="T18" i="49" s="1"/>
  <c r="H38" i="49"/>
  <c r="Q26" i="49"/>
  <c r="R26" i="49" s="1"/>
  <c r="S26" i="49" s="1"/>
  <c r="T26" i="49" s="1"/>
  <c r="H35" i="49"/>
  <c r="Q23" i="49"/>
  <c r="R23" i="49" s="1"/>
  <c r="S23" i="49" s="1"/>
  <c r="T23" i="49" s="1"/>
  <c r="H32" i="49"/>
  <c r="Q20" i="49"/>
  <c r="R20" i="49" s="1"/>
  <c r="S20" i="49" s="1"/>
  <c r="T20" i="49" s="1"/>
  <c r="R3" i="49"/>
  <c r="S3" i="49" s="1"/>
  <c r="T3" i="49" s="1"/>
  <c r="H31" i="49"/>
  <c r="Q19" i="49"/>
  <c r="R19" i="49" s="1"/>
  <c r="S19" i="49" s="1"/>
  <c r="T19" i="49" s="1"/>
  <c r="H33" i="49"/>
  <c r="Q21" i="49"/>
  <c r="R21" i="49" s="1"/>
  <c r="S21" i="49" s="1"/>
  <c r="T21" i="49" s="1"/>
  <c r="H36" i="49"/>
  <c r="Q24" i="49"/>
  <c r="R24" i="49" s="1"/>
  <c r="S24" i="49" s="1"/>
  <c r="T24" i="49" s="1"/>
  <c r="H34" i="49"/>
  <c r="Q22" i="49"/>
  <c r="R22" i="49" s="1"/>
  <c r="S22" i="49" s="1"/>
  <c r="T22" i="49" s="1"/>
  <c r="Q25" i="49"/>
  <c r="R25" i="49" s="1"/>
  <c r="S25" i="49" s="1"/>
  <c r="T25" i="49" s="1"/>
  <c r="H37" i="49"/>
  <c r="H29" i="49"/>
  <c r="Q17" i="49"/>
  <c r="R17" i="49" s="1"/>
  <c r="S17" i="49" s="1"/>
  <c r="T17" i="49" s="1"/>
  <c r="D32" i="49"/>
  <c r="D33" i="49" s="1"/>
  <c r="D34" i="49" s="1"/>
  <c r="D35" i="49" s="1"/>
  <c r="D36" i="49" s="1"/>
  <c r="D37" i="49" s="1"/>
  <c r="D38" i="49" s="1"/>
  <c r="D45" i="49"/>
  <c r="D46" i="49" s="1"/>
  <c r="D47" i="49" s="1"/>
  <c r="D48" i="49" s="1"/>
  <c r="D49" i="49" s="1"/>
  <c r="D50" i="49" s="1"/>
  <c r="D57" i="49"/>
  <c r="D58" i="49" s="1"/>
  <c r="D59" i="49" s="1"/>
  <c r="D60" i="49" s="1"/>
  <c r="D61" i="49" s="1"/>
  <c r="D62" i="49" s="1"/>
  <c r="D29" i="19"/>
  <c r="D41" i="19"/>
  <c r="D53" i="19"/>
  <c r="D77" i="19"/>
  <c r="D65" i="19"/>
  <c r="D89" i="19"/>
  <c r="D17" i="19"/>
  <c r="D5" i="19"/>
  <c r="C33" i="48"/>
  <c r="C340" i="48"/>
  <c r="C345" i="48" s="1"/>
  <c r="C351" i="48"/>
  <c r="D340" i="48"/>
  <c r="D345" i="48" s="1"/>
  <c r="D351" i="48"/>
  <c r="D49" i="11"/>
  <c r="F31" i="48"/>
  <c r="E49" i="11"/>
  <c r="F32" i="48"/>
  <c r="B49" i="11"/>
  <c r="F29" i="48"/>
  <c r="C30" i="48"/>
  <c r="C49" i="11"/>
  <c r="F30" i="48"/>
  <c r="C31" i="48"/>
  <c r="C32" i="48"/>
  <c r="D137" i="40"/>
  <c r="D137" i="38"/>
  <c r="D137" i="20"/>
  <c r="D138" i="40"/>
  <c r="D138" i="20"/>
  <c r="D138" i="38"/>
  <c r="D144" i="40"/>
  <c r="D144" i="38"/>
  <c r="D144" i="20"/>
  <c r="C135" i="40"/>
  <c r="C135" i="38"/>
  <c r="C135" i="20"/>
  <c r="C137" i="40"/>
  <c r="C137" i="20"/>
  <c r="C137" i="38"/>
  <c r="D143" i="40"/>
  <c r="D143" i="38"/>
  <c r="D143" i="20"/>
  <c r="D142" i="40"/>
  <c r="D142" i="38"/>
  <c r="D142" i="20"/>
  <c r="D136" i="40"/>
  <c r="D136" i="38"/>
  <c r="D136" i="20"/>
  <c r="D139" i="40"/>
  <c r="D139" i="38"/>
  <c r="D139" i="20"/>
  <c r="C136" i="40"/>
  <c r="C136" i="38"/>
  <c r="C136" i="20"/>
  <c r="C134" i="40"/>
  <c r="C134" i="20"/>
  <c r="C134" i="38"/>
  <c r="D141" i="40"/>
  <c r="D141" i="38"/>
  <c r="D141" i="20"/>
  <c r="D135" i="40"/>
  <c r="D135" i="38"/>
  <c r="D135" i="20"/>
  <c r="D140" i="40"/>
  <c r="D140" i="38"/>
  <c r="D140" i="20"/>
  <c r="C133" i="40"/>
  <c r="C133" i="20"/>
  <c r="C133" i="38"/>
  <c r="M35" i="11"/>
  <c r="D14" i="17"/>
  <c r="D291" i="48" s="1"/>
  <c r="H13" i="17"/>
  <c r="M25" i="11"/>
  <c r="H145" i="19"/>
  <c r="Q145" i="19" s="1"/>
  <c r="H146" i="19"/>
  <c r="Q146" i="19" s="1"/>
  <c r="K12" i="11"/>
  <c r="T416" i="48" s="1"/>
  <c r="H12" i="17"/>
  <c r="L30" i="11"/>
  <c r="K30" i="11"/>
  <c r="T434" i="48" s="1"/>
  <c r="L16" i="11"/>
  <c r="K16" i="11"/>
  <c r="T420" i="48" s="1"/>
  <c r="L35" i="11"/>
  <c r="K35" i="11"/>
  <c r="T439" i="48" s="1"/>
  <c r="K20" i="11"/>
  <c r="T424" i="48" s="1"/>
  <c r="L20" i="11"/>
  <c r="D50" i="11"/>
  <c r="C50" i="11"/>
  <c r="B50" i="11"/>
  <c r="F24" i="28"/>
  <c r="R15" i="49" l="1"/>
  <c r="S15" i="49" s="1"/>
  <c r="T15" i="49" s="1"/>
  <c r="H48" i="49"/>
  <c r="Q36" i="49"/>
  <c r="R36" i="49" s="1"/>
  <c r="S36" i="49" s="1"/>
  <c r="T36" i="49" s="1"/>
  <c r="H43" i="49"/>
  <c r="Q31" i="49"/>
  <c r="R31" i="49" s="1"/>
  <c r="S31" i="49" s="1"/>
  <c r="T31" i="49" s="1"/>
  <c r="H44" i="49"/>
  <c r="Q32" i="49"/>
  <c r="R32" i="49" s="1"/>
  <c r="S32" i="49" s="1"/>
  <c r="T32" i="49" s="1"/>
  <c r="H50" i="49"/>
  <c r="Q38" i="49"/>
  <c r="R38" i="49" s="1"/>
  <c r="S38" i="49" s="1"/>
  <c r="T38" i="49" s="1"/>
  <c r="H39" i="49"/>
  <c r="Q27" i="49"/>
  <c r="H49" i="49"/>
  <c r="Q37" i="49"/>
  <c r="R37" i="49" s="1"/>
  <c r="S37" i="49" s="1"/>
  <c r="T37" i="49" s="1"/>
  <c r="H41" i="49"/>
  <c r="Q29" i="49"/>
  <c r="R29" i="49" s="1"/>
  <c r="S29" i="49" s="1"/>
  <c r="T29" i="49" s="1"/>
  <c r="H46" i="49"/>
  <c r="Q34" i="49"/>
  <c r="R34" i="49" s="1"/>
  <c r="S34" i="49" s="1"/>
  <c r="T34" i="49" s="1"/>
  <c r="Q33" i="49"/>
  <c r="R33" i="49" s="1"/>
  <c r="S33" i="49" s="1"/>
  <c r="T33" i="49" s="1"/>
  <c r="H45" i="49"/>
  <c r="H47" i="49"/>
  <c r="Q35" i="49"/>
  <c r="R35" i="49" s="1"/>
  <c r="S35" i="49" s="1"/>
  <c r="T35" i="49" s="1"/>
  <c r="H42" i="49"/>
  <c r="Q30" i="49"/>
  <c r="R30" i="49" s="1"/>
  <c r="S30" i="49" s="1"/>
  <c r="T30" i="49" s="1"/>
  <c r="H40" i="49"/>
  <c r="Q28" i="49"/>
  <c r="R28" i="49" s="1"/>
  <c r="S28" i="49" s="1"/>
  <c r="T28" i="49" s="1"/>
  <c r="D6" i="19"/>
  <c r="D90" i="19"/>
  <c r="D78" i="19"/>
  <c r="D42" i="19"/>
  <c r="D18" i="19"/>
  <c r="D66" i="19"/>
  <c r="D54" i="19"/>
  <c r="D30" i="19"/>
  <c r="U439" i="48"/>
  <c r="G210" i="48"/>
  <c r="AI580" i="48"/>
  <c r="AH588" i="48" s="1"/>
  <c r="AH609" i="48"/>
  <c r="D308" i="48"/>
  <c r="H291" i="48"/>
  <c r="AH612" i="48"/>
  <c r="AO612" i="48" s="1"/>
  <c r="AI583" i="48"/>
  <c r="AI582" i="48"/>
  <c r="AH590" i="48" s="1"/>
  <c r="AH611" i="48"/>
  <c r="V439" i="48"/>
  <c r="G211" i="48"/>
  <c r="U434" i="48"/>
  <c r="F210" i="48"/>
  <c r="V429" i="48"/>
  <c r="AI639" i="48" s="1"/>
  <c r="E211" i="48"/>
  <c r="U424" i="48"/>
  <c r="D210" i="48"/>
  <c r="AI578" i="48"/>
  <c r="AH607" i="48"/>
  <c r="AH608" i="48"/>
  <c r="AO608" i="48" s="1"/>
  <c r="AI579" i="48"/>
  <c r="C210" i="48"/>
  <c r="U420" i="48"/>
  <c r="G30" i="48"/>
  <c r="G32" i="48"/>
  <c r="G33" i="48"/>
  <c r="G31" i="48"/>
  <c r="K44" i="11"/>
  <c r="C138" i="40"/>
  <c r="C138" i="20"/>
  <c r="C138" i="38"/>
  <c r="C139" i="40"/>
  <c r="C139" i="38"/>
  <c r="C139" i="20"/>
  <c r="C141" i="40"/>
  <c r="C141" i="20"/>
  <c r="C141" i="38"/>
  <c r="C143" i="40"/>
  <c r="C143" i="38"/>
  <c r="C143" i="20"/>
  <c r="C146" i="40"/>
  <c r="C146" i="20"/>
  <c r="C146" i="38"/>
  <c r="C142" i="40"/>
  <c r="C142" i="20"/>
  <c r="C142" i="38"/>
  <c r="C140" i="40"/>
  <c r="C140" i="38"/>
  <c r="C140" i="20"/>
  <c r="C145" i="40"/>
  <c r="C145" i="20"/>
  <c r="C145" i="38"/>
  <c r="D146" i="40"/>
  <c r="D146" i="20"/>
  <c r="D146" i="38"/>
  <c r="D145" i="40"/>
  <c r="D145" i="38"/>
  <c r="D145" i="20"/>
  <c r="C144" i="40"/>
  <c r="C144" i="38"/>
  <c r="C144" i="20"/>
  <c r="H14" i="17"/>
  <c r="M44" i="11" s="1"/>
  <c r="M20" i="11"/>
  <c r="L12" i="11"/>
  <c r="K25" i="11"/>
  <c r="T429" i="48" s="1"/>
  <c r="T443" i="48" s="1"/>
  <c r="L25" i="11"/>
  <c r="F25" i="28"/>
  <c r="R27" i="49" l="1"/>
  <c r="S27" i="49" s="1"/>
  <c r="T27" i="49" s="1"/>
  <c r="H61" i="49"/>
  <c r="Q49" i="49"/>
  <c r="R49" i="49" s="1"/>
  <c r="S49" i="49" s="1"/>
  <c r="T49" i="49" s="1"/>
  <c r="H54" i="49"/>
  <c r="Q42" i="49"/>
  <c r="R42" i="49" s="1"/>
  <c r="S42" i="49" s="1"/>
  <c r="T42" i="49" s="1"/>
  <c r="Q45" i="49"/>
  <c r="R45" i="49" s="1"/>
  <c r="S45" i="49" s="1"/>
  <c r="T45" i="49" s="1"/>
  <c r="H57" i="49"/>
  <c r="H62" i="49"/>
  <c r="Q50" i="49"/>
  <c r="R50" i="49" s="1"/>
  <c r="S50" i="49" s="1"/>
  <c r="T50" i="49" s="1"/>
  <c r="H55" i="49"/>
  <c r="Q43" i="49"/>
  <c r="R43" i="49" s="1"/>
  <c r="S43" i="49" s="1"/>
  <c r="T43" i="49" s="1"/>
  <c r="H58" i="49"/>
  <c r="Q46" i="49"/>
  <c r="R46" i="49" s="1"/>
  <c r="S46" i="49" s="1"/>
  <c r="T46" i="49" s="1"/>
  <c r="H53" i="49"/>
  <c r="Q41" i="49"/>
  <c r="R41" i="49" s="1"/>
  <c r="S41" i="49" s="1"/>
  <c r="T41" i="49" s="1"/>
  <c r="H52" i="49"/>
  <c r="Q40" i="49"/>
  <c r="R40" i="49" s="1"/>
  <c r="S40" i="49" s="1"/>
  <c r="T40" i="49" s="1"/>
  <c r="H59" i="49"/>
  <c r="Q47" i="49"/>
  <c r="R47" i="49" s="1"/>
  <c r="S47" i="49" s="1"/>
  <c r="T47" i="49" s="1"/>
  <c r="H51" i="49"/>
  <c r="Q39" i="49"/>
  <c r="H56" i="49"/>
  <c r="Q44" i="49"/>
  <c r="R44" i="49" s="1"/>
  <c r="S44" i="49" s="1"/>
  <c r="T44" i="49" s="1"/>
  <c r="H60" i="49"/>
  <c r="Q48" i="49"/>
  <c r="R48" i="49" s="1"/>
  <c r="S48" i="49" s="1"/>
  <c r="T48" i="49" s="1"/>
  <c r="D31" i="19"/>
  <c r="D67" i="19"/>
  <c r="D43" i="19"/>
  <c r="D91" i="19"/>
  <c r="D55" i="19"/>
  <c r="D19" i="19"/>
  <c r="D79" i="19"/>
  <c r="D7" i="19"/>
  <c r="M39" i="11"/>
  <c r="F40" i="48" s="1"/>
  <c r="V424" i="48"/>
  <c r="AI638" i="48" s="1"/>
  <c r="D211" i="48"/>
  <c r="H211" i="48" s="1"/>
  <c r="AH591" i="48"/>
  <c r="AP583" i="48"/>
  <c r="U429" i="48"/>
  <c r="E210" i="48"/>
  <c r="AI641" i="48"/>
  <c r="AI581" i="48"/>
  <c r="AH589" i="48" s="1"/>
  <c r="AH610" i="48"/>
  <c r="AH613" i="48" s="1"/>
  <c r="AH638" i="48"/>
  <c r="AI609" i="48"/>
  <c r="AH617" i="48" s="1"/>
  <c r="AH640" i="48"/>
  <c r="AH648" i="48" s="1"/>
  <c r="AI611" i="48"/>
  <c r="AH619" i="48" s="1"/>
  <c r="D354" i="48"/>
  <c r="H354" i="48" s="1"/>
  <c r="H308" i="48"/>
  <c r="AH641" i="48"/>
  <c r="AI612" i="48"/>
  <c r="AH620" i="48" s="1"/>
  <c r="AH587" i="48"/>
  <c r="AP579" i="48"/>
  <c r="AH637" i="48"/>
  <c r="AH645" i="48" s="1"/>
  <c r="AI608" i="48"/>
  <c r="AH616" i="48" s="1"/>
  <c r="AO607" i="48"/>
  <c r="AH586" i="48"/>
  <c r="AI584" i="48"/>
  <c r="AP578" i="48"/>
  <c r="B210" i="48"/>
  <c r="H210" i="48" s="1"/>
  <c r="U416" i="48"/>
  <c r="K39" i="11"/>
  <c r="L39" i="11"/>
  <c r="F39" i="48" s="1"/>
  <c r="G40" i="48" s="1"/>
  <c r="L44" i="11"/>
  <c r="F26" i="28"/>
  <c r="R39" i="49" l="1"/>
  <c r="S39" i="49" s="1"/>
  <c r="T39" i="49" s="1"/>
  <c r="H66" i="49"/>
  <c r="Q54" i="49"/>
  <c r="R54" i="49" s="1"/>
  <c r="S54" i="49" s="1"/>
  <c r="T54" i="49" s="1"/>
  <c r="H63" i="49"/>
  <c r="Q51" i="49"/>
  <c r="H70" i="49"/>
  <c r="Q58" i="49"/>
  <c r="R58" i="49" s="1"/>
  <c r="S58" i="49" s="1"/>
  <c r="T58" i="49" s="1"/>
  <c r="H68" i="49"/>
  <c r="Q56" i="49"/>
  <c r="R56" i="49" s="1"/>
  <c r="S56" i="49" s="1"/>
  <c r="T56" i="49" s="1"/>
  <c r="H71" i="49"/>
  <c r="Q59" i="49"/>
  <c r="R59" i="49" s="1"/>
  <c r="S59" i="49" s="1"/>
  <c r="T59" i="49" s="1"/>
  <c r="Q53" i="49"/>
  <c r="R53" i="49" s="1"/>
  <c r="S53" i="49" s="1"/>
  <c r="T53" i="49" s="1"/>
  <c r="H65" i="49"/>
  <c r="H67" i="49"/>
  <c r="Q55" i="49"/>
  <c r="R55" i="49" s="1"/>
  <c r="S55" i="49" s="1"/>
  <c r="T55" i="49" s="1"/>
  <c r="H69" i="49"/>
  <c r="Q57" i="49"/>
  <c r="R57" i="49" s="1"/>
  <c r="S57" i="49" s="1"/>
  <c r="T57" i="49" s="1"/>
  <c r="H72" i="49"/>
  <c r="Q60" i="49"/>
  <c r="R60" i="49" s="1"/>
  <c r="S60" i="49" s="1"/>
  <c r="T60" i="49" s="1"/>
  <c r="H64" i="49"/>
  <c r="Q52" i="49"/>
  <c r="R52" i="49" s="1"/>
  <c r="S52" i="49" s="1"/>
  <c r="T52" i="49" s="1"/>
  <c r="H74" i="49"/>
  <c r="Q62" i="49"/>
  <c r="R62" i="49" s="1"/>
  <c r="S62" i="49" s="1"/>
  <c r="T62" i="49" s="1"/>
  <c r="H73" i="49"/>
  <c r="Q61" i="49"/>
  <c r="R61" i="49" s="1"/>
  <c r="S61" i="49" s="1"/>
  <c r="T61" i="49" s="1"/>
  <c r="M49" i="11"/>
  <c r="D8" i="19"/>
  <c r="D20" i="19"/>
  <c r="D92" i="19"/>
  <c r="D68" i="19"/>
  <c r="D80" i="19"/>
  <c r="D56" i="19"/>
  <c r="D44" i="19"/>
  <c r="D32" i="19"/>
  <c r="V443" i="48"/>
  <c r="AH649" i="48"/>
  <c r="AI642" i="48"/>
  <c r="AH639" i="48"/>
  <c r="AH647" i="48" s="1"/>
  <c r="AI610" i="48"/>
  <c r="AH618" i="48" s="1"/>
  <c r="AH646" i="48"/>
  <c r="U443" i="48"/>
  <c r="AH636" i="48"/>
  <c r="AI607" i="48"/>
  <c r="K49" i="11"/>
  <c r="F38" i="48"/>
  <c r="G38" i="48" s="1"/>
  <c r="L49" i="11"/>
  <c r="F27" i="28"/>
  <c r="R51" i="49" l="1"/>
  <c r="S51" i="49" s="1"/>
  <c r="T51" i="49" s="1"/>
  <c r="H76" i="49"/>
  <c r="Q64" i="49"/>
  <c r="R64" i="49" s="1"/>
  <c r="S64" i="49" s="1"/>
  <c r="T64" i="49" s="1"/>
  <c r="H81" i="49"/>
  <c r="Q69" i="49"/>
  <c r="R69" i="49" s="1"/>
  <c r="S69" i="49" s="1"/>
  <c r="T69" i="49" s="1"/>
  <c r="H80" i="49"/>
  <c r="Q68" i="49"/>
  <c r="R68" i="49" s="1"/>
  <c r="S68" i="49" s="1"/>
  <c r="T68" i="49" s="1"/>
  <c r="H86" i="49"/>
  <c r="Q74" i="49"/>
  <c r="R74" i="49" s="1"/>
  <c r="S74" i="49" s="1"/>
  <c r="T74" i="49" s="1"/>
  <c r="H84" i="49"/>
  <c r="Q72" i="49"/>
  <c r="R72" i="49" s="1"/>
  <c r="S72" i="49" s="1"/>
  <c r="T72" i="49" s="1"/>
  <c r="H79" i="49"/>
  <c r="Q67" i="49"/>
  <c r="R67" i="49" s="1"/>
  <c r="S67" i="49" s="1"/>
  <c r="T67" i="49" s="1"/>
  <c r="H83" i="49"/>
  <c r="Q71" i="49"/>
  <c r="R71" i="49" s="1"/>
  <c r="S71" i="49" s="1"/>
  <c r="T71" i="49" s="1"/>
  <c r="H82" i="49"/>
  <c r="Q70" i="49"/>
  <c r="R70" i="49" s="1"/>
  <c r="S70" i="49" s="1"/>
  <c r="T70" i="49" s="1"/>
  <c r="H78" i="49"/>
  <c r="Q66" i="49"/>
  <c r="R66" i="49" s="1"/>
  <c r="S66" i="49" s="1"/>
  <c r="T66" i="49" s="1"/>
  <c r="H75" i="49"/>
  <c r="Q63" i="49"/>
  <c r="H85" i="49"/>
  <c r="Q73" i="49"/>
  <c r="R73" i="49" s="1"/>
  <c r="S73" i="49" s="1"/>
  <c r="T73" i="49" s="1"/>
  <c r="Q65" i="49"/>
  <c r="R65" i="49" s="1"/>
  <c r="S65" i="49" s="1"/>
  <c r="T65" i="49" s="1"/>
  <c r="H77" i="49"/>
  <c r="D33" i="19"/>
  <c r="D57" i="19"/>
  <c r="D69" i="19"/>
  <c r="D21" i="19"/>
  <c r="D45" i="19"/>
  <c r="D81" i="19"/>
  <c r="D93" i="19"/>
  <c r="D9" i="19"/>
  <c r="AH642" i="48"/>
  <c r="AH644" i="48"/>
  <c r="AH615" i="48"/>
  <c r="AI613" i="48"/>
  <c r="G39" i="48"/>
  <c r="F28" i="28"/>
  <c r="R63" i="49" l="1"/>
  <c r="S63" i="49" s="1"/>
  <c r="T63" i="49" s="1"/>
  <c r="H89" i="49"/>
  <c r="Q77" i="49"/>
  <c r="R77" i="49" s="1"/>
  <c r="S77" i="49" s="1"/>
  <c r="T77" i="49" s="1"/>
  <c r="H87" i="49"/>
  <c r="Q75" i="49"/>
  <c r="H94" i="49"/>
  <c r="Q82" i="49"/>
  <c r="R82" i="49" s="1"/>
  <c r="S82" i="49" s="1"/>
  <c r="T82" i="49" s="1"/>
  <c r="H91" i="49"/>
  <c r="Q79" i="49"/>
  <c r="R79" i="49" s="1"/>
  <c r="S79" i="49" s="1"/>
  <c r="T79" i="49" s="1"/>
  <c r="H98" i="49"/>
  <c r="Q86" i="49"/>
  <c r="R86" i="49" s="1"/>
  <c r="S86" i="49" s="1"/>
  <c r="T86" i="49" s="1"/>
  <c r="Q81" i="49"/>
  <c r="R81" i="49" s="1"/>
  <c r="S81" i="49" s="1"/>
  <c r="T81" i="49" s="1"/>
  <c r="H93" i="49"/>
  <c r="H97" i="49"/>
  <c r="Q85" i="49"/>
  <c r="R85" i="49" s="1"/>
  <c r="S85" i="49" s="1"/>
  <c r="T85" i="49" s="1"/>
  <c r="H90" i="49"/>
  <c r="Q78" i="49"/>
  <c r="R78" i="49" s="1"/>
  <c r="S78" i="49" s="1"/>
  <c r="T78" i="49" s="1"/>
  <c r="H95" i="49"/>
  <c r="Q83" i="49"/>
  <c r="R83" i="49" s="1"/>
  <c r="S83" i="49" s="1"/>
  <c r="T83" i="49" s="1"/>
  <c r="H96" i="49"/>
  <c r="Q84" i="49"/>
  <c r="R84" i="49" s="1"/>
  <c r="S84" i="49" s="1"/>
  <c r="T84" i="49" s="1"/>
  <c r="H92" i="49"/>
  <c r="Q80" i="49"/>
  <c r="R80" i="49" s="1"/>
  <c r="S80" i="49" s="1"/>
  <c r="T80" i="49" s="1"/>
  <c r="H88" i="49"/>
  <c r="Q76" i="49"/>
  <c r="R76" i="49" s="1"/>
  <c r="S76" i="49" s="1"/>
  <c r="T76" i="49" s="1"/>
  <c r="D10" i="19"/>
  <c r="D82" i="19"/>
  <c r="D22" i="19"/>
  <c r="D58" i="19"/>
  <c r="D94" i="19"/>
  <c r="D46" i="19"/>
  <c r="D70" i="19"/>
  <c r="D34" i="19"/>
  <c r="F29" i="28"/>
  <c r="R75" i="49" l="1"/>
  <c r="S75" i="49" s="1"/>
  <c r="T75" i="49" s="1"/>
  <c r="H102" i="49"/>
  <c r="Q90" i="49"/>
  <c r="R90" i="49" s="1"/>
  <c r="S90" i="49" s="1"/>
  <c r="T90" i="49" s="1"/>
  <c r="H105" i="49"/>
  <c r="Q93" i="49"/>
  <c r="R93" i="49" s="1"/>
  <c r="S93" i="49" s="1"/>
  <c r="T93" i="49" s="1"/>
  <c r="Q91" i="49"/>
  <c r="R91" i="49" s="1"/>
  <c r="S91" i="49" s="1"/>
  <c r="T91" i="49" s="1"/>
  <c r="H103" i="49"/>
  <c r="H99" i="49"/>
  <c r="Q87" i="49"/>
  <c r="H100" i="49"/>
  <c r="Q88" i="49"/>
  <c r="R88" i="49" s="1"/>
  <c r="S88" i="49" s="1"/>
  <c r="T88" i="49" s="1"/>
  <c r="H104" i="49"/>
  <c r="Q92" i="49"/>
  <c r="R92" i="49" s="1"/>
  <c r="S92" i="49" s="1"/>
  <c r="T92" i="49" s="1"/>
  <c r="H107" i="49"/>
  <c r="Q95" i="49"/>
  <c r="R95" i="49" s="1"/>
  <c r="S95" i="49" s="1"/>
  <c r="T95" i="49" s="1"/>
  <c r="Q97" i="49"/>
  <c r="R97" i="49" s="1"/>
  <c r="S97" i="49" s="1"/>
  <c r="T97" i="49" s="1"/>
  <c r="H109" i="49"/>
  <c r="H108" i="49"/>
  <c r="Q96" i="49"/>
  <c r="R96" i="49" s="1"/>
  <c r="S96" i="49" s="1"/>
  <c r="T96" i="49" s="1"/>
  <c r="H110" i="49"/>
  <c r="Q98" i="49"/>
  <c r="R98" i="49" s="1"/>
  <c r="S98" i="49" s="1"/>
  <c r="T98" i="49" s="1"/>
  <c r="H106" i="49"/>
  <c r="Q94" i="49"/>
  <c r="R94" i="49" s="1"/>
  <c r="S94" i="49" s="1"/>
  <c r="T94" i="49" s="1"/>
  <c r="H101" i="49"/>
  <c r="Q89" i="49"/>
  <c r="R89" i="49" s="1"/>
  <c r="S89" i="49" s="1"/>
  <c r="T89" i="49" s="1"/>
  <c r="D35" i="19"/>
  <c r="D47" i="19"/>
  <c r="D59" i="19"/>
  <c r="D83" i="19"/>
  <c r="D71" i="19"/>
  <c r="D95" i="19"/>
  <c r="D23" i="19"/>
  <c r="D11" i="19"/>
  <c r="F30" i="28"/>
  <c r="R87" i="49" l="1"/>
  <c r="S87" i="49" s="1"/>
  <c r="T87" i="49" s="1"/>
  <c r="H113" i="49"/>
  <c r="Q101" i="49"/>
  <c r="R101" i="49" s="1"/>
  <c r="S101" i="49" s="1"/>
  <c r="T101" i="49" s="1"/>
  <c r="H122" i="49"/>
  <c r="Q110" i="49"/>
  <c r="R110" i="49" s="1"/>
  <c r="S110" i="49" s="1"/>
  <c r="T110" i="49" s="1"/>
  <c r="H116" i="49"/>
  <c r="Q104" i="49"/>
  <c r="R104" i="49" s="1"/>
  <c r="S104" i="49" s="1"/>
  <c r="T104" i="49" s="1"/>
  <c r="Q99" i="49"/>
  <c r="H111" i="49"/>
  <c r="Q105" i="49"/>
  <c r="R105" i="49" s="1"/>
  <c r="S105" i="49" s="1"/>
  <c r="T105" i="49" s="1"/>
  <c r="H117" i="49"/>
  <c r="H115" i="49"/>
  <c r="Q103" i="49"/>
  <c r="R103" i="49" s="1"/>
  <c r="S103" i="49" s="1"/>
  <c r="T103" i="49" s="1"/>
  <c r="Q109" i="49"/>
  <c r="R109" i="49" s="1"/>
  <c r="S109" i="49" s="1"/>
  <c r="T109" i="49" s="1"/>
  <c r="H121" i="49"/>
  <c r="H118" i="49"/>
  <c r="Q106" i="49"/>
  <c r="R106" i="49" s="1"/>
  <c r="S106" i="49" s="1"/>
  <c r="T106" i="49" s="1"/>
  <c r="H120" i="49"/>
  <c r="Q108" i="49"/>
  <c r="R108" i="49" s="1"/>
  <c r="S108" i="49" s="1"/>
  <c r="T108" i="49" s="1"/>
  <c r="H119" i="49"/>
  <c r="Q107" i="49"/>
  <c r="R107" i="49" s="1"/>
  <c r="S107" i="49" s="1"/>
  <c r="T107" i="49" s="1"/>
  <c r="H112" i="49"/>
  <c r="Q100" i="49"/>
  <c r="R100" i="49" s="1"/>
  <c r="S100" i="49" s="1"/>
  <c r="T100" i="49" s="1"/>
  <c r="H114" i="49"/>
  <c r="Q102" i="49"/>
  <c r="R102" i="49" s="1"/>
  <c r="S102" i="49" s="1"/>
  <c r="T102" i="49" s="1"/>
  <c r="D12" i="19"/>
  <c r="D96" i="19"/>
  <c r="D84" i="19"/>
  <c r="D48" i="19"/>
  <c r="D24" i="19"/>
  <c r="D72" i="19"/>
  <c r="D60" i="19"/>
  <c r="D36" i="19"/>
  <c r="F31" i="28"/>
  <c r="R99" i="49" l="1"/>
  <c r="S99" i="49" s="1"/>
  <c r="T99" i="49" s="1"/>
  <c r="H126" i="49"/>
  <c r="Q114" i="49"/>
  <c r="R114" i="49" s="1"/>
  <c r="S114" i="49" s="1"/>
  <c r="T114" i="49" s="1"/>
  <c r="H131" i="49"/>
  <c r="Q119" i="49"/>
  <c r="R119" i="49" s="1"/>
  <c r="S119" i="49" s="1"/>
  <c r="T119" i="49" s="1"/>
  <c r="H130" i="49"/>
  <c r="Q118" i="49"/>
  <c r="R118" i="49" s="1"/>
  <c r="S118" i="49" s="1"/>
  <c r="T118" i="49" s="1"/>
  <c r="H127" i="49"/>
  <c r="Q115" i="49"/>
  <c r="R115" i="49" s="1"/>
  <c r="S115" i="49" s="1"/>
  <c r="T115" i="49" s="1"/>
  <c r="H134" i="49"/>
  <c r="Q122" i="49"/>
  <c r="R122" i="49" s="1"/>
  <c r="S122" i="49" s="1"/>
  <c r="T122" i="49" s="1"/>
  <c r="H133" i="49"/>
  <c r="Q121" i="49"/>
  <c r="R121" i="49" s="1"/>
  <c r="S121" i="49" s="1"/>
  <c r="T121" i="49" s="1"/>
  <c r="Q117" i="49"/>
  <c r="R117" i="49" s="1"/>
  <c r="S117" i="49" s="1"/>
  <c r="T117" i="49" s="1"/>
  <c r="H129" i="49"/>
  <c r="H123" i="49"/>
  <c r="Q111" i="49"/>
  <c r="H124" i="49"/>
  <c r="Q112" i="49"/>
  <c r="R112" i="49" s="1"/>
  <c r="S112" i="49" s="1"/>
  <c r="T112" i="49" s="1"/>
  <c r="H132" i="49"/>
  <c r="Q120" i="49"/>
  <c r="R120" i="49" s="1"/>
  <c r="S120" i="49" s="1"/>
  <c r="T120" i="49" s="1"/>
  <c r="H128" i="49"/>
  <c r="Q116" i="49"/>
  <c r="R116" i="49" s="1"/>
  <c r="S116" i="49" s="1"/>
  <c r="T116" i="49" s="1"/>
  <c r="H125" i="49"/>
  <c r="Q113" i="49"/>
  <c r="R113" i="49" s="1"/>
  <c r="S113" i="49" s="1"/>
  <c r="T113" i="49" s="1"/>
  <c r="D37" i="19"/>
  <c r="D73" i="19"/>
  <c r="D49" i="19"/>
  <c r="D97" i="19"/>
  <c r="D61" i="19"/>
  <c r="D25" i="19"/>
  <c r="D85" i="19"/>
  <c r="D13" i="19"/>
  <c r="F32" i="28"/>
  <c r="R111" i="49" l="1"/>
  <c r="S111" i="49" s="1"/>
  <c r="T111" i="49" s="1"/>
  <c r="H137" i="49"/>
  <c r="Q137" i="49" s="1"/>
  <c r="Q125" i="49"/>
  <c r="H144" i="49"/>
  <c r="Q144" i="49" s="1"/>
  <c r="Q132" i="49"/>
  <c r="H135" i="49"/>
  <c r="Q135" i="49" s="1"/>
  <c r="Q123" i="49"/>
  <c r="H145" i="49"/>
  <c r="Q145" i="49" s="1"/>
  <c r="Q133" i="49"/>
  <c r="H139" i="49"/>
  <c r="Q139" i="49" s="1"/>
  <c r="Q127" i="49"/>
  <c r="H143" i="49"/>
  <c r="Q143" i="49" s="1"/>
  <c r="Q131" i="49"/>
  <c r="T123" i="49"/>
  <c r="H141" i="49"/>
  <c r="Q141" i="49" s="1"/>
  <c r="Q129" i="49"/>
  <c r="H140" i="49"/>
  <c r="Q140" i="49" s="1"/>
  <c r="Q128" i="49"/>
  <c r="H136" i="49"/>
  <c r="Q136" i="49" s="1"/>
  <c r="Q124" i="49"/>
  <c r="H146" i="49"/>
  <c r="Q146" i="49" s="1"/>
  <c r="Q134" i="49"/>
  <c r="H142" i="49"/>
  <c r="Q142" i="49" s="1"/>
  <c r="Q130" i="49"/>
  <c r="H138" i="49"/>
  <c r="Q138" i="49" s="1"/>
  <c r="Q126" i="49"/>
  <c r="D14" i="19"/>
  <c r="D26" i="19"/>
  <c r="D98" i="19"/>
  <c r="D74" i="19"/>
  <c r="D86" i="19"/>
  <c r="D62" i="19"/>
  <c r="D50" i="19"/>
  <c r="D38" i="19"/>
  <c r="F33" i="28"/>
  <c r="Q148" i="49" l="1"/>
  <c r="H33" i="28"/>
  <c r="G5" i="28" s="1"/>
  <c r="H5" i="28" s="1"/>
  <c r="F34" i="28" s="1"/>
  <c r="G33" i="28"/>
  <c r="J4" i="28" s="1"/>
  <c r="K4" i="28" s="1"/>
  <c r="N208" i="38" l="1"/>
  <c r="O220" i="38" s="1"/>
  <c r="N209" i="40"/>
  <c r="O221" i="40" s="1"/>
  <c r="N209" i="20"/>
  <c r="O221" i="20" s="1"/>
  <c r="F35" i="28"/>
  <c r="F36" i="28" l="1"/>
  <c r="F37" i="28" l="1"/>
  <c r="F38" i="28" l="1"/>
  <c r="F39" i="28" l="1"/>
  <c r="F40" i="28" l="1"/>
  <c r="F41" i="28" l="1"/>
  <c r="F42" i="28" l="1"/>
  <c r="F43" i="28" l="1"/>
  <c r="F44" i="28" l="1"/>
  <c r="F45" i="28" l="1"/>
  <c r="H45" i="28" l="1"/>
  <c r="G6" i="28" s="1"/>
  <c r="H6" i="28" s="1"/>
  <c r="F46" i="28" s="1"/>
  <c r="C3" i="49" s="1"/>
  <c r="E3" i="49" s="1"/>
  <c r="G45" i="28"/>
  <c r="J5" i="28" s="1"/>
  <c r="K5" i="28" s="1"/>
  <c r="F3" i="49" l="1"/>
  <c r="C3" i="19"/>
  <c r="E3" i="19" s="1"/>
  <c r="R3" i="19"/>
  <c r="F47" i="28"/>
  <c r="C4" i="49" s="1"/>
  <c r="E4" i="49" s="1"/>
  <c r="F4" i="49" s="1"/>
  <c r="F3" i="19" l="1"/>
  <c r="C4" i="19"/>
  <c r="E4" i="19" s="1"/>
  <c r="F4" i="19" s="1"/>
  <c r="S3" i="19"/>
  <c r="T3" i="19" s="1"/>
  <c r="N210" i="20"/>
  <c r="O222" i="20" s="1"/>
  <c r="N210" i="40"/>
  <c r="O222" i="40" s="1"/>
  <c r="R4" i="19"/>
  <c r="S4" i="19" s="1"/>
  <c r="T4" i="19" s="1"/>
  <c r="F3" i="40"/>
  <c r="M3" i="40" s="1"/>
  <c r="G3" i="38"/>
  <c r="M3" i="38" s="1"/>
  <c r="G3" i="20"/>
  <c r="M3" i="20" s="1"/>
  <c r="F48" i="28"/>
  <c r="C5" i="49" s="1"/>
  <c r="E5" i="49" s="1"/>
  <c r="F5" i="49" s="1"/>
  <c r="C5" i="19" l="1"/>
  <c r="E5" i="19" s="1"/>
  <c r="F5" i="19" s="1"/>
  <c r="N209" i="38"/>
  <c r="O221" i="38" s="1"/>
  <c r="R5" i="19"/>
  <c r="S5" i="19" s="1"/>
  <c r="T5" i="19" s="1"/>
  <c r="F4" i="40"/>
  <c r="M4" i="40" s="1"/>
  <c r="G4" i="38"/>
  <c r="M4" i="38" s="1"/>
  <c r="G4" i="20"/>
  <c r="M4" i="20" s="1"/>
  <c r="F49" i="28"/>
  <c r="C6" i="49" s="1"/>
  <c r="E6" i="49" s="1"/>
  <c r="F6" i="49" s="1"/>
  <c r="C6" i="19" l="1"/>
  <c r="E6" i="19" s="1"/>
  <c r="F6" i="19" s="1"/>
  <c r="R6" i="19"/>
  <c r="F5" i="40"/>
  <c r="M5" i="40" s="1"/>
  <c r="G5" i="38"/>
  <c r="M5" i="38" s="1"/>
  <c r="G5" i="20"/>
  <c r="M5" i="20" s="1"/>
  <c r="F50" i="28"/>
  <c r="C7" i="49" s="1"/>
  <c r="E7" i="49" s="1"/>
  <c r="F7" i="49" s="1"/>
  <c r="C7" i="19" l="1"/>
  <c r="E7" i="19" s="1"/>
  <c r="F7" i="19" s="1"/>
  <c r="S6" i="19"/>
  <c r="T6" i="19" s="1"/>
  <c r="R7" i="19"/>
  <c r="S7" i="19" s="1"/>
  <c r="T7" i="19" s="1"/>
  <c r="F6" i="40"/>
  <c r="M6" i="40" s="1"/>
  <c r="G6" i="38"/>
  <c r="M6" i="38" s="1"/>
  <c r="G6" i="20"/>
  <c r="M6" i="20" s="1"/>
  <c r="F51" i="28"/>
  <c r="C8" i="49" s="1"/>
  <c r="E8" i="49" s="1"/>
  <c r="F8" i="49" l="1"/>
  <c r="C8" i="19"/>
  <c r="E8" i="19" s="1"/>
  <c r="F8" i="19" s="1"/>
  <c r="R8" i="19"/>
  <c r="S8" i="19" s="1"/>
  <c r="T8" i="19" s="1"/>
  <c r="F7" i="40"/>
  <c r="M7" i="40" s="1"/>
  <c r="G7" i="38"/>
  <c r="M7" i="38" s="1"/>
  <c r="G7" i="20"/>
  <c r="M7" i="20" s="1"/>
  <c r="F52" i="28"/>
  <c r="C9" i="49" s="1"/>
  <c r="E9" i="49" s="1"/>
  <c r="F9" i="49" s="1"/>
  <c r="C9" i="19" l="1"/>
  <c r="E9" i="19" s="1"/>
  <c r="F9" i="19" s="1"/>
  <c r="R9" i="19"/>
  <c r="S9" i="19" s="1"/>
  <c r="T9" i="19" s="1"/>
  <c r="F8" i="40"/>
  <c r="M8" i="40" s="1"/>
  <c r="G8" i="38"/>
  <c r="M8" i="38" s="1"/>
  <c r="G8" i="20"/>
  <c r="M8" i="20" s="1"/>
  <c r="F53" i="28"/>
  <c r="C10" i="49" s="1"/>
  <c r="E10" i="49" s="1"/>
  <c r="F10" i="49" s="1"/>
  <c r="C10" i="19" l="1"/>
  <c r="E10" i="19" s="1"/>
  <c r="F10" i="19" s="1"/>
  <c r="R10" i="19"/>
  <c r="F9" i="40"/>
  <c r="M9" i="40" s="1"/>
  <c r="G9" i="38"/>
  <c r="M9" i="38" s="1"/>
  <c r="G9" i="20"/>
  <c r="M9" i="20" s="1"/>
  <c r="F54" i="28"/>
  <c r="C11" i="49" s="1"/>
  <c r="E11" i="49" s="1"/>
  <c r="F11" i="49" s="1"/>
  <c r="C11" i="19" l="1"/>
  <c r="E11" i="19" s="1"/>
  <c r="F11" i="19" s="1"/>
  <c r="S10" i="19"/>
  <c r="T10" i="19" s="1"/>
  <c r="F10" i="40"/>
  <c r="M10" i="40" s="1"/>
  <c r="G10" i="38"/>
  <c r="M10" i="38" s="1"/>
  <c r="G10" i="20"/>
  <c r="M10" i="20" s="1"/>
  <c r="R11" i="19"/>
  <c r="S11" i="19" s="1"/>
  <c r="T11" i="19" s="1"/>
  <c r="F55" i="28"/>
  <c r="C12" i="49" s="1"/>
  <c r="E12" i="49" s="1"/>
  <c r="F12" i="49" s="1"/>
  <c r="C12" i="19" l="1"/>
  <c r="E12" i="19" s="1"/>
  <c r="F12" i="19" s="1"/>
  <c r="R12" i="19"/>
  <c r="S12" i="19" s="1"/>
  <c r="T12" i="19" s="1"/>
  <c r="F11" i="40"/>
  <c r="M11" i="40" s="1"/>
  <c r="G11" i="38"/>
  <c r="M11" i="38" s="1"/>
  <c r="G11" i="20"/>
  <c r="M11" i="20" s="1"/>
  <c r="F56" i="28"/>
  <c r="C13" i="49" s="1"/>
  <c r="E13" i="49" s="1"/>
  <c r="F13" i="49" s="1"/>
  <c r="C13" i="19" l="1"/>
  <c r="E13" i="19" s="1"/>
  <c r="F13" i="19" s="1"/>
  <c r="F12" i="40"/>
  <c r="M12" i="40" s="1"/>
  <c r="G12" i="38"/>
  <c r="M12" i="38" s="1"/>
  <c r="G12" i="20"/>
  <c r="M12" i="20" s="1"/>
  <c r="R13" i="19"/>
  <c r="S13" i="19" s="1"/>
  <c r="T13" i="19" s="1"/>
  <c r="F57" i="28"/>
  <c r="C14" i="49" s="1"/>
  <c r="E14" i="49" s="1"/>
  <c r="F14" i="49" l="1"/>
  <c r="F151" i="49" s="1"/>
  <c r="E151" i="49"/>
  <c r="J151" i="49" s="1"/>
  <c r="Q151" i="49" s="1"/>
  <c r="C14" i="19"/>
  <c r="E14" i="19" s="1"/>
  <c r="F13" i="40"/>
  <c r="M13" i="40" s="1"/>
  <c r="G13" i="38"/>
  <c r="M13" i="38" s="1"/>
  <c r="G13" i="20"/>
  <c r="M13" i="20" s="1"/>
  <c r="H57" i="28"/>
  <c r="G7" i="28" s="1"/>
  <c r="H7" i="28" s="1"/>
  <c r="F58" i="28" s="1"/>
  <c r="C15" i="49" s="1"/>
  <c r="E15" i="49" s="1"/>
  <c r="G57" i="28"/>
  <c r="J6" i="28" s="1"/>
  <c r="K6" i="28" s="1"/>
  <c r="F15" i="49" l="1"/>
  <c r="F14" i="19"/>
  <c r="F151" i="19" s="1"/>
  <c r="E151" i="19"/>
  <c r="J151" i="19" s="1"/>
  <c r="Q151" i="19" s="1"/>
  <c r="C15" i="19"/>
  <c r="E15" i="19" s="1"/>
  <c r="R14" i="19"/>
  <c r="F14" i="40"/>
  <c r="M14" i="40" s="1"/>
  <c r="M151" i="40" s="1"/>
  <c r="N151" i="40" s="1"/>
  <c r="O151" i="40" s="1"/>
  <c r="G14" i="38"/>
  <c r="M14" i="38" s="1"/>
  <c r="G14" i="20"/>
  <c r="M14" i="20" s="1"/>
  <c r="M151" i="20" s="1"/>
  <c r="R15" i="19"/>
  <c r="S15" i="19" s="1"/>
  <c r="T15" i="19" s="1"/>
  <c r="F59" i="28"/>
  <c r="C16" i="49" s="1"/>
  <c r="E16" i="49" s="1"/>
  <c r="F16" i="49" s="1"/>
  <c r="R151" i="19" l="1"/>
  <c r="E272" i="48" s="1"/>
  <c r="F15" i="19"/>
  <c r="C16" i="19"/>
  <c r="E16" i="19" s="1"/>
  <c r="F16" i="19" s="1"/>
  <c r="C7" i="9"/>
  <c r="D7" i="9" s="1"/>
  <c r="E7" i="9" s="1"/>
  <c r="S14" i="19"/>
  <c r="T14" i="19" s="1"/>
  <c r="N151" i="20"/>
  <c r="O151" i="20" s="1"/>
  <c r="M150" i="38"/>
  <c r="N211" i="20"/>
  <c r="O223" i="20" s="1"/>
  <c r="N211" i="40"/>
  <c r="O223" i="40" s="1"/>
  <c r="F15" i="40"/>
  <c r="M15" i="40" s="1"/>
  <c r="G15" i="38"/>
  <c r="M15" i="38" s="1"/>
  <c r="G15" i="20"/>
  <c r="M15" i="20" s="1"/>
  <c r="R16" i="19"/>
  <c r="S16" i="19" s="1"/>
  <c r="T16" i="19" s="1"/>
  <c r="F60" i="28"/>
  <c r="C17" i="49" s="1"/>
  <c r="E17" i="49" s="1"/>
  <c r="F17" i="49" s="1"/>
  <c r="S151" i="19" l="1"/>
  <c r="C272" i="48"/>
  <c r="D272" i="48" s="1"/>
  <c r="T151" i="19"/>
  <c r="U151" i="19" s="1"/>
  <c r="B5" i="11"/>
  <c r="B6" i="11" s="1"/>
  <c r="C17" i="19"/>
  <c r="E17" i="19" s="1"/>
  <c r="F272" i="48"/>
  <c r="F368" i="48" s="1"/>
  <c r="N210" i="38"/>
  <c r="O222" i="38" s="1"/>
  <c r="N150" i="38"/>
  <c r="O150" i="38" s="1"/>
  <c r="F16" i="40"/>
  <c r="M16" i="40" s="1"/>
  <c r="G16" i="38"/>
  <c r="M16" i="38" s="1"/>
  <c r="G16" i="20"/>
  <c r="M16" i="20" s="1"/>
  <c r="R17" i="19"/>
  <c r="S17" i="19" s="1"/>
  <c r="T17" i="19" s="1"/>
  <c r="F61" i="28"/>
  <c r="C18" i="49" s="1"/>
  <c r="E18" i="49" s="1"/>
  <c r="F18" i="49" s="1"/>
  <c r="F17" i="19" l="1"/>
  <c r="D29" i="48"/>
  <c r="I184" i="48" s="1"/>
  <c r="B56" i="48"/>
  <c r="B94" i="48" s="1"/>
  <c r="B120" i="48"/>
  <c r="B158" i="48" s="1"/>
  <c r="D56" i="48"/>
  <c r="D94" i="48" s="1"/>
  <c r="F56" i="48"/>
  <c r="F94" i="48" s="1"/>
  <c r="E56" i="48"/>
  <c r="E94" i="48" s="1"/>
  <c r="C18" i="19"/>
  <c r="E18" i="19" s="1"/>
  <c r="F18" i="19" s="1"/>
  <c r="G272" i="48"/>
  <c r="G56" i="48"/>
  <c r="G94" i="48" s="1"/>
  <c r="E120" i="48"/>
  <c r="E158" i="48" s="1"/>
  <c r="C56" i="48"/>
  <c r="C94" i="48" s="1"/>
  <c r="F120" i="48"/>
  <c r="F158" i="48" s="1"/>
  <c r="G184" i="48"/>
  <c r="G224" i="48" s="1"/>
  <c r="D184" i="48"/>
  <c r="D224" i="48" s="1"/>
  <c r="D120" i="48"/>
  <c r="D158" i="48" s="1"/>
  <c r="I368" i="48"/>
  <c r="C120" i="48"/>
  <c r="C158" i="48" s="1"/>
  <c r="E184" i="48"/>
  <c r="E224" i="48" s="1"/>
  <c r="H368" i="48"/>
  <c r="C184" i="48"/>
  <c r="C224" i="48" s="1"/>
  <c r="G368" i="48"/>
  <c r="G120" i="48"/>
  <c r="G158" i="48" s="1"/>
  <c r="B184" i="48"/>
  <c r="B224" i="48" s="1"/>
  <c r="F184" i="48"/>
  <c r="F224" i="48" s="1"/>
  <c r="R18" i="19"/>
  <c r="F17" i="40"/>
  <c r="M17" i="40" s="1"/>
  <c r="G17" i="38"/>
  <c r="M17" i="38" s="1"/>
  <c r="G17" i="20"/>
  <c r="M17" i="20" s="1"/>
  <c r="F62" i="28"/>
  <c r="C19" i="49" s="1"/>
  <c r="E19" i="49" s="1"/>
  <c r="F19" i="49" s="1"/>
  <c r="H56" i="48" l="1"/>
  <c r="C19" i="19"/>
  <c r="E19" i="19" s="1"/>
  <c r="F19" i="19" s="1"/>
  <c r="H120" i="48"/>
  <c r="H184" i="48"/>
  <c r="S18" i="19"/>
  <c r="T18" i="19" s="1"/>
  <c r="F18" i="40"/>
  <c r="M18" i="40" s="1"/>
  <c r="G18" i="38"/>
  <c r="M18" i="38" s="1"/>
  <c r="G18" i="20"/>
  <c r="M18" i="20" s="1"/>
  <c r="R19" i="19"/>
  <c r="S19" i="19" s="1"/>
  <c r="T19" i="19" s="1"/>
  <c r="F63" i="28"/>
  <c r="C20" i="49" s="1"/>
  <c r="E20" i="49" s="1"/>
  <c r="F20" i="49" s="1"/>
  <c r="C20" i="19" l="1"/>
  <c r="E20" i="19" s="1"/>
  <c r="F20" i="19" s="1"/>
  <c r="R20" i="19"/>
  <c r="S20" i="19" s="1"/>
  <c r="T20" i="19" s="1"/>
  <c r="G19" i="38"/>
  <c r="M19" i="38" s="1"/>
  <c r="F19" i="40"/>
  <c r="M19" i="40" s="1"/>
  <c r="G19" i="20"/>
  <c r="M19" i="20" s="1"/>
  <c r="F64" i="28"/>
  <c r="C21" i="49" s="1"/>
  <c r="E21" i="49" s="1"/>
  <c r="F21" i="49" s="1"/>
  <c r="C21" i="19" l="1"/>
  <c r="E21" i="19" s="1"/>
  <c r="F21" i="19" s="1"/>
  <c r="F20" i="40"/>
  <c r="M20" i="40" s="1"/>
  <c r="G20" i="38"/>
  <c r="M20" i="38" s="1"/>
  <c r="G20" i="20"/>
  <c r="M20" i="20" s="1"/>
  <c r="R21" i="19"/>
  <c r="S21" i="19" s="1"/>
  <c r="T21" i="19" s="1"/>
  <c r="F65" i="28"/>
  <c r="C22" i="49" s="1"/>
  <c r="E22" i="49" s="1"/>
  <c r="F22" i="49" s="1"/>
  <c r="C22" i="19" l="1"/>
  <c r="E22" i="19" s="1"/>
  <c r="F22" i="19" s="1"/>
  <c r="R22" i="19"/>
  <c r="F21" i="40"/>
  <c r="M21" i="40" s="1"/>
  <c r="G21" i="38"/>
  <c r="M21" i="38" s="1"/>
  <c r="G21" i="20"/>
  <c r="M21" i="20" s="1"/>
  <c r="F66" i="28"/>
  <c r="C23" i="49" s="1"/>
  <c r="E23" i="49" s="1"/>
  <c r="F23" i="49" s="1"/>
  <c r="C23" i="19" l="1"/>
  <c r="E23" i="19" s="1"/>
  <c r="F23" i="19" s="1"/>
  <c r="S22" i="19"/>
  <c r="T22" i="19" s="1"/>
  <c r="F22" i="40"/>
  <c r="M22" i="40" s="1"/>
  <c r="G22" i="38"/>
  <c r="M22" i="38" s="1"/>
  <c r="G22" i="20"/>
  <c r="M22" i="20" s="1"/>
  <c r="R23" i="19"/>
  <c r="S23" i="19" s="1"/>
  <c r="T23" i="19" s="1"/>
  <c r="F67" i="28"/>
  <c r="C24" i="49" s="1"/>
  <c r="E24" i="49" s="1"/>
  <c r="F24" i="49" s="1"/>
  <c r="C24" i="19" l="1"/>
  <c r="E24" i="19" s="1"/>
  <c r="F24" i="19" s="1"/>
  <c r="R24" i="19"/>
  <c r="S24" i="19" s="1"/>
  <c r="T24" i="19" s="1"/>
  <c r="F23" i="40"/>
  <c r="M23" i="40" s="1"/>
  <c r="G23" i="38"/>
  <c r="M23" i="38" s="1"/>
  <c r="G23" i="20"/>
  <c r="M23" i="20" s="1"/>
  <c r="F68" i="28"/>
  <c r="C25" i="49" s="1"/>
  <c r="E25" i="49" s="1"/>
  <c r="F25" i="49" s="1"/>
  <c r="C25" i="19" l="1"/>
  <c r="E25" i="19" s="1"/>
  <c r="F25" i="19" s="1"/>
  <c r="R25" i="19"/>
  <c r="S25" i="19" s="1"/>
  <c r="T25" i="19" s="1"/>
  <c r="F24" i="40"/>
  <c r="M24" i="40" s="1"/>
  <c r="G24" i="38"/>
  <c r="M24" i="38" s="1"/>
  <c r="G24" i="20"/>
  <c r="M24" i="20" s="1"/>
  <c r="F69" i="28"/>
  <c r="C26" i="49" s="1"/>
  <c r="E26" i="49" s="1"/>
  <c r="F26" i="49" l="1"/>
  <c r="F152" i="49" s="1"/>
  <c r="E152" i="49"/>
  <c r="J152" i="49" s="1"/>
  <c r="Q152" i="49" s="1"/>
  <c r="C26" i="19"/>
  <c r="E26" i="19" s="1"/>
  <c r="F25" i="40"/>
  <c r="M25" i="40" s="1"/>
  <c r="G25" i="38"/>
  <c r="M25" i="38" s="1"/>
  <c r="G25" i="20"/>
  <c r="M25" i="20" s="1"/>
  <c r="H69" i="28"/>
  <c r="G8" i="28" s="1"/>
  <c r="H8" i="28" s="1"/>
  <c r="F70" i="28" s="1"/>
  <c r="C27" i="49" s="1"/>
  <c r="E27" i="49" s="1"/>
  <c r="G69" i="28"/>
  <c r="J7" i="28" s="1"/>
  <c r="K7" i="28" s="1"/>
  <c r="F27" i="49" l="1"/>
  <c r="F26" i="19"/>
  <c r="F152" i="19" s="1"/>
  <c r="E152" i="19"/>
  <c r="J152" i="19" s="1"/>
  <c r="Q152" i="19" s="1"/>
  <c r="C27" i="19"/>
  <c r="E27" i="19" s="1"/>
  <c r="R26" i="19"/>
  <c r="R27" i="19"/>
  <c r="S27" i="19" s="1"/>
  <c r="T27" i="19" s="1"/>
  <c r="F26" i="40"/>
  <c r="M26" i="40" s="1"/>
  <c r="M152" i="40" s="1"/>
  <c r="N152" i="40" s="1"/>
  <c r="O152" i="40" s="1"/>
  <c r="G26" i="38"/>
  <c r="M26" i="38" s="1"/>
  <c r="G26" i="20"/>
  <c r="M26" i="20" s="1"/>
  <c r="M152" i="20" s="1"/>
  <c r="F71" i="28"/>
  <c r="C28" i="49" s="1"/>
  <c r="E28" i="49" s="1"/>
  <c r="F28" i="49" s="1"/>
  <c r="R152" i="19" l="1"/>
  <c r="E273" i="48" s="1"/>
  <c r="C273" i="48"/>
  <c r="D273" i="48" s="1"/>
  <c r="F27" i="19"/>
  <c r="C28" i="19"/>
  <c r="E28" i="19" s="1"/>
  <c r="F28" i="19" s="1"/>
  <c r="T152" i="19"/>
  <c r="U152" i="19" s="1"/>
  <c r="C8" i="9"/>
  <c r="D8" i="9" s="1"/>
  <c r="E8" i="9" s="1"/>
  <c r="S26" i="19"/>
  <c r="T26" i="19" s="1"/>
  <c r="N152" i="20"/>
  <c r="O152" i="20" s="1"/>
  <c r="M151" i="38"/>
  <c r="N212" i="20"/>
  <c r="O224" i="20" s="1"/>
  <c r="N212" i="40"/>
  <c r="O224" i="40" s="1"/>
  <c r="F27" i="40"/>
  <c r="M27" i="40" s="1"/>
  <c r="G27" i="38"/>
  <c r="M27" i="38" s="1"/>
  <c r="G27" i="20"/>
  <c r="M27" i="20" s="1"/>
  <c r="R28" i="19"/>
  <c r="S28" i="19" s="1"/>
  <c r="T28" i="19" s="1"/>
  <c r="F72" i="28"/>
  <c r="C29" i="49" s="1"/>
  <c r="E29" i="49" s="1"/>
  <c r="F29" i="49" s="1"/>
  <c r="S152" i="19" l="1"/>
  <c r="C29" i="19"/>
  <c r="E29" i="19" s="1"/>
  <c r="F273" i="48"/>
  <c r="G369" i="48" s="1"/>
  <c r="C5" i="11"/>
  <c r="C6" i="11" s="1"/>
  <c r="N211" i="38"/>
  <c r="O223" i="38" s="1"/>
  <c r="N151" i="38"/>
  <c r="O151" i="38" s="1"/>
  <c r="R29" i="19"/>
  <c r="S29" i="19" s="1"/>
  <c r="T29" i="19" s="1"/>
  <c r="F28" i="40"/>
  <c r="M28" i="40" s="1"/>
  <c r="G28" i="38"/>
  <c r="M28" i="38" s="1"/>
  <c r="G28" i="20"/>
  <c r="M28" i="20" s="1"/>
  <c r="F73" i="28"/>
  <c r="C30" i="49" s="1"/>
  <c r="E30" i="49" s="1"/>
  <c r="F30" i="49" s="1"/>
  <c r="F29" i="19" l="1"/>
  <c r="D30" i="48"/>
  <c r="I185" i="48" s="1"/>
  <c r="F121" i="48"/>
  <c r="F159" i="48" s="1"/>
  <c r="C121" i="48"/>
  <c r="C159" i="48" s="1"/>
  <c r="G57" i="48"/>
  <c r="G95" i="48" s="1"/>
  <c r="E185" i="48"/>
  <c r="E225" i="48" s="1"/>
  <c r="F57" i="48"/>
  <c r="F95" i="48" s="1"/>
  <c r="F185" i="48"/>
  <c r="F225" i="48" s="1"/>
  <c r="C30" i="19"/>
  <c r="E30" i="19" s="1"/>
  <c r="F30" i="19" s="1"/>
  <c r="F369" i="48"/>
  <c r="E57" i="48"/>
  <c r="E95" i="48" s="1"/>
  <c r="E121" i="48"/>
  <c r="E159" i="48" s="1"/>
  <c r="H369" i="48"/>
  <c r="D121" i="48"/>
  <c r="D159" i="48" s="1"/>
  <c r="D185" i="48"/>
  <c r="D225" i="48" s="1"/>
  <c r="G273" i="48"/>
  <c r="D57" i="48"/>
  <c r="D95" i="48" s="1"/>
  <c r="B121" i="48"/>
  <c r="B159" i="48" s="1"/>
  <c r="G185" i="48"/>
  <c r="G225" i="48" s="1"/>
  <c r="B57" i="48"/>
  <c r="B95" i="48" s="1"/>
  <c r="C57" i="48"/>
  <c r="C95" i="48" s="1"/>
  <c r="G121" i="48"/>
  <c r="G159" i="48" s="1"/>
  <c r="B185" i="48"/>
  <c r="B225" i="48" s="1"/>
  <c r="C185" i="48"/>
  <c r="C225" i="48" s="1"/>
  <c r="R30" i="19"/>
  <c r="F29" i="40"/>
  <c r="M29" i="40" s="1"/>
  <c r="G29" i="38"/>
  <c r="M29" i="38" s="1"/>
  <c r="G29" i="20"/>
  <c r="M29" i="20" s="1"/>
  <c r="F74" i="28"/>
  <c r="C31" i="49" s="1"/>
  <c r="E31" i="49" s="1"/>
  <c r="F31" i="49" s="1"/>
  <c r="E30" i="48" l="1"/>
  <c r="I369" i="48"/>
  <c r="C31" i="19"/>
  <c r="E31" i="19" s="1"/>
  <c r="H121" i="48"/>
  <c r="H185" i="48"/>
  <c r="H57" i="48"/>
  <c r="S30" i="19"/>
  <c r="T30" i="19" s="1"/>
  <c r="R31" i="19"/>
  <c r="S31" i="19" s="1"/>
  <c r="T31" i="19" s="1"/>
  <c r="G30" i="38"/>
  <c r="M30" i="38" s="1"/>
  <c r="F30" i="40"/>
  <c r="M30" i="40" s="1"/>
  <c r="G30" i="20"/>
  <c r="M30" i="20" s="1"/>
  <c r="F75" i="28"/>
  <c r="C32" i="49" s="1"/>
  <c r="E32" i="49" s="1"/>
  <c r="F32" i="49" s="1"/>
  <c r="F31" i="19" l="1"/>
  <c r="C32" i="19"/>
  <c r="E32" i="19" s="1"/>
  <c r="F32" i="19" s="1"/>
  <c r="R32" i="19"/>
  <c r="S32" i="19" s="1"/>
  <c r="T32" i="19" s="1"/>
  <c r="F31" i="40"/>
  <c r="M31" i="40" s="1"/>
  <c r="G31" i="38"/>
  <c r="M31" i="38" s="1"/>
  <c r="G31" i="20"/>
  <c r="M31" i="20" s="1"/>
  <c r="F76" i="28"/>
  <c r="C33" i="49" s="1"/>
  <c r="E33" i="49" s="1"/>
  <c r="F33" i="49" s="1"/>
  <c r="C33" i="19" l="1"/>
  <c r="E33" i="19" s="1"/>
  <c r="F33" i="19" s="1"/>
  <c r="R33" i="19"/>
  <c r="S33" i="19" s="1"/>
  <c r="T33" i="19" s="1"/>
  <c r="F32" i="40"/>
  <c r="M32" i="40" s="1"/>
  <c r="G32" i="38"/>
  <c r="M32" i="38" s="1"/>
  <c r="G32" i="20"/>
  <c r="M32" i="20" s="1"/>
  <c r="F77" i="28"/>
  <c r="C34" i="49" s="1"/>
  <c r="E34" i="49" s="1"/>
  <c r="F34" i="49" s="1"/>
  <c r="C34" i="19" l="1"/>
  <c r="E34" i="19" s="1"/>
  <c r="F34" i="19" s="1"/>
  <c r="R34" i="19"/>
  <c r="F33" i="40"/>
  <c r="M33" i="40" s="1"/>
  <c r="G33" i="38"/>
  <c r="M33" i="38" s="1"/>
  <c r="G33" i="20"/>
  <c r="M33" i="20" s="1"/>
  <c r="F78" i="28"/>
  <c r="C35" i="49" s="1"/>
  <c r="E35" i="49" s="1"/>
  <c r="F35" i="49" s="1"/>
  <c r="C35" i="19" l="1"/>
  <c r="E35" i="19" s="1"/>
  <c r="F35" i="19" s="1"/>
  <c r="S34" i="19"/>
  <c r="T34" i="19" s="1"/>
  <c r="R35" i="19"/>
  <c r="S35" i="19" s="1"/>
  <c r="T35" i="19" s="1"/>
  <c r="F34" i="40"/>
  <c r="M34" i="40" s="1"/>
  <c r="G34" i="38"/>
  <c r="M34" i="38" s="1"/>
  <c r="G34" i="20"/>
  <c r="M34" i="20" s="1"/>
  <c r="F79" i="28"/>
  <c r="C36" i="49" s="1"/>
  <c r="E36" i="49" s="1"/>
  <c r="F36" i="49" s="1"/>
  <c r="C36" i="19" l="1"/>
  <c r="E36" i="19" s="1"/>
  <c r="F36" i="19" s="1"/>
  <c r="R36" i="19"/>
  <c r="S36" i="19" s="1"/>
  <c r="T36" i="19" s="1"/>
  <c r="F35" i="40"/>
  <c r="M35" i="40" s="1"/>
  <c r="G35" i="38"/>
  <c r="M35" i="38" s="1"/>
  <c r="G35" i="20"/>
  <c r="M35" i="20" s="1"/>
  <c r="F80" i="28"/>
  <c r="C37" i="49" s="1"/>
  <c r="E37" i="49" s="1"/>
  <c r="F37" i="49" s="1"/>
  <c r="C37" i="19" l="1"/>
  <c r="E37" i="19" s="1"/>
  <c r="F37" i="19" s="1"/>
  <c r="R37" i="19"/>
  <c r="S37" i="19" s="1"/>
  <c r="T37" i="19" s="1"/>
  <c r="G36" i="38"/>
  <c r="M36" i="38" s="1"/>
  <c r="F36" i="40"/>
  <c r="M36" i="40" s="1"/>
  <c r="G36" i="20"/>
  <c r="M36" i="20" s="1"/>
  <c r="F81" i="28"/>
  <c r="C38" i="49" s="1"/>
  <c r="E38" i="49" s="1"/>
  <c r="F38" i="49" l="1"/>
  <c r="F153" i="49" s="1"/>
  <c r="E153" i="49"/>
  <c r="J153" i="49" s="1"/>
  <c r="Q153" i="49" s="1"/>
  <c r="C38" i="19"/>
  <c r="E38" i="19" s="1"/>
  <c r="F37" i="40"/>
  <c r="M37" i="40" s="1"/>
  <c r="G37" i="38"/>
  <c r="M37" i="38" s="1"/>
  <c r="G37" i="20"/>
  <c r="M37" i="20" s="1"/>
  <c r="H81" i="28"/>
  <c r="G9" i="28" s="1"/>
  <c r="H9" i="28" s="1"/>
  <c r="F82" i="28" s="1"/>
  <c r="C39" i="49" s="1"/>
  <c r="E39" i="49" s="1"/>
  <c r="G81" i="28"/>
  <c r="J8" i="28" s="1"/>
  <c r="K8" i="28" s="1"/>
  <c r="F39" i="49" l="1"/>
  <c r="F38" i="19"/>
  <c r="F153" i="19" s="1"/>
  <c r="E153" i="19"/>
  <c r="J153" i="19" s="1"/>
  <c r="Q153" i="19" s="1"/>
  <c r="C39" i="19"/>
  <c r="E39" i="19" s="1"/>
  <c r="R38" i="19"/>
  <c r="F38" i="40"/>
  <c r="M38" i="40" s="1"/>
  <c r="M153" i="40" s="1"/>
  <c r="N153" i="40" s="1"/>
  <c r="O153" i="40" s="1"/>
  <c r="G38" i="38"/>
  <c r="M38" i="38" s="1"/>
  <c r="G38" i="20"/>
  <c r="M38" i="20" s="1"/>
  <c r="M153" i="20" s="1"/>
  <c r="R39" i="19"/>
  <c r="S39" i="19" s="1"/>
  <c r="T39" i="19" s="1"/>
  <c r="F83" i="28"/>
  <c r="C40" i="49" s="1"/>
  <c r="E40" i="49" s="1"/>
  <c r="F40" i="49" s="1"/>
  <c r="R153" i="19" l="1"/>
  <c r="E274" i="48" s="1"/>
  <c r="F39" i="19"/>
  <c r="C40" i="19"/>
  <c r="E40" i="19" s="1"/>
  <c r="F40" i="19" s="1"/>
  <c r="T153" i="19"/>
  <c r="U153" i="19" s="1"/>
  <c r="S38" i="19"/>
  <c r="T38" i="19" s="1"/>
  <c r="N153" i="20"/>
  <c r="O153" i="20" s="1"/>
  <c r="M152" i="38"/>
  <c r="N213" i="20"/>
  <c r="O225" i="20" s="1"/>
  <c r="N213" i="40"/>
  <c r="O225" i="40" s="1"/>
  <c r="F39" i="40"/>
  <c r="M39" i="40" s="1"/>
  <c r="G39" i="38"/>
  <c r="M39" i="38" s="1"/>
  <c r="G39" i="20"/>
  <c r="M39" i="20" s="1"/>
  <c r="R40" i="19"/>
  <c r="S40" i="19" s="1"/>
  <c r="T40" i="19" s="1"/>
  <c r="F84" i="28"/>
  <c r="C41" i="49" s="1"/>
  <c r="E41" i="49" s="1"/>
  <c r="F41" i="49" s="1"/>
  <c r="S153" i="19" l="1"/>
  <c r="C9" i="9"/>
  <c r="D9" i="9" s="1"/>
  <c r="E9" i="9" s="1"/>
  <c r="C274" i="48"/>
  <c r="D274" i="48" s="1"/>
  <c r="C41" i="19"/>
  <c r="E41" i="19" s="1"/>
  <c r="F41" i="19" s="1"/>
  <c r="N212" i="38"/>
  <c r="O224" i="38" s="1"/>
  <c r="N152" i="38"/>
  <c r="O152" i="38" s="1"/>
  <c r="R41" i="19"/>
  <c r="S41" i="19" s="1"/>
  <c r="T41" i="19" s="1"/>
  <c r="G40" i="38"/>
  <c r="M40" i="38" s="1"/>
  <c r="F40" i="40"/>
  <c r="M40" i="40" s="1"/>
  <c r="G40" i="20"/>
  <c r="M40" i="20" s="1"/>
  <c r="F85" i="28"/>
  <c r="C42" i="49" s="1"/>
  <c r="E42" i="49" s="1"/>
  <c r="F42" i="49" s="1"/>
  <c r="D5" i="11" l="1"/>
  <c r="D6" i="11" s="1"/>
  <c r="F274" i="48"/>
  <c r="H370" i="48" s="1"/>
  <c r="C42" i="19"/>
  <c r="E42" i="19" s="1"/>
  <c r="F42" i="19" s="1"/>
  <c r="G41" i="38"/>
  <c r="M41" i="38" s="1"/>
  <c r="F41" i="40"/>
  <c r="M41" i="40" s="1"/>
  <c r="G41" i="20"/>
  <c r="M41" i="20" s="1"/>
  <c r="R42" i="19"/>
  <c r="F86" i="28"/>
  <c r="C43" i="49" s="1"/>
  <c r="E43" i="49" s="1"/>
  <c r="F43" i="49" s="1"/>
  <c r="C122" i="48" l="1"/>
  <c r="C160" i="48" s="1"/>
  <c r="F370" i="48"/>
  <c r="C58" i="48"/>
  <c r="C96" i="48" s="1"/>
  <c r="E122" i="48"/>
  <c r="E160" i="48" s="1"/>
  <c r="F122" i="48"/>
  <c r="F160" i="48" s="1"/>
  <c r="C186" i="48"/>
  <c r="C226" i="48" s="1"/>
  <c r="G274" i="48"/>
  <c r="B58" i="48"/>
  <c r="B96" i="48" s="1"/>
  <c r="E186" i="48"/>
  <c r="E226" i="48" s="1"/>
  <c r="D186" i="48"/>
  <c r="D226" i="48" s="1"/>
  <c r="B186" i="48"/>
  <c r="B226" i="48" s="1"/>
  <c r="G370" i="48"/>
  <c r="I370" i="48" s="1"/>
  <c r="F186" i="48"/>
  <c r="F226" i="48" s="1"/>
  <c r="E58" i="48"/>
  <c r="E96" i="48" s="1"/>
  <c r="G122" i="48"/>
  <c r="G160" i="48" s="1"/>
  <c r="D58" i="48"/>
  <c r="D96" i="48" s="1"/>
  <c r="G186" i="48"/>
  <c r="G226" i="48" s="1"/>
  <c r="G58" i="48"/>
  <c r="G96" i="48" s="1"/>
  <c r="D122" i="48"/>
  <c r="D160" i="48" s="1"/>
  <c r="D31" i="48"/>
  <c r="I186" i="48" s="1"/>
  <c r="B122" i="48"/>
  <c r="B160" i="48" s="1"/>
  <c r="F58" i="48"/>
  <c r="F96" i="48" s="1"/>
  <c r="C43" i="19"/>
  <c r="E43" i="19" s="1"/>
  <c r="F43" i="19" s="1"/>
  <c r="S42" i="19"/>
  <c r="T42" i="19" s="1"/>
  <c r="R43" i="19"/>
  <c r="S43" i="19" s="1"/>
  <c r="T43" i="19" s="1"/>
  <c r="F42" i="40"/>
  <c r="M42" i="40" s="1"/>
  <c r="G42" i="38"/>
  <c r="M42" i="38" s="1"/>
  <c r="G42" i="20"/>
  <c r="M42" i="20" s="1"/>
  <c r="F87" i="28"/>
  <c r="C44" i="49" s="1"/>
  <c r="E44" i="49" s="1"/>
  <c r="F44" i="49" s="1"/>
  <c r="E31" i="48" l="1"/>
  <c r="H186" i="48"/>
  <c r="H58" i="48"/>
  <c r="H122" i="48"/>
  <c r="C44" i="19"/>
  <c r="E44" i="19" s="1"/>
  <c r="F44" i="19" s="1"/>
  <c r="F43" i="40"/>
  <c r="M43" i="40" s="1"/>
  <c r="G43" i="38"/>
  <c r="M43" i="38" s="1"/>
  <c r="G43" i="20"/>
  <c r="M43" i="20" s="1"/>
  <c r="R44" i="19"/>
  <c r="S44" i="19" s="1"/>
  <c r="T44" i="19" s="1"/>
  <c r="F88" i="28"/>
  <c r="C45" i="49" s="1"/>
  <c r="E45" i="49" s="1"/>
  <c r="F45" i="49" s="1"/>
  <c r="C45" i="19" l="1"/>
  <c r="E45" i="19" s="1"/>
  <c r="F45" i="19" s="1"/>
  <c r="R45" i="19"/>
  <c r="S45" i="19" s="1"/>
  <c r="T45" i="19" s="1"/>
  <c r="F44" i="40"/>
  <c r="M44" i="40" s="1"/>
  <c r="G44" i="38"/>
  <c r="M44" i="38" s="1"/>
  <c r="G44" i="20"/>
  <c r="M44" i="20" s="1"/>
  <c r="F89" i="28"/>
  <c r="C46" i="49" s="1"/>
  <c r="E46" i="49" s="1"/>
  <c r="F46" i="49" s="1"/>
  <c r="C46" i="19" l="1"/>
  <c r="E46" i="19" s="1"/>
  <c r="F46" i="19" s="1"/>
  <c r="R46" i="19"/>
  <c r="F45" i="40"/>
  <c r="M45" i="40" s="1"/>
  <c r="G45" i="38"/>
  <c r="M45" i="38" s="1"/>
  <c r="G45" i="20"/>
  <c r="M45" i="20" s="1"/>
  <c r="F90" i="28"/>
  <c r="C47" i="49" s="1"/>
  <c r="E47" i="49" s="1"/>
  <c r="F47" i="49" s="1"/>
  <c r="C47" i="19" l="1"/>
  <c r="E47" i="19" s="1"/>
  <c r="F47" i="19" s="1"/>
  <c r="S46" i="19"/>
  <c r="T46" i="19" s="1"/>
  <c r="R47" i="19"/>
  <c r="S47" i="19" s="1"/>
  <c r="T47" i="19" s="1"/>
  <c r="F46" i="40"/>
  <c r="M46" i="40" s="1"/>
  <c r="G46" i="38"/>
  <c r="M46" i="38" s="1"/>
  <c r="G46" i="20"/>
  <c r="M46" i="20" s="1"/>
  <c r="F91" i="28"/>
  <c r="C48" i="49" s="1"/>
  <c r="E48" i="49" s="1"/>
  <c r="F48" i="49" s="1"/>
  <c r="C48" i="19" l="1"/>
  <c r="E48" i="19" s="1"/>
  <c r="F48" i="19" s="1"/>
  <c r="R48" i="19"/>
  <c r="S48" i="19" s="1"/>
  <c r="T48" i="19" s="1"/>
  <c r="F47" i="40"/>
  <c r="M47" i="40" s="1"/>
  <c r="G47" i="38"/>
  <c r="M47" i="38" s="1"/>
  <c r="G47" i="20"/>
  <c r="M47" i="20" s="1"/>
  <c r="F92" i="28"/>
  <c r="C49" i="49" s="1"/>
  <c r="E49" i="49" s="1"/>
  <c r="F49" i="49" s="1"/>
  <c r="C49" i="19" l="1"/>
  <c r="E49" i="19" s="1"/>
  <c r="F49" i="19" s="1"/>
  <c r="R49" i="19"/>
  <c r="S49" i="19" s="1"/>
  <c r="T49" i="19" s="1"/>
  <c r="F48" i="40"/>
  <c r="M48" i="40" s="1"/>
  <c r="G48" i="38"/>
  <c r="M48" i="38" s="1"/>
  <c r="G48" i="20"/>
  <c r="M48" i="20" s="1"/>
  <c r="F93" i="28"/>
  <c r="C50" i="49" s="1"/>
  <c r="E50" i="49" s="1"/>
  <c r="F50" i="49" l="1"/>
  <c r="F154" i="49" s="1"/>
  <c r="E154" i="49"/>
  <c r="J154" i="49" s="1"/>
  <c r="Q154" i="49" s="1"/>
  <c r="C50" i="19"/>
  <c r="E50" i="19" s="1"/>
  <c r="F49" i="40"/>
  <c r="M49" i="40" s="1"/>
  <c r="G49" i="38"/>
  <c r="M49" i="38" s="1"/>
  <c r="G49" i="20"/>
  <c r="M49" i="20" s="1"/>
  <c r="H93" i="28"/>
  <c r="G10" i="28" s="1"/>
  <c r="H10" i="28" s="1"/>
  <c r="F94" i="28" s="1"/>
  <c r="C51" i="49" s="1"/>
  <c r="E51" i="49" s="1"/>
  <c r="G93" i="28"/>
  <c r="J9" i="28" s="1"/>
  <c r="K9" i="28" s="1"/>
  <c r="F51" i="49" l="1"/>
  <c r="F50" i="19"/>
  <c r="F154" i="19" s="1"/>
  <c r="E154" i="19"/>
  <c r="J154" i="19" s="1"/>
  <c r="Q154" i="19" s="1"/>
  <c r="C51" i="19"/>
  <c r="E51" i="19" s="1"/>
  <c r="R50" i="19"/>
  <c r="R51" i="19"/>
  <c r="S51" i="19" s="1"/>
  <c r="T51" i="19" s="1"/>
  <c r="G50" i="38"/>
  <c r="M50" i="38" s="1"/>
  <c r="F50" i="40"/>
  <c r="M50" i="40" s="1"/>
  <c r="M154" i="40" s="1"/>
  <c r="G50" i="20"/>
  <c r="M50" i="20" s="1"/>
  <c r="M154" i="20" s="1"/>
  <c r="F95" i="28"/>
  <c r="C52" i="49" s="1"/>
  <c r="E52" i="49" s="1"/>
  <c r="F52" i="49" s="1"/>
  <c r="R154" i="19" l="1"/>
  <c r="E275" i="48" s="1"/>
  <c r="C275" i="48"/>
  <c r="D275" i="48" s="1"/>
  <c r="F51" i="19"/>
  <c r="C52" i="19"/>
  <c r="E52" i="19" s="1"/>
  <c r="F52" i="19" s="1"/>
  <c r="S50" i="19"/>
  <c r="T50" i="19" s="1"/>
  <c r="N214" i="40"/>
  <c r="O226" i="40" s="1"/>
  <c r="N154" i="40"/>
  <c r="O154" i="40" s="1"/>
  <c r="N214" i="20"/>
  <c r="O226" i="20" s="1"/>
  <c r="N154" i="20"/>
  <c r="O154" i="20" s="1"/>
  <c r="M153" i="38"/>
  <c r="R52" i="19"/>
  <c r="S52" i="19" s="1"/>
  <c r="T52" i="19" s="1"/>
  <c r="F51" i="40"/>
  <c r="M51" i="40" s="1"/>
  <c r="G51" i="38"/>
  <c r="M51" i="38" s="1"/>
  <c r="G51" i="20"/>
  <c r="M51" i="20" s="1"/>
  <c r="F96" i="28"/>
  <c r="C53" i="49" s="1"/>
  <c r="E53" i="49" s="1"/>
  <c r="F53" i="49" s="1"/>
  <c r="S154" i="19" l="1"/>
  <c r="F275" i="48"/>
  <c r="G371" i="48" s="1"/>
  <c r="T154" i="19"/>
  <c r="U154" i="19" s="1"/>
  <c r="C10" i="9"/>
  <c r="E5" i="11" s="1"/>
  <c r="E6" i="11" s="1"/>
  <c r="C53" i="19"/>
  <c r="E53" i="19" s="1"/>
  <c r="F53" i="19" s="1"/>
  <c r="F371" i="48"/>
  <c r="E59" i="48"/>
  <c r="E97" i="48" s="1"/>
  <c r="D59" i="48"/>
  <c r="D97" i="48" s="1"/>
  <c r="E123" i="48"/>
  <c r="E161" i="48" s="1"/>
  <c r="N213" i="38"/>
  <c r="O225" i="38" s="1"/>
  <c r="N153" i="38"/>
  <c r="O153" i="38" s="1"/>
  <c r="R53" i="19"/>
  <c r="S53" i="19" s="1"/>
  <c r="T53" i="19" s="1"/>
  <c r="F52" i="40"/>
  <c r="M52" i="40" s="1"/>
  <c r="G52" i="38"/>
  <c r="M52" i="38" s="1"/>
  <c r="G52" i="20"/>
  <c r="M52" i="20" s="1"/>
  <c r="F97" i="28"/>
  <c r="C54" i="49" s="1"/>
  <c r="E54" i="49" s="1"/>
  <c r="F54" i="49" s="1"/>
  <c r="H371" i="48" l="1"/>
  <c r="C187" i="48"/>
  <c r="C227" i="48" s="1"/>
  <c r="G59" i="48"/>
  <c r="G97" i="48" s="1"/>
  <c r="C59" i="48"/>
  <c r="C97" i="48" s="1"/>
  <c r="G123" i="48"/>
  <c r="G161" i="48" s="1"/>
  <c r="F59" i="48"/>
  <c r="F97" i="48" s="1"/>
  <c r="E187" i="48"/>
  <c r="E227" i="48" s="1"/>
  <c r="B59" i="48"/>
  <c r="B97" i="48" s="1"/>
  <c r="G187" i="48"/>
  <c r="G227" i="48" s="1"/>
  <c r="F187" i="48"/>
  <c r="F227" i="48" s="1"/>
  <c r="B187" i="48"/>
  <c r="B227" i="48" s="1"/>
  <c r="D187" i="48"/>
  <c r="D227" i="48" s="1"/>
  <c r="C123" i="48"/>
  <c r="C161" i="48" s="1"/>
  <c r="G275" i="48"/>
  <c r="D32" i="48"/>
  <c r="E32" i="48" s="1"/>
  <c r="D123" i="48"/>
  <c r="D161" i="48" s="1"/>
  <c r="F123" i="48"/>
  <c r="F161" i="48" s="1"/>
  <c r="D10" i="9"/>
  <c r="E10" i="9" s="1"/>
  <c r="B123" i="48"/>
  <c r="B161" i="48" s="1"/>
  <c r="C54" i="19"/>
  <c r="E54" i="19" s="1"/>
  <c r="I371" i="48"/>
  <c r="H62" i="48"/>
  <c r="F53" i="40"/>
  <c r="M53" i="40" s="1"/>
  <c r="G53" i="38"/>
  <c r="M53" i="38" s="1"/>
  <c r="G53" i="20"/>
  <c r="M53" i="20" s="1"/>
  <c r="R54" i="19"/>
  <c r="F98" i="28"/>
  <c r="C55" i="49" s="1"/>
  <c r="E55" i="49" s="1"/>
  <c r="F55" i="49" s="1"/>
  <c r="I187" i="48" l="1"/>
  <c r="H59" i="48"/>
  <c r="H123" i="48"/>
  <c r="H187" i="48"/>
  <c r="F54" i="19"/>
  <c r="C55" i="19"/>
  <c r="E55" i="19" s="1"/>
  <c r="F55" i="19" s="1"/>
  <c r="S54" i="19"/>
  <c r="T54" i="19" s="1"/>
  <c r="F54" i="40"/>
  <c r="M54" i="40" s="1"/>
  <c r="G54" i="38"/>
  <c r="M54" i="38" s="1"/>
  <c r="G54" i="20"/>
  <c r="M54" i="20" s="1"/>
  <c r="R55" i="19"/>
  <c r="S55" i="19" s="1"/>
  <c r="T55" i="19" s="1"/>
  <c r="F99" i="28"/>
  <c r="C56" i="49" s="1"/>
  <c r="E56" i="49" s="1"/>
  <c r="F56" i="49" s="1"/>
  <c r="C56" i="19" l="1"/>
  <c r="E56" i="19" s="1"/>
  <c r="R56" i="19"/>
  <c r="S56" i="19" s="1"/>
  <c r="T56" i="19" s="1"/>
  <c r="F55" i="40"/>
  <c r="M55" i="40" s="1"/>
  <c r="G55" i="38"/>
  <c r="M55" i="38" s="1"/>
  <c r="G55" i="20"/>
  <c r="M55" i="20" s="1"/>
  <c r="F100" i="28"/>
  <c r="C57" i="49" s="1"/>
  <c r="E57" i="49" s="1"/>
  <c r="F57" i="49" s="1"/>
  <c r="F56" i="19" l="1"/>
  <c r="C57" i="19"/>
  <c r="E57" i="19" s="1"/>
  <c r="F57" i="19" s="1"/>
  <c r="R57" i="19"/>
  <c r="S57" i="19" s="1"/>
  <c r="T57" i="19" s="1"/>
  <c r="F56" i="40"/>
  <c r="M56" i="40" s="1"/>
  <c r="G56" i="38"/>
  <c r="M56" i="38" s="1"/>
  <c r="G56" i="20"/>
  <c r="M56" i="20" s="1"/>
  <c r="F101" i="28"/>
  <c r="C58" i="49" s="1"/>
  <c r="E58" i="49" s="1"/>
  <c r="F58" i="49" s="1"/>
  <c r="C58" i="19" l="1"/>
  <c r="E58" i="19" s="1"/>
  <c r="R58" i="19"/>
  <c r="G57" i="38"/>
  <c r="M57" i="38" s="1"/>
  <c r="F57" i="40"/>
  <c r="M57" i="40" s="1"/>
  <c r="G57" i="20"/>
  <c r="M57" i="20" s="1"/>
  <c r="F102" i="28"/>
  <c r="C59" i="49" s="1"/>
  <c r="E59" i="49" s="1"/>
  <c r="F59" i="49" s="1"/>
  <c r="F58" i="19" l="1"/>
  <c r="C59" i="19"/>
  <c r="E59" i="19" s="1"/>
  <c r="F59" i="19" s="1"/>
  <c r="S58" i="19"/>
  <c r="T58" i="19" s="1"/>
  <c r="R59" i="19"/>
  <c r="S59" i="19" s="1"/>
  <c r="T59" i="19" s="1"/>
  <c r="F58" i="40"/>
  <c r="M58" i="40" s="1"/>
  <c r="G58" i="38"/>
  <c r="M58" i="38" s="1"/>
  <c r="G58" i="20"/>
  <c r="M58" i="20" s="1"/>
  <c r="F103" i="28"/>
  <c r="C60" i="49" s="1"/>
  <c r="E60" i="49" s="1"/>
  <c r="F60" i="49" s="1"/>
  <c r="C60" i="19" l="1"/>
  <c r="E60" i="19" s="1"/>
  <c r="F60" i="19" s="1"/>
  <c r="F59" i="40"/>
  <c r="M59" i="40" s="1"/>
  <c r="G59" i="38"/>
  <c r="M59" i="38" s="1"/>
  <c r="G59" i="20"/>
  <c r="M59" i="20" s="1"/>
  <c r="R60" i="19"/>
  <c r="S60" i="19" s="1"/>
  <c r="T60" i="19" s="1"/>
  <c r="F104" i="28"/>
  <c r="C61" i="49" s="1"/>
  <c r="E61" i="49" s="1"/>
  <c r="F61" i="49" s="1"/>
  <c r="C61" i="19" l="1"/>
  <c r="E61" i="19" s="1"/>
  <c r="F61" i="19" s="1"/>
  <c r="R61" i="19"/>
  <c r="S61" i="19" s="1"/>
  <c r="T61" i="19" s="1"/>
  <c r="F60" i="40"/>
  <c r="M60" i="40" s="1"/>
  <c r="G60" i="38"/>
  <c r="M60" i="38" s="1"/>
  <c r="G60" i="20"/>
  <c r="M60" i="20" s="1"/>
  <c r="F105" i="28"/>
  <c r="C62" i="49" s="1"/>
  <c r="E62" i="49" s="1"/>
  <c r="F62" i="49" l="1"/>
  <c r="F155" i="49" s="1"/>
  <c r="E155" i="49"/>
  <c r="J155" i="49" s="1"/>
  <c r="Q155" i="49" s="1"/>
  <c r="C62" i="19"/>
  <c r="E62" i="19" s="1"/>
  <c r="G61" i="38"/>
  <c r="M61" i="38" s="1"/>
  <c r="F61" i="40"/>
  <c r="M61" i="40" s="1"/>
  <c r="G61" i="20"/>
  <c r="M61" i="20" s="1"/>
  <c r="H105" i="28"/>
  <c r="G11" i="28" s="1"/>
  <c r="H11" i="28" s="1"/>
  <c r="F106" i="28" s="1"/>
  <c r="C63" i="49" s="1"/>
  <c r="E63" i="49" s="1"/>
  <c r="G105" i="28"/>
  <c r="J10" i="28" s="1"/>
  <c r="K10" i="28" s="1"/>
  <c r="F63" i="49" l="1"/>
  <c r="F62" i="19"/>
  <c r="F155" i="19" s="1"/>
  <c r="E155" i="19"/>
  <c r="J155" i="19" s="1"/>
  <c r="Q155" i="19" s="1"/>
  <c r="C63" i="19"/>
  <c r="E63" i="19" s="1"/>
  <c r="R62" i="19"/>
  <c r="R63" i="19"/>
  <c r="S63" i="19" s="1"/>
  <c r="T63" i="19" s="1"/>
  <c r="F62" i="40"/>
  <c r="M62" i="40" s="1"/>
  <c r="M155" i="40" s="1"/>
  <c r="G62" i="38"/>
  <c r="M62" i="38" s="1"/>
  <c r="G62" i="20"/>
  <c r="M62" i="20" s="1"/>
  <c r="M155" i="20" s="1"/>
  <c r="F107" i="28"/>
  <c r="C64" i="49" s="1"/>
  <c r="E64" i="49" s="1"/>
  <c r="F64" i="49" s="1"/>
  <c r="R155" i="19" l="1"/>
  <c r="E276" i="48" s="1"/>
  <c r="C276" i="48"/>
  <c r="D276" i="48" s="1"/>
  <c r="F63" i="19"/>
  <c r="C64" i="19"/>
  <c r="E64" i="19" s="1"/>
  <c r="F64" i="19" s="1"/>
  <c r="S62" i="19"/>
  <c r="T62" i="19" s="1"/>
  <c r="N215" i="40"/>
  <c r="O227" i="40" s="1"/>
  <c r="N155" i="40"/>
  <c r="O155" i="40" s="1"/>
  <c r="N215" i="20"/>
  <c r="O227" i="20" s="1"/>
  <c r="N155" i="20"/>
  <c r="O155" i="20" s="1"/>
  <c r="M154" i="38"/>
  <c r="R64" i="19"/>
  <c r="S64" i="19" s="1"/>
  <c r="T64" i="19" s="1"/>
  <c r="F63" i="40"/>
  <c r="M63" i="40" s="1"/>
  <c r="G63" i="38"/>
  <c r="M63" i="38" s="1"/>
  <c r="G63" i="20"/>
  <c r="M63" i="20" s="1"/>
  <c r="F108" i="28"/>
  <c r="C65" i="49" s="1"/>
  <c r="E65" i="49" s="1"/>
  <c r="S155" i="19" l="1"/>
  <c r="F65" i="49"/>
  <c r="F276" i="48"/>
  <c r="F188" i="48" s="1"/>
  <c r="F228" i="48" s="1"/>
  <c r="T155" i="19"/>
  <c r="U155" i="19" s="1"/>
  <c r="C11" i="9"/>
  <c r="F5" i="11" s="1"/>
  <c r="F6" i="11" s="1"/>
  <c r="C65" i="19"/>
  <c r="E65" i="19" s="1"/>
  <c r="F65" i="19" s="1"/>
  <c r="D125" i="48"/>
  <c r="D163" i="48" s="1"/>
  <c r="N214" i="38"/>
  <c r="O226" i="38" s="1"/>
  <c r="N154" i="38"/>
  <c r="O154" i="38" s="1"/>
  <c r="R65" i="19"/>
  <c r="S65" i="19" s="1"/>
  <c r="T65" i="19" s="1"/>
  <c r="F64" i="40"/>
  <c r="M64" i="40" s="1"/>
  <c r="G64" i="38"/>
  <c r="M64" i="38" s="1"/>
  <c r="G64" i="20"/>
  <c r="M64" i="20" s="1"/>
  <c r="F109" i="28"/>
  <c r="C66" i="49" s="1"/>
  <c r="E66" i="49" s="1"/>
  <c r="F66" i="49" s="1"/>
  <c r="F125" i="48" l="1"/>
  <c r="F163" i="48" s="1"/>
  <c r="B188" i="48"/>
  <c r="B228" i="48" s="1"/>
  <c r="F372" i="48"/>
  <c r="E60" i="48"/>
  <c r="E98" i="48" s="1"/>
  <c r="B125" i="48"/>
  <c r="B163" i="48" s="1"/>
  <c r="C60" i="48"/>
  <c r="C98" i="48" s="1"/>
  <c r="E188" i="48"/>
  <c r="E228" i="48" s="1"/>
  <c r="B60" i="48"/>
  <c r="B98" i="48" s="1"/>
  <c r="G125" i="48"/>
  <c r="G163" i="48" s="1"/>
  <c r="F60" i="48"/>
  <c r="F98" i="48" s="1"/>
  <c r="D188" i="48"/>
  <c r="D228" i="48" s="1"/>
  <c r="G372" i="48"/>
  <c r="C125" i="48"/>
  <c r="C163" i="48" s="1"/>
  <c r="C188" i="48"/>
  <c r="C228" i="48" s="1"/>
  <c r="H372" i="48"/>
  <c r="E125" i="48"/>
  <c r="E163" i="48" s="1"/>
  <c r="D60" i="48"/>
  <c r="D98" i="48" s="1"/>
  <c r="G276" i="48"/>
  <c r="G188" i="48"/>
  <c r="G228" i="48" s="1"/>
  <c r="D33" i="48"/>
  <c r="E33" i="48" s="1"/>
  <c r="G60" i="48"/>
  <c r="G98" i="48" s="1"/>
  <c r="D11" i="9"/>
  <c r="E11" i="9" s="1"/>
  <c r="C66" i="19"/>
  <c r="E66" i="19" s="1"/>
  <c r="R66" i="19"/>
  <c r="F65" i="40"/>
  <c r="M65" i="40" s="1"/>
  <c r="G65" i="38"/>
  <c r="M65" i="38" s="1"/>
  <c r="G65" i="20"/>
  <c r="M65" i="20" s="1"/>
  <c r="F110" i="28"/>
  <c r="C67" i="49" s="1"/>
  <c r="E67" i="49" s="1"/>
  <c r="I372" i="48" l="1"/>
  <c r="H125" i="48"/>
  <c r="H188" i="48"/>
  <c r="F67" i="49"/>
  <c r="H60" i="48"/>
  <c r="I188" i="48"/>
  <c r="F66" i="19"/>
  <c r="C67" i="19"/>
  <c r="E67" i="19" s="1"/>
  <c r="F67" i="19" s="1"/>
  <c r="S66" i="19"/>
  <c r="T66" i="19" s="1"/>
  <c r="R67" i="19"/>
  <c r="S67" i="19" s="1"/>
  <c r="T67" i="19" s="1"/>
  <c r="F66" i="40"/>
  <c r="M66" i="40" s="1"/>
  <c r="G66" i="38"/>
  <c r="M66" i="38" s="1"/>
  <c r="G66" i="20"/>
  <c r="M66" i="20" s="1"/>
  <c r="F111" i="28"/>
  <c r="C68" i="49" s="1"/>
  <c r="E68" i="49" s="1"/>
  <c r="F68" i="49" s="1"/>
  <c r="C68" i="19" l="1"/>
  <c r="E68" i="19" s="1"/>
  <c r="F67" i="40"/>
  <c r="M67" i="40" s="1"/>
  <c r="G67" i="38"/>
  <c r="M67" i="38" s="1"/>
  <c r="G67" i="20"/>
  <c r="M67" i="20" s="1"/>
  <c r="R68" i="19"/>
  <c r="S68" i="19" s="1"/>
  <c r="T68" i="19" s="1"/>
  <c r="F112" i="28"/>
  <c r="C69" i="49" s="1"/>
  <c r="E69" i="49" s="1"/>
  <c r="F69" i="49" s="1"/>
  <c r="F68" i="19" l="1"/>
  <c r="C69" i="19"/>
  <c r="E69" i="19" s="1"/>
  <c r="F69" i="19" s="1"/>
  <c r="R69" i="19"/>
  <c r="S69" i="19" s="1"/>
  <c r="T69" i="19" s="1"/>
  <c r="G68" i="38"/>
  <c r="M68" i="38" s="1"/>
  <c r="F68" i="40"/>
  <c r="M68" i="40" s="1"/>
  <c r="G68" i="20"/>
  <c r="M68" i="20" s="1"/>
  <c r="F113" i="28"/>
  <c r="C70" i="49" s="1"/>
  <c r="E70" i="49" s="1"/>
  <c r="F70" i="49" s="1"/>
  <c r="C70" i="19" l="1"/>
  <c r="E70" i="19" s="1"/>
  <c r="F70" i="19" s="1"/>
  <c r="R70" i="19"/>
  <c r="F69" i="40"/>
  <c r="M69" i="40" s="1"/>
  <c r="G69" i="38"/>
  <c r="M69" i="38" s="1"/>
  <c r="G69" i="20"/>
  <c r="M69" i="20" s="1"/>
  <c r="F114" i="28"/>
  <c r="C71" i="49" s="1"/>
  <c r="E71" i="49" s="1"/>
  <c r="F71" i="49" s="1"/>
  <c r="C71" i="19" l="1"/>
  <c r="E71" i="19" s="1"/>
  <c r="F71" i="19" s="1"/>
  <c r="S70" i="19"/>
  <c r="T70" i="19" s="1"/>
  <c r="R71" i="19"/>
  <c r="S71" i="19" s="1"/>
  <c r="T71" i="19" s="1"/>
  <c r="F70" i="40"/>
  <c r="M70" i="40" s="1"/>
  <c r="G70" i="38"/>
  <c r="M70" i="38" s="1"/>
  <c r="G70" i="20"/>
  <c r="M70" i="20" s="1"/>
  <c r="F115" i="28"/>
  <c r="C72" i="49" s="1"/>
  <c r="E72" i="49" s="1"/>
  <c r="F72" i="49" s="1"/>
  <c r="C72" i="19" l="1"/>
  <c r="E72" i="19" s="1"/>
  <c r="F72" i="19" s="1"/>
  <c r="R72" i="19"/>
  <c r="S72" i="19" s="1"/>
  <c r="T72" i="19" s="1"/>
  <c r="F71" i="40"/>
  <c r="M71" i="40" s="1"/>
  <c r="G71" i="38"/>
  <c r="M71" i="38" s="1"/>
  <c r="G71" i="20"/>
  <c r="M71" i="20" s="1"/>
  <c r="F116" i="28"/>
  <c r="C73" i="49" s="1"/>
  <c r="E73" i="49" s="1"/>
  <c r="F73" i="49" s="1"/>
  <c r="C73" i="19" l="1"/>
  <c r="E73" i="19" s="1"/>
  <c r="F73" i="19" s="1"/>
  <c r="R73" i="19"/>
  <c r="S73" i="19" s="1"/>
  <c r="T73" i="19" s="1"/>
  <c r="G72" i="38"/>
  <c r="M72" i="38" s="1"/>
  <c r="F72" i="40"/>
  <c r="M72" i="40" s="1"/>
  <c r="G72" i="20"/>
  <c r="M72" i="20" s="1"/>
  <c r="F117" i="28"/>
  <c r="C74" i="49" s="1"/>
  <c r="E74" i="49" s="1"/>
  <c r="F74" i="49" l="1"/>
  <c r="F156" i="49" s="1"/>
  <c r="E156" i="49"/>
  <c r="J156" i="49" s="1"/>
  <c r="Q156" i="49" s="1"/>
  <c r="C74" i="19"/>
  <c r="E74" i="19" s="1"/>
  <c r="G73" i="38"/>
  <c r="M73" i="38" s="1"/>
  <c r="F73" i="40"/>
  <c r="M73" i="40" s="1"/>
  <c r="G73" i="20"/>
  <c r="M73" i="20" s="1"/>
  <c r="H117" i="28"/>
  <c r="G12" i="28" s="1"/>
  <c r="H12" i="28" s="1"/>
  <c r="F118" i="28" s="1"/>
  <c r="C75" i="49" s="1"/>
  <c r="E75" i="49" s="1"/>
  <c r="G117" i="28"/>
  <c r="J11" i="28" s="1"/>
  <c r="K11" i="28" s="1"/>
  <c r="F75" i="49" l="1"/>
  <c r="F74" i="19"/>
  <c r="F156" i="19" s="1"/>
  <c r="E156" i="19"/>
  <c r="J156" i="19" s="1"/>
  <c r="Q156" i="19" s="1"/>
  <c r="C75" i="19"/>
  <c r="E75" i="19" s="1"/>
  <c r="R74" i="19"/>
  <c r="F74" i="40"/>
  <c r="M74" i="40" s="1"/>
  <c r="M156" i="40" s="1"/>
  <c r="G74" i="38"/>
  <c r="M74" i="38" s="1"/>
  <c r="G74" i="20"/>
  <c r="M74" i="20" s="1"/>
  <c r="M156" i="20" s="1"/>
  <c r="N156" i="20" s="1"/>
  <c r="O156" i="20" s="1"/>
  <c r="R75" i="19"/>
  <c r="S75" i="19" s="1"/>
  <c r="T75" i="19" s="1"/>
  <c r="F119" i="28"/>
  <c r="C76" i="49" s="1"/>
  <c r="E76" i="49" s="1"/>
  <c r="F76" i="49" s="1"/>
  <c r="R156" i="19" l="1"/>
  <c r="E277" i="48" s="1"/>
  <c r="C12" i="9"/>
  <c r="F75" i="19"/>
  <c r="C76" i="19"/>
  <c r="E76" i="19" s="1"/>
  <c r="F76" i="19" s="1"/>
  <c r="S156" i="19"/>
  <c r="S74" i="19"/>
  <c r="T74" i="19" s="1"/>
  <c r="N216" i="40"/>
  <c r="O228" i="40" s="1"/>
  <c r="N156" i="40"/>
  <c r="O156" i="40" s="1"/>
  <c r="M155" i="38"/>
  <c r="N216" i="20"/>
  <c r="O228" i="20" s="1"/>
  <c r="F120" i="28"/>
  <c r="C77" i="49" s="1"/>
  <c r="E77" i="49" s="1"/>
  <c r="F77" i="49" s="1"/>
  <c r="R76" i="19"/>
  <c r="S76" i="19" s="1"/>
  <c r="T76" i="19" s="1"/>
  <c r="F75" i="40"/>
  <c r="M75" i="40" s="1"/>
  <c r="G75" i="38"/>
  <c r="M75" i="38" s="1"/>
  <c r="G75" i="20"/>
  <c r="M75" i="20" s="1"/>
  <c r="D12" i="9" l="1"/>
  <c r="E12" i="9" s="1"/>
  <c r="G5" i="11"/>
  <c r="P406" i="48" s="1"/>
  <c r="P407" i="48" s="1"/>
  <c r="C277" i="48"/>
  <c r="D277" i="48" s="1"/>
  <c r="T156" i="19"/>
  <c r="U156" i="19" s="1"/>
  <c r="C77" i="19"/>
  <c r="E77" i="19" s="1"/>
  <c r="G6" i="11"/>
  <c r="N215" i="38"/>
  <c r="O227" i="38" s="1"/>
  <c r="N155" i="38"/>
  <c r="O155" i="38" s="1"/>
  <c r="F76" i="40"/>
  <c r="M76" i="40" s="1"/>
  <c r="G76" i="38"/>
  <c r="M76" i="38" s="1"/>
  <c r="G76" i="20"/>
  <c r="M76" i="20" s="1"/>
  <c r="R77" i="19"/>
  <c r="S77" i="19" s="1"/>
  <c r="T77" i="19" s="1"/>
  <c r="F121" i="28"/>
  <c r="C78" i="49" s="1"/>
  <c r="E78" i="49" s="1"/>
  <c r="F78" i="49" s="1"/>
  <c r="F277" i="48" l="1"/>
  <c r="B189" i="48" s="1"/>
  <c r="B229" i="48" s="1"/>
  <c r="F77" i="19"/>
  <c r="C78" i="19"/>
  <c r="E78" i="19" s="1"/>
  <c r="F78" i="19" s="1"/>
  <c r="C61" i="48"/>
  <c r="C99" i="48" s="1"/>
  <c r="F373" i="48"/>
  <c r="F77" i="40"/>
  <c r="M77" i="40" s="1"/>
  <c r="G77" i="38"/>
  <c r="M77" i="38" s="1"/>
  <c r="G77" i="20"/>
  <c r="M77" i="20" s="1"/>
  <c r="R78" i="19"/>
  <c r="F122" i="28"/>
  <c r="C79" i="49" s="1"/>
  <c r="E79" i="49" s="1"/>
  <c r="F79" i="49" s="1"/>
  <c r="H373" i="48" l="1"/>
  <c r="G126" i="48"/>
  <c r="G164" i="48" s="1"/>
  <c r="F126" i="48"/>
  <c r="F164" i="48" s="1"/>
  <c r="G373" i="48"/>
  <c r="G277" i="48"/>
  <c r="D61" i="48"/>
  <c r="D99" i="48" s="1"/>
  <c r="F61" i="48"/>
  <c r="F99" i="48" s="1"/>
  <c r="C126" i="48"/>
  <c r="C164" i="48" s="1"/>
  <c r="D189" i="48"/>
  <c r="D229" i="48" s="1"/>
  <c r="AM489" i="48"/>
  <c r="AN460" i="48" s="1"/>
  <c r="AN466" i="48" s="1"/>
  <c r="AR466" i="48" s="1"/>
  <c r="D126" i="48"/>
  <c r="D164" i="48" s="1"/>
  <c r="E126" i="48"/>
  <c r="E164" i="48" s="1"/>
  <c r="F189" i="48"/>
  <c r="F229" i="48" s="1"/>
  <c r="G189" i="48"/>
  <c r="G229" i="48" s="1"/>
  <c r="D34" i="48"/>
  <c r="E189" i="48"/>
  <c r="E229" i="48" s="1"/>
  <c r="B61" i="48"/>
  <c r="B99" i="48" s="1"/>
  <c r="C189" i="48"/>
  <c r="C229" i="48" s="1"/>
  <c r="B126" i="48"/>
  <c r="B164" i="48" s="1"/>
  <c r="G61" i="48"/>
  <c r="G99" i="48" s="1"/>
  <c r="E61" i="48"/>
  <c r="E99" i="48" s="1"/>
  <c r="C79" i="19"/>
  <c r="E79" i="19" s="1"/>
  <c r="AM495" i="48"/>
  <c r="AQ495" i="48" s="1"/>
  <c r="S78" i="19"/>
  <c r="T78" i="19" s="1"/>
  <c r="F123" i="28"/>
  <c r="C80" i="49" s="1"/>
  <c r="E80" i="49" s="1"/>
  <c r="F80" i="49" s="1"/>
  <c r="R79" i="19"/>
  <c r="S79" i="19" s="1"/>
  <c r="T79" i="19" s="1"/>
  <c r="F78" i="40"/>
  <c r="M78" i="40" s="1"/>
  <c r="G78" i="38"/>
  <c r="M78" i="38" s="1"/>
  <c r="G78" i="20"/>
  <c r="M78" i="20" s="1"/>
  <c r="I373" i="48" l="1"/>
  <c r="AM492" i="48"/>
  <c r="AQ492" i="48" s="1"/>
  <c r="AM493" i="48"/>
  <c r="AQ493" i="48" s="1"/>
  <c r="AM494" i="48"/>
  <c r="AQ494" i="48" s="1"/>
  <c r="AM496" i="48"/>
  <c r="AQ496" i="48" s="1"/>
  <c r="AM491" i="48"/>
  <c r="AQ491" i="48" s="1"/>
  <c r="H126" i="48"/>
  <c r="I189" i="48"/>
  <c r="E34" i="48"/>
  <c r="H61" i="48"/>
  <c r="H189" i="48"/>
  <c r="F79" i="19"/>
  <c r="AN462" i="48"/>
  <c r="AR462" i="48" s="1"/>
  <c r="AN467" i="48"/>
  <c r="AR467" i="48" s="1"/>
  <c r="C80" i="19"/>
  <c r="E80" i="19" s="1"/>
  <c r="F80" i="19" s="1"/>
  <c r="AN465" i="48"/>
  <c r="AR465" i="48" s="1"/>
  <c r="AN463" i="48"/>
  <c r="AR463" i="48" s="1"/>
  <c r="AN464" i="48"/>
  <c r="AR464" i="48" s="1"/>
  <c r="F79" i="40"/>
  <c r="M79" i="40" s="1"/>
  <c r="G79" i="38"/>
  <c r="M79" i="38" s="1"/>
  <c r="G79" i="20"/>
  <c r="M79" i="20" s="1"/>
  <c r="F124" i="28"/>
  <c r="C81" i="49" s="1"/>
  <c r="E81" i="49" s="1"/>
  <c r="F81" i="49" s="1"/>
  <c r="R80" i="19"/>
  <c r="S80" i="19" s="1"/>
  <c r="T80" i="19" s="1"/>
  <c r="C81" i="19" l="1"/>
  <c r="E81" i="19" s="1"/>
  <c r="F81" i="19" s="1"/>
  <c r="F80" i="40"/>
  <c r="M80" i="40" s="1"/>
  <c r="G80" i="38"/>
  <c r="M80" i="38" s="1"/>
  <c r="G80" i="20"/>
  <c r="M80" i="20" s="1"/>
  <c r="F125" i="28"/>
  <c r="C82" i="49" s="1"/>
  <c r="E82" i="49" s="1"/>
  <c r="F82" i="49" s="1"/>
  <c r="R81" i="19"/>
  <c r="S81" i="19" s="1"/>
  <c r="T81" i="19" s="1"/>
  <c r="C82" i="19" l="1"/>
  <c r="E82" i="19" s="1"/>
  <c r="F82" i="19" s="1"/>
  <c r="F126" i="28"/>
  <c r="C83" i="49" s="1"/>
  <c r="E83" i="49" s="1"/>
  <c r="F83" i="49" s="1"/>
  <c r="R82" i="19"/>
  <c r="F81" i="40"/>
  <c r="M81" i="40" s="1"/>
  <c r="G81" i="38"/>
  <c r="M81" i="38" s="1"/>
  <c r="G81" i="20"/>
  <c r="M81" i="20" s="1"/>
  <c r="C83" i="19" l="1"/>
  <c r="E83" i="19" s="1"/>
  <c r="F83" i="19" s="1"/>
  <c r="S82" i="19"/>
  <c r="T82" i="19" s="1"/>
  <c r="F82" i="40"/>
  <c r="M82" i="40" s="1"/>
  <c r="G82" i="38"/>
  <c r="M82" i="38" s="1"/>
  <c r="G82" i="20"/>
  <c r="M82" i="20" s="1"/>
  <c r="F127" i="28"/>
  <c r="C84" i="49" s="1"/>
  <c r="E84" i="49" s="1"/>
  <c r="F84" i="49" s="1"/>
  <c r="R83" i="19"/>
  <c r="S83" i="19" s="1"/>
  <c r="T83" i="19" s="1"/>
  <c r="C84" i="19" l="1"/>
  <c r="E84" i="19" s="1"/>
  <c r="F84" i="19" s="1"/>
  <c r="F128" i="28"/>
  <c r="C85" i="49" s="1"/>
  <c r="E85" i="49" s="1"/>
  <c r="F85" i="49" s="1"/>
  <c r="R84" i="19"/>
  <c r="S84" i="19" s="1"/>
  <c r="T84" i="19" s="1"/>
  <c r="F83" i="40"/>
  <c r="M83" i="40" s="1"/>
  <c r="G83" i="38"/>
  <c r="M83" i="38" s="1"/>
  <c r="G83" i="20"/>
  <c r="M83" i="20" s="1"/>
  <c r="C85" i="19" l="1"/>
  <c r="E85" i="19" s="1"/>
  <c r="F85" i="19" s="1"/>
  <c r="F84" i="40"/>
  <c r="M84" i="40" s="1"/>
  <c r="G84" i="38"/>
  <c r="M84" i="38" s="1"/>
  <c r="G84" i="20"/>
  <c r="M84" i="20" s="1"/>
  <c r="F129" i="28"/>
  <c r="C86" i="49" s="1"/>
  <c r="E86" i="49" s="1"/>
  <c r="R85" i="19"/>
  <c r="S85" i="19" s="1"/>
  <c r="T85" i="19" s="1"/>
  <c r="F86" i="49" l="1"/>
  <c r="F157" i="49" s="1"/>
  <c r="E157" i="49"/>
  <c r="J157" i="49" s="1"/>
  <c r="Q157" i="49" s="1"/>
  <c r="C86" i="19"/>
  <c r="E86" i="19" s="1"/>
  <c r="G129" i="28"/>
  <c r="J12" i="28" s="1"/>
  <c r="K12" i="28" s="1"/>
  <c r="H129" i="28"/>
  <c r="G13" i="28" s="1"/>
  <c r="H13" i="28" s="1"/>
  <c r="F130" i="28" s="1"/>
  <c r="C87" i="49" s="1"/>
  <c r="E87" i="49" s="1"/>
  <c r="F85" i="40"/>
  <c r="M85" i="40" s="1"/>
  <c r="G85" i="38"/>
  <c r="M85" i="38" s="1"/>
  <c r="G85" i="20"/>
  <c r="M85" i="20" s="1"/>
  <c r="F87" i="49" l="1"/>
  <c r="F86" i="19"/>
  <c r="F157" i="19" s="1"/>
  <c r="E157" i="19"/>
  <c r="J157" i="19" s="1"/>
  <c r="Q157" i="19" s="1"/>
  <c r="C87" i="19"/>
  <c r="E87" i="19" s="1"/>
  <c r="R86" i="19"/>
  <c r="F131" i="28"/>
  <c r="C88" i="49" s="1"/>
  <c r="E88" i="49" s="1"/>
  <c r="F88" i="49" s="1"/>
  <c r="R87" i="19"/>
  <c r="S87" i="19" s="1"/>
  <c r="T87" i="19" s="1"/>
  <c r="F86" i="40"/>
  <c r="M86" i="40" s="1"/>
  <c r="M157" i="40" s="1"/>
  <c r="G86" i="38"/>
  <c r="M86" i="38" s="1"/>
  <c r="G86" i="20"/>
  <c r="M86" i="20" s="1"/>
  <c r="M157" i="20" s="1"/>
  <c r="R157" i="19" l="1"/>
  <c r="E278" i="48" s="1"/>
  <c r="C278" i="48"/>
  <c r="F87" i="19"/>
  <c r="C88" i="19"/>
  <c r="E88" i="19" s="1"/>
  <c r="F88" i="19" s="1"/>
  <c r="S86" i="19"/>
  <c r="T86" i="19" s="1"/>
  <c r="N217" i="40"/>
  <c r="O229" i="40" s="1"/>
  <c r="N157" i="40"/>
  <c r="O157" i="40" s="1"/>
  <c r="N217" i="20"/>
  <c r="O229" i="20" s="1"/>
  <c r="N157" i="20"/>
  <c r="O157" i="20" s="1"/>
  <c r="M156" i="38"/>
  <c r="R88" i="19"/>
  <c r="S88" i="19" s="1"/>
  <c r="T88" i="19" s="1"/>
  <c r="F132" i="28"/>
  <c r="C89" i="49" s="1"/>
  <c r="E89" i="49" s="1"/>
  <c r="F89" i="49" s="1"/>
  <c r="F87" i="40"/>
  <c r="M87" i="40" s="1"/>
  <c r="G87" i="38"/>
  <c r="M87" i="38" s="1"/>
  <c r="G87" i="20"/>
  <c r="M87" i="20" s="1"/>
  <c r="D278" i="48" l="1"/>
  <c r="F278" i="48"/>
  <c r="G278" i="48" s="1"/>
  <c r="T157" i="19"/>
  <c r="U157" i="19" s="1"/>
  <c r="C13" i="9"/>
  <c r="D13" i="9" s="1"/>
  <c r="E13" i="9" s="1"/>
  <c r="S157" i="19"/>
  <c r="C89" i="19"/>
  <c r="E89" i="19" s="1"/>
  <c r="F89" i="19" s="1"/>
  <c r="C63" i="48"/>
  <c r="C101" i="48" s="1"/>
  <c r="H5" i="11"/>
  <c r="Q406" i="48" s="1"/>
  <c r="Q407" i="48" s="1"/>
  <c r="C190" i="48"/>
  <c r="C230" i="48" s="1"/>
  <c r="AM472" i="48"/>
  <c r="F190" i="48"/>
  <c r="F230" i="48" s="1"/>
  <c r="B190" i="48"/>
  <c r="B230" i="48" s="1"/>
  <c r="G190" i="48"/>
  <c r="G230" i="48" s="1"/>
  <c r="G63" i="48"/>
  <c r="G101" i="48" s="1"/>
  <c r="N216" i="38"/>
  <c r="O228" i="38" s="1"/>
  <c r="N156" i="38"/>
  <c r="O156" i="38" s="1"/>
  <c r="F133" i="28"/>
  <c r="C90" i="49" s="1"/>
  <c r="E90" i="49" s="1"/>
  <c r="F90" i="49" s="1"/>
  <c r="R89" i="19"/>
  <c r="S89" i="19" s="1"/>
  <c r="T89" i="19" s="1"/>
  <c r="F88" i="40"/>
  <c r="M88" i="40" s="1"/>
  <c r="G88" i="38"/>
  <c r="M88" i="38" s="1"/>
  <c r="G88" i="20"/>
  <c r="M88" i="20" s="1"/>
  <c r="F127" i="48" l="1"/>
  <c r="F165" i="48" s="1"/>
  <c r="E127" i="48"/>
  <c r="E165" i="48" s="1"/>
  <c r="D35" i="48"/>
  <c r="I190" i="48" s="1"/>
  <c r="E63" i="48"/>
  <c r="E101" i="48" s="1"/>
  <c r="D190" i="48"/>
  <c r="D230" i="48" s="1"/>
  <c r="AM518" i="48"/>
  <c r="G374" i="48"/>
  <c r="G127" i="48"/>
  <c r="G165" i="48" s="1"/>
  <c r="C127" i="48"/>
  <c r="C165" i="48" s="1"/>
  <c r="D127" i="48"/>
  <c r="D165" i="48" s="1"/>
  <c r="F63" i="48"/>
  <c r="F101" i="48" s="1"/>
  <c r="E190" i="48"/>
  <c r="E230" i="48" s="1"/>
  <c r="H374" i="48"/>
  <c r="D63" i="48"/>
  <c r="D101" i="48" s="1"/>
  <c r="F374" i="48"/>
  <c r="AN489" i="48"/>
  <c r="AN493" i="48" s="1"/>
  <c r="B63" i="48"/>
  <c r="B101" i="48" s="1"/>
  <c r="B127" i="48"/>
  <c r="B165" i="48" s="1"/>
  <c r="C90" i="19"/>
  <c r="E90" i="19" s="1"/>
  <c r="F90" i="19" s="1"/>
  <c r="H6" i="11"/>
  <c r="AM524" i="48"/>
  <c r="AQ524" i="48" s="1"/>
  <c r="AM522" i="48"/>
  <c r="AQ522" i="48" s="1"/>
  <c r="AM520" i="48"/>
  <c r="AQ520" i="48" s="1"/>
  <c r="AM525" i="48"/>
  <c r="AQ525" i="48" s="1"/>
  <c r="AM523" i="48"/>
  <c r="AQ523" i="48" s="1"/>
  <c r="AM521" i="48"/>
  <c r="AQ521" i="48" s="1"/>
  <c r="AQ466" i="48"/>
  <c r="AQ474" i="48" s="1"/>
  <c r="AM471" i="48"/>
  <c r="AM475" i="48"/>
  <c r="AQ465" i="48"/>
  <c r="AQ473" i="48" s="1"/>
  <c r="AQ462" i="48"/>
  <c r="AQ470" i="48" s="1"/>
  <c r="AQ464" i="48"/>
  <c r="AQ472" i="48" s="1"/>
  <c r="AM470" i="48"/>
  <c r="F89" i="40"/>
  <c r="M89" i="40" s="1"/>
  <c r="G89" i="38"/>
  <c r="M89" i="38" s="1"/>
  <c r="G89" i="20"/>
  <c r="M89" i="20" s="1"/>
  <c r="F134" i="28"/>
  <c r="C91" i="49" s="1"/>
  <c r="E91" i="49" s="1"/>
  <c r="F91" i="49" s="1"/>
  <c r="R90" i="19"/>
  <c r="E35" i="48" l="1"/>
  <c r="AN494" i="48"/>
  <c r="AM502" i="48" s="1"/>
  <c r="H190" i="48"/>
  <c r="H127" i="48"/>
  <c r="AN496" i="48"/>
  <c r="AR496" i="48" s="1"/>
  <c r="AQ504" i="48" s="1"/>
  <c r="AN491" i="48"/>
  <c r="AR491" i="48" s="1"/>
  <c r="AQ499" i="48" s="1"/>
  <c r="AN495" i="48"/>
  <c r="AM503" i="48" s="1"/>
  <c r="I374" i="48"/>
  <c r="H63" i="48"/>
  <c r="AN492" i="48"/>
  <c r="AR492" i="48" s="1"/>
  <c r="AQ500" i="48" s="1"/>
  <c r="C91" i="19"/>
  <c r="E91" i="19" s="1"/>
  <c r="F91" i="19" s="1"/>
  <c r="AR494" i="48"/>
  <c r="AQ502" i="48" s="1"/>
  <c r="AM501" i="48"/>
  <c r="AR493" i="48"/>
  <c r="AQ501" i="48" s="1"/>
  <c r="AQ463" i="48"/>
  <c r="AQ471" i="48" s="1"/>
  <c r="AM474" i="48"/>
  <c r="AQ467" i="48"/>
  <c r="AQ475" i="48" s="1"/>
  <c r="AM473" i="48"/>
  <c r="S90" i="19"/>
  <c r="T90" i="19" s="1"/>
  <c r="F135" i="28"/>
  <c r="C92" i="49" s="1"/>
  <c r="E92" i="49" s="1"/>
  <c r="F92" i="49" s="1"/>
  <c r="R91" i="19"/>
  <c r="S91" i="19" s="1"/>
  <c r="T91" i="19" s="1"/>
  <c r="F90" i="40"/>
  <c r="M90" i="40" s="1"/>
  <c r="G90" i="38"/>
  <c r="M90" i="38" s="1"/>
  <c r="G90" i="20"/>
  <c r="M90" i="20" s="1"/>
  <c r="AM499" i="48" l="1"/>
  <c r="AM504" i="48"/>
  <c r="AM500" i="48"/>
  <c r="AR495" i="48"/>
  <c r="AQ503" i="48" s="1"/>
  <c r="C92" i="19"/>
  <c r="E92" i="19" s="1"/>
  <c r="F92" i="19" s="1"/>
  <c r="F136" i="28"/>
  <c r="C93" i="49" s="1"/>
  <c r="E93" i="49" s="1"/>
  <c r="F93" i="49" s="1"/>
  <c r="R92" i="19"/>
  <c r="S92" i="19" s="1"/>
  <c r="T92" i="19" s="1"/>
  <c r="F91" i="40"/>
  <c r="M91" i="40" s="1"/>
  <c r="G91" i="38"/>
  <c r="M91" i="38" s="1"/>
  <c r="G91" i="20"/>
  <c r="M91" i="20" s="1"/>
  <c r="C93" i="19" l="1"/>
  <c r="E93" i="19" s="1"/>
  <c r="F93" i="19" s="1"/>
  <c r="F137" i="28"/>
  <c r="C94" i="49" s="1"/>
  <c r="E94" i="49" s="1"/>
  <c r="F94" i="49" s="1"/>
  <c r="R93" i="19"/>
  <c r="S93" i="19" s="1"/>
  <c r="T93" i="19" s="1"/>
  <c r="G92" i="38"/>
  <c r="M92" i="38" s="1"/>
  <c r="F92" i="40"/>
  <c r="M92" i="40" s="1"/>
  <c r="G92" i="20"/>
  <c r="M92" i="20" s="1"/>
  <c r="C94" i="19" l="1"/>
  <c r="E94" i="19" s="1"/>
  <c r="F94" i="19" s="1"/>
  <c r="F93" i="40"/>
  <c r="M93" i="40" s="1"/>
  <c r="G93" i="38"/>
  <c r="M93" i="38" s="1"/>
  <c r="G93" i="20"/>
  <c r="M93" i="20" s="1"/>
  <c r="F138" i="28"/>
  <c r="C95" i="49" s="1"/>
  <c r="E95" i="49" s="1"/>
  <c r="F95" i="49" s="1"/>
  <c r="R94" i="19"/>
  <c r="C95" i="19" l="1"/>
  <c r="E95" i="19" s="1"/>
  <c r="F95" i="19" s="1"/>
  <c r="S94" i="19"/>
  <c r="T94" i="19" s="1"/>
  <c r="F139" i="28"/>
  <c r="C96" i="49" s="1"/>
  <c r="E96" i="49" s="1"/>
  <c r="F96" i="49" s="1"/>
  <c r="R95" i="19"/>
  <c r="S95" i="19" s="1"/>
  <c r="T95" i="19" s="1"/>
  <c r="F94" i="40"/>
  <c r="M94" i="40" s="1"/>
  <c r="G94" i="38"/>
  <c r="M94" i="38" s="1"/>
  <c r="G94" i="20"/>
  <c r="M94" i="20" s="1"/>
  <c r="C96" i="19" l="1"/>
  <c r="E96" i="19" s="1"/>
  <c r="F96" i="19" s="1"/>
  <c r="F95" i="40"/>
  <c r="M95" i="40" s="1"/>
  <c r="G95" i="38"/>
  <c r="M95" i="38" s="1"/>
  <c r="G95" i="20"/>
  <c r="M95" i="20" s="1"/>
  <c r="F140" i="28"/>
  <c r="C97" i="49" s="1"/>
  <c r="E97" i="49" s="1"/>
  <c r="F97" i="49" s="1"/>
  <c r="R96" i="19"/>
  <c r="S96" i="19" s="1"/>
  <c r="T96" i="19" s="1"/>
  <c r="C97" i="19" l="1"/>
  <c r="E97" i="19" s="1"/>
  <c r="F97" i="19" s="1"/>
  <c r="F96" i="40"/>
  <c r="M96" i="40" s="1"/>
  <c r="G96" i="38"/>
  <c r="M96" i="38" s="1"/>
  <c r="G96" i="20"/>
  <c r="M96" i="20" s="1"/>
  <c r="F141" i="28"/>
  <c r="C98" i="49" s="1"/>
  <c r="E98" i="49" s="1"/>
  <c r="R97" i="19"/>
  <c r="S97" i="19" s="1"/>
  <c r="T97" i="19" s="1"/>
  <c r="F98" i="49" l="1"/>
  <c r="F158" i="49" s="1"/>
  <c r="E158" i="49"/>
  <c r="J158" i="49" s="1"/>
  <c r="Q158" i="49" s="1"/>
  <c r="C98" i="19"/>
  <c r="E98" i="19" s="1"/>
  <c r="G141" i="28"/>
  <c r="J13" i="28" s="1"/>
  <c r="K13" i="28" s="1"/>
  <c r="H141" i="28"/>
  <c r="G14" i="28" s="1"/>
  <c r="H14" i="28" s="1"/>
  <c r="F142" i="28" s="1"/>
  <c r="C99" i="49" s="1"/>
  <c r="G97" i="38"/>
  <c r="M97" i="38" s="1"/>
  <c r="F97" i="40"/>
  <c r="M97" i="40" s="1"/>
  <c r="G97" i="20"/>
  <c r="M97" i="20" s="1"/>
  <c r="R158" i="19" l="1"/>
  <c r="E279" i="48" s="1"/>
  <c r="F98" i="19"/>
  <c r="F158" i="19" s="1"/>
  <c r="E158" i="19"/>
  <c r="J158" i="19" s="1"/>
  <c r="Q158" i="19" s="1"/>
  <c r="C99" i="19"/>
  <c r="R98" i="19"/>
  <c r="R99" i="19"/>
  <c r="S99" i="19" s="1"/>
  <c r="T99" i="19" s="1"/>
  <c r="F143" i="28"/>
  <c r="C100" i="49" s="1"/>
  <c r="F98" i="40"/>
  <c r="M98" i="40" s="1"/>
  <c r="M158" i="40" s="1"/>
  <c r="G98" i="38"/>
  <c r="M98" i="38" s="1"/>
  <c r="G98" i="20"/>
  <c r="M98" i="20" s="1"/>
  <c r="M158" i="20" s="1"/>
  <c r="C279" i="48" l="1"/>
  <c r="C100" i="19"/>
  <c r="C14" i="9"/>
  <c r="D14" i="9" s="1"/>
  <c r="E14" i="9" s="1"/>
  <c r="S98" i="19"/>
  <c r="T98" i="19" s="1"/>
  <c r="N218" i="40"/>
  <c r="O230" i="40" s="1"/>
  <c r="N158" i="40"/>
  <c r="O158" i="40" s="1"/>
  <c r="N218" i="20"/>
  <c r="O230" i="20" s="1"/>
  <c r="N158" i="20"/>
  <c r="O158" i="20" s="1"/>
  <c r="M157" i="38"/>
  <c r="R100" i="19"/>
  <c r="S100" i="19" s="1"/>
  <c r="T100" i="19" s="1"/>
  <c r="F144" i="28"/>
  <c r="C101" i="49" s="1"/>
  <c r="F99" i="40"/>
  <c r="M99" i="40" s="1"/>
  <c r="G99" i="38"/>
  <c r="M99" i="38" s="1"/>
  <c r="G99" i="20"/>
  <c r="M99" i="20" s="1"/>
  <c r="D279" i="48" l="1"/>
  <c r="F279" i="48"/>
  <c r="AM547" i="48" s="1"/>
  <c r="S158" i="19"/>
  <c r="T158" i="19"/>
  <c r="U158" i="19" s="1"/>
  <c r="C101" i="19"/>
  <c r="G191" i="48"/>
  <c r="G231" i="48" s="1"/>
  <c r="D36" i="48"/>
  <c r="E36" i="48" s="1"/>
  <c r="I5" i="11"/>
  <c r="R406" i="48" s="1"/>
  <c r="R407" i="48" s="1"/>
  <c r="N217" i="38"/>
  <c r="O229" i="38" s="1"/>
  <c r="N157" i="38"/>
  <c r="O157" i="38" s="1"/>
  <c r="R101" i="19"/>
  <c r="S101" i="19" s="1"/>
  <c r="T101" i="19" s="1"/>
  <c r="F145" i="28"/>
  <c r="C102" i="49" s="1"/>
  <c r="G100" i="38"/>
  <c r="M100" i="38" s="1"/>
  <c r="F100" i="40"/>
  <c r="M100" i="40" s="1"/>
  <c r="G100" i="20"/>
  <c r="M100" i="20" s="1"/>
  <c r="B191" i="48" l="1"/>
  <c r="B231" i="48" s="1"/>
  <c r="H375" i="48"/>
  <c r="D128" i="48"/>
  <c r="D166" i="48" s="1"/>
  <c r="D191" i="48"/>
  <c r="D231" i="48" s="1"/>
  <c r="C64" i="48"/>
  <c r="C102" i="48" s="1"/>
  <c r="B128" i="48"/>
  <c r="B166" i="48" s="1"/>
  <c r="G64" i="48"/>
  <c r="G102" i="48" s="1"/>
  <c r="D64" i="48"/>
  <c r="D102" i="48" s="1"/>
  <c r="F64" i="48"/>
  <c r="F102" i="48" s="1"/>
  <c r="F128" i="48"/>
  <c r="F166" i="48" s="1"/>
  <c r="G279" i="48"/>
  <c r="AN518" i="48"/>
  <c r="AN524" i="48" s="1"/>
  <c r="F191" i="48"/>
  <c r="F231" i="48" s="1"/>
  <c r="G375" i="48"/>
  <c r="C191" i="48"/>
  <c r="C231" i="48" s="1"/>
  <c r="E191" i="48"/>
  <c r="E231" i="48" s="1"/>
  <c r="E128" i="48"/>
  <c r="E166" i="48" s="1"/>
  <c r="E64" i="48"/>
  <c r="E102" i="48" s="1"/>
  <c r="C128" i="48"/>
  <c r="C166" i="48" s="1"/>
  <c r="B64" i="48"/>
  <c r="B102" i="48" s="1"/>
  <c r="F375" i="48"/>
  <c r="G128" i="48"/>
  <c r="G166" i="48" s="1"/>
  <c r="C102" i="19"/>
  <c r="I6" i="11"/>
  <c r="AM549" i="48"/>
  <c r="AQ549" i="48" s="1"/>
  <c r="AM550" i="48"/>
  <c r="AQ550" i="48" s="1"/>
  <c r="AM553" i="48"/>
  <c r="AQ553" i="48" s="1"/>
  <c r="AM551" i="48"/>
  <c r="AQ551" i="48" s="1"/>
  <c r="AM554" i="48"/>
  <c r="AQ554" i="48" s="1"/>
  <c r="AM552" i="48"/>
  <c r="AQ552" i="48" s="1"/>
  <c r="I191" i="48"/>
  <c r="R102" i="19"/>
  <c r="F146" i="28"/>
  <c r="C103" i="49" s="1"/>
  <c r="G101" i="38"/>
  <c r="M101" i="38" s="1"/>
  <c r="F101" i="40"/>
  <c r="M101" i="40" s="1"/>
  <c r="G101" i="20"/>
  <c r="M101" i="20" s="1"/>
  <c r="AN522" i="48" l="1"/>
  <c r="I375" i="48"/>
  <c r="AN523" i="48"/>
  <c r="AM531" i="48" s="1"/>
  <c r="AN521" i="48"/>
  <c r="AR521" i="48" s="1"/>
  <c r="AQ529" i="48" s="1"/>
  <c r="AN520" i="48"/>
  <c r="AM528" i="48" s="1"/>
  <c r="AN525" i="48"/>
  <c r="AR525" i="48" s="1"/>
  <c r="AQ533" i="48" s="1"/>
  <c r="H128" i="48"/>
  <c r="H191" i="48"/>
  <c r="H64" i="48"/>
  <c r="C103" i="19"/>
  <c r="AR523" i="48"/>
  <c r="AQ531" i="48" s="1"/>
  <c r="AR522" i="48"/>
  <c r="AQ530" i="48" s="1"/>
  <c r="AM530" i="48"/>
  <c r="AM532" i="48"/>
  <c r="AR524" i="48"/>
  <c r="AQ532" i="48" s="1"/>
  <c r="S102" i="19"/>
  <c r="T102" i="19" s="1"/>
  <c r="F147" i="28"/>
  <c r="C104" i="49" s="1"/>
  <c r="R103" i="19"/>
  <c r="S103" i="19" s="1"/>
  <c r="T103" i="19" s="1"/>
  <c r="G102" i="20"/>
  <c r="M102" i="20" s="1"/>
  <c r="F102" i="40"/>
  <c r="M102" i="40" s="1"/>
  <c r="G102" i="38"/>
  <c r="M102" i="38" s="1"/>
  <c r="AM529" i="48" l="1"/>
  <c r="AR520" i="48"/>
  <c r="AQ528" i="48" s="1"/>
  <c r="AM533" i="48"/>
  <c r="C104" i="19"/>
  <c r="F103" i="40"/>
  <c r="M103" i="40" s="1"/>
  <c r="G103" i="38"/>
  <c r="M103" i="38" s="1"/>
  <c r="G103" i="20"/>
  <c r="M103" i="20" s="1"/>
  <c r="F148" i="28"/>
  <c r="C105" i="49" s="1"/>
  <c r="R104" i="19"/>
  <c r="S104" i="19" s="1"/>
  <c r="T104" i="19" s="1"/>
  <c r="C105" i="19" l="1"/>
  <c r="G104" i="38"/>
  <c r="M104" i="38" s="1"/>
  <c r="F104" i="40"/>
  <c r="M104" i="40" s="1"/>
  <c r="G104" i="20"/>
  <c r="M104" i="20" s="1"/>
  <c r="F149" i="28"/>
  <c r="C106" i="49" s="1"/>
  <c r="R105" i="19"/>
  <c r="S105" i="19" s="1"/>
  <c r="T105" i="19" s="1"/>
  <c r="C106" i="19" l="1"/>
  <c r="G105" i="38"/>
  <c r="M105" i="38" s="1"/>
  <c r="F105" i="40"/>
  <c r="M105" i="40" s="1"/>
  <c r="G105" i="20"/>
  <c r="M105" i="20" s="1"/>
  <c r="F150" i="28"/>
  <c r="C107" i="49" s="1"/>
  <c r="R106" i="19"/>
  <c r="C107" i="19" l="1"/>
  <c r="S106" i="19"/>
  <c r="T106" i="19" s="1"/>
  <c r="R107" i="19"/>
  <c r="S107" i="19" s="1"/>
  <c r="T107" i="19" s="1"/>
  <c r="F151" i="28"/>
  <c r="C108" i="49" s="1"/>
  <c r="F106" i="40"/>
  <c r="M106" i="40" s="1"/>
  <c r="G106" i="20"/>
  <c r="M106" i="20" s="1"/>
  <c r="G106" i="38"/>
  <c r="M106" i="38" s="1"/>
  <c r="C108" i="19" l="1"/>
  <c r="F152" i="28"/>
  <c r="C109" i="49" s="1"/>
  <c r="R108" i="19"/>
  <c r="S108" i="19" s="1"/>
  <c r="T108" i="19" s="1"/>
  <c r="G107" i="20"/>
  <c r="M107" i="20" s="1"/>
  <c r="G107" i="38"/>
  <c r="M107" i="38" s="1"/>
  <c r="F107" i="40"/>
  <c r="M107" i="40" s="1"/>
  <c r="C109" i="19" l="1"/>
  <c r="G108" i="38"/>
  <c r="M108" i="38" s="1"/>
  <c r="F108" i="40"/>
  <c r="M108" i="40" s="1"/>
  <c r="G108" i="20"/>
  <c r="M108" i="20" s="1"/>
  <c r="F153" i="28"/>
  <c r="C110" i="49" s="1"/>
  <c r="R109" i="19"/>
  <c r="S109" i="19" s="1"/>
  <c r="T109" i="19" s="1"/>
  <c r="C110" i="19" l="1"/>
  <c r="G153" i="28"/>
  <c r="J14" i="28" s="1"/>
  <c r="K14" i="28" s="1"/>
  <c r="H153" i="28"/>
  <c r="G15" i="28" s="1"/>
  <c r="H15" i="28" s="1"/>
  <c r="F154" i="28" s="1"/>
  <c r="C111" i="49" s="1"/>
  <c r="E111" i="49" s="1"/>
  <c r="G109" i="20"/>
  <c r="M109" i="20" s="1"/>
  <c r="G109" i="38"/>
  <c r="M109" i="38" s="1"/>
  <c r="F109" i="40"/>
  <c r="M109" i="40" s="1"/>
  <c r="F111" i="49" l="1"/>
  <c r="C111" i="19"/>
  <c r="E111" i="19" s="1"/>
  <c r="R110" i="19"/>
  <c r="J4" i="11"/>
  <c r="S405" i="48" s="1"/>
  <c r="F110" i="40"/>
  <c r="M110" i="40" s="1"/>
  <c r="G110" i="38"/>
  <c r="M110" i="38" s="1"/>
  <c r="M158" i="38" s="1"/>
  <c r="G110" i="20"/>
  <c r="M110" i="20" s="1"/>
  <c r="R111" i="19"/>
  <c r="S111" i="19" s="1"/>
  <c r="T111" i="19" s="1"/>
  <c r="F155" i="28"/>
  <c r="C112" i="49" s="1"/>
  <c r="E112" i="49" s="1"/>
  <c r="F112" i="49" s="1"/>
  <c r="F111" i="19" l="1"/>
  <c r="C112" i="19"/>
  <c r="E112" i="19" s="1"/>
  <c r="F112" i="19" s="1"/>
  <c r="S110" i="19"/>
  <c r="T110" i="19" s="1"/>
  <c r="M159" i="40"/>
  <c r="N158" i="38"/>
  <c r="O158" i="38" s="1"/>
  <c r="N218" i="38"/>
  <c r="O230" i="38" s="1"/>
  <c r="M159" i="20"/>
  <c r="H33" i="9"/>
  <c r="J13" i="11"/>
  <c r="S417" i="48" s="1"/>
  <c r="J33" i="9"/>
  <c r="J46" i="9" s="1"/>
  <c r="J21" i="11"/>
  <c r="S425" i="48" s="1"/>
  <c r="G111" i="38"/>
  <c r="M111" i="38" s="1"/>
  <c r="F111" i="40"/>
  <c r="M111" i="40" s="1"/>
  <c r="G111" i="20"/>
  <c r="M111" i="20" s="1"/>
  <c r="R112" i="19"/>
  <c r="S112" i="19" s="1"/>
  <c r="T112" i="19" s="1"/>
  <c r="F156" i="28"/>
  <c r="C113" i="49" s="1"/>
  <c r="E113" i="49" s="1"/>
  <c r="F113" i="49" s="1"/>
  <c r="C113" i="19" l="1"/>
  <c r="E113" i="19" s="1"/>
  <c r="AK578" i="48"/>
  <c r="AL549" i="48"/>
  <c r="H35" i="9"/>
  <c r="H36" i="9" s="1"/>
  <c r="H46" i="9"/>
  <c r="J45" i="9"/>
  <c r="J50" i="9" s="1"/>
  <c r="J35" i="9"/>
  <c r="J36" i="9" s="1"/>
  <c r="J54" i="9" s="1"/>
  <c r="N159" i="40"/>
  <c r="O159" i="40" s="1"/>
  <c r="N219" i="40"/>
  <c r="O231" i="40" s="1"/>
  <c r="N159" i="20"/>
  <c r="O159" i="20" s="1"/>
  <c r="N219" i="20"/>
  <c r="O231" i="20" s="1"/>
  <c r="H45" i="9"/>
  <c r="J17" i="11"/>
  <c r="S421" i="48" s="1"/>
  <c r="I33" i="9"/>
  <c r="F112" i="40"/>
  <c r="M112" i="40" s="1"/>
  <c r="G112" i="20"/>
  <c r="M112" i="20" s="1"/>
  <c r="G112" i="38"/>
  <c r="M112" i="38" s="1"/>
  <c r="F157" i="28"/>
  <c r="C114" i="49" s="1"/>
  <c r="E114" i="49" s="1"/>
  <c r="F114" i="49" s="1"/>
  <c r="R113" i="19"/>
  <c r="S113" i="19" s="1"/>
  <c r="T113" i="19" s="1"/>
  <c r="F113" i="19" l="1"/>
  <c r="C114" i="19"/>
  <c r="E114" i="19" s="1"/>
  <c r="F114" i="19" s="1"/>
  <c r="AK579" i="48"/>
  <c r="AL550" i="48"/>
  <c r="AP549" i="48"/>
  <c r="AO557" i="48" s="1"/>
  <c r="AK557" i="48"/>
  <c r="AO578" i="48"/>
  <c r="AO586" i="48" s="1"/>
  <c r="AK586" i="48"/>
  <c r="H50" i="9"/>
  <c r="H54" i="9"/>
  <c r="I35" i="9"/>
  <c r="I36" i="9" s="1"/>
  <c r="I46" i="9"/>
  <c r="H53" i="9"/>
  <c r="J62" i="9"/>
  <c r="J53" i="9"/>
  <c r="J26" i="11"/>
  <c r="S430" i="48" s="1"/>
  <c r="L33" i="9"/>
  <c r="J31" i="11"/>
  <c r="S435" i="48" s="1"/>
  <c r="I45" i="9"/>
  <c r="F113" i="40"/>
  <c r="M113" i="40" s="1"/>
  <c r="G113" i="38"/>
  <c r="M113" i="38" s="1"/>
  <c r="G113" i="20"/>
  <c r="M113" i="20" s="1"/>
  <c r="F158" i="28"/>
  <c r="C115" i="49" s="1"/>
  <c r="E115" i="49" s="1"/>
  <c r="F115" i="49" s="1"/>
  <c r="R114" i="19"/>
  <c r="C115" i="19" l="1"/>
  <c r="E115" i="19" s="1"/>
  <c r="F115" i="19" s="1"/>
  <c r="AO579" i="48"/>
  <c r="AO587" i="48" s="1"/>
  <c r="AK587" i="48"/>
  <c r="AP550" i="48"/>
  <c r="AO558" i="48" s="1"/>
  <c r="AK558" i="48"/>
  <c r="S114" i="19"/>
  <c r="T114" i="19" s="1"/>
  <c r="H61" i="9"/>
  <c r="J61" i="9"/>
  <c r="H62" i="9"/>
  <c r="I54" i="9"/>
  <c r="I50" i="9"/>
  <c r="L35" i="9"/>
  <c r="L36" i="9" s="1"/>
  <c r="L46" i="9"/>
  <c r="K33" i="9"/>
  <c r="K46" i="9" s="1"/>
  <c r="L45" i="9"/>
  <c r="M33" i="9"/>
  <c r="M46" i="9" s="1"/>
  <c r="J36" i="11"/>
  <c r="S440" i="48" s="1"/>
  <c r="I53" i="9"/>
  <c r="G15" i="9"/>
  <c r="F114" i="40"/>
  <c r="M114" i="40" s="1"/>
  <c r="G114" i="38"/>
  <c r="M114" i="38" s="1"/>
  <c r="G114" i="20"/>
  <c r="M114" i="20" s="1"/>
  <c r="R115" i="19"/>
  <c r="S115" i="19" s="1"/>
  <c r="T115" i="19" s="1"/>
  <c r="F159" i="28"/>
  <c r="C116" i="49" s="1"/>
  <c r="E116" i="49" s="1"/>
  <c r="F116" i="49" s="1"/>
  <c r="C116" i="19" l="1"/>
  <c r="E116" i="19" s="1"/>
  <c r="F116" i="19" s="1"/>
  <c r="AK583" i="48"/>
  <c r="AL554" i="48"/>
  <c r="S444" i="48"/>
  <c r="J40" i="11"/>
  <c r="I62" i="9"/>
  <c r="I61" i="9"/>
  <c r="L54" i="9"/>
  <c r="L50" i="9"/>
  <c r="L53" i="9"/>
  <c r="K45" i="9"/>
  <c r="K50" i="9" s="1"/>
  <c r="K35" i="9"/>
  <c r="K36" i="9" s="1"/>
  <c r="K54" i="9" s="1"/>
  <c r="M45" i="9"/>
  <c r="M50" i="9" s="1"/>
  <c r="M35" i="9"/>
  <c r="M36" i="9" s="1"/>
  <c r="M54" i="9" s="1"/>
  <c r="F15" i="9"/>
  <c r="J45" i="11"/>
  <c r="J8" i="11"/>
  <c r="F115" i="40"/>
  <c r="M115" i="40" s="1"/>
  <c r="G115" i="20"/>
  <c r="M115" i="20" s="1"/>
  <c r="G115" i="38"/>
  <c r="M115" i="38" s="1"/>
  <c r="R116" i="19"/>
  <c r="S116" i="19" s="1"/>
  <c r="T116" i="19" s="1"/>
  <c r="F160" i="28"/>
  <c r="C117" i="49" s="1"/>
  <c r="E117" i="49" s="1"/>
  <c r="F117" i="49" s="1"/>
  <c r="D99" i="19" l="1"/>
  <c r="E99" i="19" s="1"/>
  <c r="D99" i="49"/>
  <c r="AO583" i="48"/>
  <c r="AO591" i="48" s="1"/>
  <c r="C117" i="19"/>
  <c r="E117" i="19" s="1"/>
  <c r="D100" i="19"/>
  <c r="F20" i="9"/>
  <c r="D123" i="49" s="1"/>
  <c r="D124" i="49" s="1"/>
  <c r="D125" i="49" s="1"/>
  <c r="D126" i="49" s="1"/>
  <c r="D127" i="49" s="1"/>
  <c r="D128" i="49" s="1"/>
  <c r="D129" i="49" s="1"/>
  <c r="D130" i="49" s="1"/>
  <c r="D131" i="49" s="1"/>
  <c r="D132" i="49" s="1"/>
  <c r="D133" i="49" s="1"/>
  <c r="D134" i="49" s="1"/>
  <c r="D135" i="49" s="1"/>
  <c r="D136" i="49" s="1"/>
  <c r="D137" i="49" s="1"/>
  <c r="D138" i="49" s="1"/>
  <c r="D139" i="49" s="1"/>
  <c r="D140" i="49" s="1"/>
  <c r="D141" i="49" s="1"/>
  <c r="D142" i="49" s="1"/>
  <c r="D143" i="49" s="1"/>
  <c r="D144" i="49" s="1"/>
  <c r="D145" i="49" s="1"/>
  <c r="D146" i="49" s="1"/>
  <c r="F22" i="9"/>
  <c r="B37" i="48"/>
  <c r="I181" i="48" s="1"/>
  <c r="S412" i="48"/>
  <c r="AK562" i="48"/>
  <c r="AP554" i="48"/>
  <c r="AO562" i="48" s="1"/>
  <c r="J50" i="11"/>
  <c r="AK591" i="48"/>
  <c r="L61" i="9"/>
  <c r="L62" i="9"/>
  <c r="G54" i="9"/>
  <c r="K62" i="9"/>
  <c r="M62" i="9"/>
  <c r="M53" i="9"/>
  <c r="K53" i="9"/>
  <c r="R117" i="19"/>
  <c r="S117" i="19" s="1"/>
  <c r="T117" i="19" s="1"/>
  <c r="F161" i="28"/>
  <c r="C118" i="49" s="1"/>
  <c r="E118" i="49" s="1"/>
  <c r="F118" i="49" s="1"/>
  <c r="G116" i="38"/>
  <c r="M116" i="38" s="1"/>
  <c r="G116" i="20"/>
  <c r="M116" i="20" s="1"/>
  <c r="F116" i="40"/>
  <c r="M116" i="40" s="1"/>
  <c r="D100" i="49" l="1"/>
  <c r="E99" i="49"/>
  <c r="F99" i="19"/>
  <c r="F117" i="19"/>
  <c r="C118" i="19"/>
  <c r="E118" i="19" s="1"/>
  <c r="F118" i="19" s="1"/>
  <c r="U409" i="48"/>
  <c r="V409" i="48" s="1"/>
  <c r="D123" i="19"/>
  <c r="D124" i="19" s="1"/>
  <c r="D125" i="19" s="1"/>
  <c r="D126" i="19" s="1"/>
  <c r="D127" i="19" s="1"/>
  <c r="D128" i="19" s="1"/>
  <c r="D129" i="19" s="1"/>
  <c r="D130" i="19" s="1"/>
  <c r="D131" i="19" s="1"/>
  <c r="D132" i="19" s="1"/>
  <c r="D133" i="19" s="1"/>
  <c r="D134" i="19" s="1"/>
  <c r="D135" i="19" s="1"/>
  <c r="D136" i="19" s="1"/>
  <c r="D137" i="19" s="1"/>
  <c r="D138" i="19" s="1"/>
  <c r="D139" i="19" s="1"/>
  <c r="D140" i="19" s="1"/>
  <c r="D141" i="19" s="1"/>
  <c r="D142" i="19" s="1"/>
  <c r="D143" i="19" s="1"/>
  <c r="D144" i="19" s="1"/>
  <c r="D145" i="19" s="1"/>
  <c r="D146" i="19" s="1"/>
  <c r="D101" i="19"/>
  <c r="E100" i="19"/>
  <c r="F100" i="19" s="1"/>
  <c r="C37" i="48"/>
  <c r="C38" i="48"/>
  <c r="K61" i="9"/>
  <c r="M61" i="9"/>
  <c r="N62" i="9"/>
  <c r="G53" i="9"/>
  <c r="G117" i="20"/>
  <c r="M117" i="20" s="1"/>
  <c r="F117" i="40"/>
  <c r="M117" i="40" s="1"/>
  <c r="G117" i="38"/>
  <c r="M117" i="38" s="1"/>
  <c r="R118" i="19"/>
  <c r="F162" i="28"/>
  <c r="C119" i="49" s="1"/>
  <c r="E119" i="49" s="1"/>
  <c r="F119" i="49" s="1"/>
  <c r="F99" i="49" l="1"/>
  <c r="D101" i="49"/>
  <c r="E100" i="49"/>
  <c r="F100" i="49" s="1"/>
  <c r="C119" i="19"/>
  <c r="E119" i="19" s="1"/>
  <c r="F119" i="19" s="1"/>
  <c r="D102" i="19"/>
  <c r="E101" i="19"/>
  <c r="F101" i="19" s="1"/>
  <c r="S118" i="19"/>
  <c r="T118" i="19" s="1"/>
  <c r="N61" i="9"/>
  <c r="F118" i="40"/>
  <c r="M118" i="40" s="1"/>
  <c r="G118" i="38"/>
  <c r="M118" i="38" s="1"/>
  <c r="G118" i="20"/>
  <c r="M118" i="20" s="1"/>
  <c r="R119" i="19"/>
  <c r="S119" i="19" s="1"/>
  <c r="T119" i="19" s="1"/>
  <c r="F163" i="28"/>
  <c r="C120" i="49" s="1"/>
  <c r="E120" i="49" s="1"/>
  <c r="F120" i="49" s="1"/>
  <c r="D102" i="49" l="1"/>
  <c r="E101" i="49"/>
  <c r="C120" i="19"/>
  <c r="E120" i="19" s="1"/>
  <c r="F120" i="19" s="1"/>
  <c r="D103" i="19"/>
  <c r="E102" i="19"/>
  <c r="G119" i="38"/>
  <c r="M119" i="38" s="1"/>
  <c r="F119" i="40"/>
  <c r="M119" i="40" s="1"/>
  <c r="G119" i="20"/>
  <c r="M119" i="20" s="1"/>
  <c r="F164" i="28"/>
  <c r="C121" i="49" s="1"/>
  <c r="E121" i="49" s="1"/>
  <c r="F121" i="49" s="1"/>
  <c r="R120" i="19"/>
  <c r="S120" i="19" s="1"/>
  <c r="T120" i="19" s="1"/>
  <c r="F101" i="49" l="1"/>
  <c r="D103" i="49"/>
  <c r="E102" i="49"/>
  <c r="F102" i="49" s="1"/>
  <c r="F102" i="19"/>
  <c r="C121" i="19"/>
  <c r="E121" i="19" s="1"/>
  <c r="F121" i="19" s="1"/>
  <c r="D104" i="19"/>
  <c r="E103" i="19"/>
  <c r="F103" i="19" s="1"/>
  <c r="R121" i="19"/>
  <c r="S121" i="19" s="1"/>
  <c r="T121" i="19" s="1"/>
  <c r="F165" i="28"/>
  <c r="C122" i="49" s="1"/>
  <c r="E122" i="49" s="1"/>
  <c r="G120" i="38"/>
  <c r="M120" i="38" s="1"/>
  <c r="G120" i="20"/>
  <c r="M120" i="20" s="1"/>
  <c r="F120" i="40"/>
  <c r="M120" i="40" s="1"/>
  <c r="D104" i="49" l="1"/>
  <c r="E103" i="49"/>
  <c r="F103" i="49" s="1"/>
  <c r="F122" i="49"/>
  <c r="F160" i="49" s="1"/>
  <c r="E160" i="49"/>
  <c r="J160" i="49" s="1"/>
  <c r="Q160" i="49" s="1"/>
  <c r="C122" i="19"/>
  <c r="E122" i="19" s="1"/>
  <c r="D105" i="19"/>
  <c r="E104" i="19"/>
  <c r="F104" i="19" s="1"/>
  <c r="G165" i="28"/>
  <c r="J15" i="28" s="1"/>
  <c r="K15" i="28" s="1"/>
  <c r="H165" i="28"/>
  <c r="G16" i="28" s="1"/>
  <c r="H16" i="28" s="1"/>
  <c r="F166" i="28" s="1"/>
  <c r="C123" i="49" s="1"/>
  <c r="E123" i="49" s="1"/>
  <c r="F121" i="40"/>
  <c r="M121" i="40" s="1"/>
  <c r="G121" i="38"/>
  <c r="M121" i="38" s="1"/>
  <c r="G121" i="20"/>
  <c r="M121" i="20" s="1"/>
  <c r="E104" i="49" l="1"/>
  <c r="F104" i="49" s="1"/>
  <c r="D105" i="49"/>
  <c r="F122" i="19"/>
  <c r="F160" i="19" s="1"/>
  <c r="E160" i="19"/>
  <c r="J160" i="19" s="1"/>
  <c r="Q160" i="19" s="1"/>
  <c r="C123" i="19"/>
  <c r="E123" i="19" s="1"/>
  <c r="D106" i="19"/>
  <c r="E105" i="19"/>
  <c r="F105" i="19" s="1"/>
  <c r="R122" i="19"/>
  <c r="F167" i="28"/>
  <c r="C124" i="49" s="1"/>
  <c r="E124" i="49" s="1"/>
  <c r="G122" i="38"/>
  <c r="M122" i="38" s="1"/>
  <c r="G122" i="20"/>
  <c r="M122" i="20" s="1"/>
  <c r="M160" i="20" s="1"/>
  <c r="M164" i="20" s="1"/>
  <c r="F122" i="40"/>
  <c r="M122" i="40" s="1"/>
  <c r="M160" i="40" s="1"/>
  <c r="D106" i="49" l="1"/>
  <c r="E105" i="49"/>
  <c r="R160" i="19"/>
  <c r="E281" i="48" s="1"/>
  <c r="C281" i="48"/>
  <c r="D281" i="48" s="1"/>
  <c r="C124" i="19"/>
  <c r="E124" i="19" s="1"/>
  <c r="D107" i="19"/>
  <c r="E106" i="19"/>
  <c r="F106" i="19" s="1"/>
  <c r="S122" i="19"/>
  <c r="T122" i="19" s="1"/>
  <c r="T123" i="19" s="1"/>
  <c r="P242" i="48" s="1"/>
  <c r="N160" i="40"/>
  <c r="O160" i="40" s="1"/>
  <c r="M164" i="40"/>
  <c r="N224" i="20"/>
  <c r="N164" i="20"/>
  <c r="M159" i="38"/>
  <c r="G123" i="20"/>
  <c r="M123" i="20" s="1"/>
  <c r="G123" i="38"/>
  <c r="M123" i="38" s="1"/>
  <c r="F123" i="40"/>
  <c r="M123" i="40" s="1"/>
  <c r="F168" i="28"/>
  <c r="C125" i="49" s="1"/>
  <c r="E125" i="49" s="1"/>
  <c r="F281" i="48" l="1"/>
  <c r="AM605" i="48" s="1"/>
  <c r="AM607" i="48" s="1"/>
  <c r="AQ607" i="48" s="1"/>
  <c r="C16" i="9"/>
  <c r="D16" i="9" s="1"/>
  <c r="E16" i="9" s="1"/>
  <c r="T160" i="19"/>
  <c r="U160" i="19" s="1"/>
  <c r="S160" i="19"/>
  <c r="F105" i="49"/>
  <c r="D107" i="49"/>
  <c r="E106" i="49"/>
  <c r="F106" i="49" s="1"/>
  <c r="C125" i="19"/>
  <c r="E125" i="19" s="1"/>
  <c r="D108" i="19"/>
  <c r="E107" i="19"/>
  <c r="F107" i="19" s="1"/>
  <c r="B66" i="48"/>
  <c r="B104" i="48" s="1"/>
  <c r="D130" i="48"/>
  <c r="D168" i="48" s="1"/>
  <c r="F377" i="48"/>
  <c r="N224" i="40"/>
  <c r="N164" i="40"/>
  <c r="K32" i="11"/>
  <c r="T436" i="48" s="1"/>
  <c r="K27" i="11"/>
  <c r="T431" i="48" s="1"/>
  <c r="N159" i="38"/>
  <c r="O159" i="38" s="1"/>
  <c r="M163" i="38"/>
  <c r="G124" i="20"/>
  <c r="M124" i="20" s="1"/>
  <c r="F124" i="40"/>
  <c r="M124" i="40" s="1"/>
  <c r="G124" i="38"/>
  <c r="M124" i="38" s="1"/>
  <c r="F169" i="28"/>
  <c r="C126" i="49" s="1"/>
  <c r="E126" i="49" s="1"/>
  <c r="G193" i="48" l="1"/>
  <c r="G233" i="48" s="1"/>
  <c r="G281" i="48"/>
  <c r="AN576" i="48"/>
  <c r="AN583" i="48" s="1"/>
  <c r="F193" i="48"/>
  <c r="F233" i="48" s="1"/>
  <c r="C130" i="48"/>
  <c r="C168" i="48" s="1"/>
  <c r="E193" i="48"/>
  <c r="E233" i="48" s="1"/>
  <c r="AM612" i="48"/>
  <c r="AQ612" i="48" s="1"/>
  <c r="G66" i="48"/>
  <c r="G104" i="48" s="1"/>
  <c r="B193" i="48"/>
  <c r="B233" i="48" s="1"/>
  <c r="F66" i="48"/>
  <c r="F104" i="48" s="1"/>
  <c r="K5" i="11"/>
  <c r="T406" i="48" s="1"/>
  <c r="T407" i="48" s="1"/>
  <c r="AM608" i="48"/>
  <c r="AQ608" i="48" s="1"/>
  <c r="C66" i="48"/>
  <c r="C104" i="48" s="1"/>
  <c r="E66" i="48"/>
  <c r="E104" i="48" s="1"/>
  <c r="B130" i="48"/>
  <c r="B168" i="48" s="1"/>
  <c r="G377" i="48"/>
  <c r="G130" i="48"/>
  <c r="G168" i="48" s="1"/>
  <c r="H377" i="48"/>
  <c r="D193" i="48"/>
  <c r="D233" i="48" s="1"/>
  <c r="F130" i="48"/>
  <c r="F168" i="48" s="1"/>
  <c r="E130" i="48"/>
  <c r="E168" i="48" s="1"/>
  <c r="D38" i="48"/>
  <c r="D66" i="48"/>
  <c r="D104" i="48" s="1"/>
  <c r="C193" i="48"/>
  <c r="C233" i="48" s="1"/>
  <c r="D108" i="49"/>
  <c r="E107" i="49"/>
  <c r="F107" i="49" s="1"/>
  <c r="K6" i="11"/>
  <c r="C126" i="19"/>
  <c r="E126" i="19" s="1"/>
  <c r="D109" i="19"/>
  <c r="E108" i="19"/>
  <c r="F108" i="19" s="1"/>
  <c r="AN578" i="48"/>
  <c r="AL582" i="48"/>
  <c r="AK611" i="48"/>
  <c r="AM611" i="48" s="1"/>
  <c r="AK610" i="48"/>
  <c r="AM610" i="48" s="1"/>
  <c r="AL581" i="48"/>
  <c r="I193" i="48"/>
  <c r="N163" i="38"/>
  <c r="N223" i="38"/>
  <c r="K22" i="11"/>
  <c r="E11" i="18"/>
  <c r="G125" i="20"/>
  <c r="M125" i="20" s="1"/>
  <c r="F125" i="40"/>
  <c r="M125" i="40" s="1"/>
  <c r="G125" i="38"/>
  <c r="M125" i="38" s="1"/>
  <c r="F170" i="28"/>
  <c r="C127" i="49" s="1"/>
  <c r="E127" i="49" s="1"/>
  <c r="AN579" i="48" l="1"/>
  <c r="AN581" i="48"/>
  <c r="AN582" i="48"/>
  <c r="I377" i="48"/>
  <c r="H193" i="48"/>
  <c r="H66" i="48"/>
  <c r="H130" i="48"/>
  <c r="D109" i="49"/>
  <c r="E108" i="49"/>
  <c r="F108" i="49" s="1"/>
  <c r="C127" i="19"/>
  <c r="E127" i="19" s="1"/>
  <c r="D110" i="19"/>
  <c r="E110" i="19" s="1"/>
  <c r="E109" i="19"/>
  <c r="F109" i="19" s="1"/>
  <c r="AR579" i="48"/>
  <c r="AR583" i="48"/>
  <c r="AR578" i="48"/>
  <c r="AO610" i="48"/>
  <c r="AQ610" i="48"/>
  <c r="AO611" i="48"/>
  <c r="AQ611" i="48"/>
  <c r="K41" i="11"/>
  <c r="T426" i="48"/>
  <c r="AK589" i="48"/>
  <c r="AP581" i="48"/>
  <c r="AO589" i="48" s="1"/>
  <c r="AK590" i="48"/>
  <c r="AP582" i="48"/>
  <c r="AO590" i="48" s="1"/>
  <c r="K46" i="11"/>
  <c r="F171" i="28"/>
  <c r="C128" i="49" s="1"/>
  <c r="E128" i="49" s="1"/>
  <c r="F126" i="40"/>
  <c r="M126" i="40" s="1"/>
  <c r="G126" i="38"/>
  <c r="M126" i="38" s="1"/>
  <c r="G126" i="20"/>
  <c r="M126" i="20" s="1"/>
  <c r="D110" i="49" l="1"/>
  <c r="E110" i="49" s="1"/>
  <c r="E109" i="49"/>
  <c r="F109" i="49" s="1"/>
  <c r="F110" i="19"/>
  <c r="F159" i="19" s="1"/>
  <c r="F164" i="19" s="1"/>
  <c r="J164" i="19" s="1"/>
  <c r="E159" i="19"/>
  <c r="J159" i="19" s="1"/>
  <c r="Q159" i="19" s="1"/>
  <c r="C128" i="19"/>
  <c r="E128" i="19" s="1"/>
  <c r="K51" i="11"/>
  <c r="AL580" i="48"/>
  <c r="AN580" i="48" s="1"/>
  <c r="AK609" i="48"/>
  <c r="AM609" i="48" s="1"/>
  <c r="T445" i="48"/>
  <c r="AR581" i="48"/>
  <c r="AR582" i="48"/>
  <c r="G127" i="20"/>
  <c r="M127" i="20" s="1"/>
  <c r="G127" i="38"/>
  <c r="M127" i="38" s="1"/>
  <c r="F127" i="40"/>
  <c r="M127" i="40" s="1"/>
  <c r="F172" i="28"/>
  <c r="C129" i="49" s="1"/>
  <c r="E129" i="49" s="1"/>
  <c r="F110" i="49" l="1"/>
  <c r="F159" i="49" s="1"/>
  <c r="F164" i="49" s="1"/>
  <c r="J164" i="49" s="1"/>
  <c r="E159" i="49"/>
  <c r="J159" i="49" s="1"/>
  <c r="Q159" i="49" s="1"/>
  <c r="C280" i="48"/>
  <c r="E165" i="19"/>
  <c r="T159" i="19"/>
  <c r="U159" i="19" s="1"/>
  <c r="C129" i="19"/>
  <c r="E129" i="19" s="1"/>
  <c r="AO609" i="48"/>
  <c r="AQ609" i="48"/>
  <c r="AK588" i="48"/>
  <c r="AP580" i="48"/>
  <c r="AO588" i="48" s="1"/>
  <c r="G128" i="20"/>
  <c r="M128" i="20" s="1"/>
  <c r="F128" i="40"/>
  <c r="M128" i="40" s="1"/>
  <c r="G128" i="38"/>
  <c r="M128" i="38" s="1"/>
  <c r="F173" i="28"/>
  <c r="C130" i="49" s="1"/>
  <c r="E130" i="49" s="1"/>
  <c r="C15" i="9" l="1"/>
  <c r="D15" i="9" s="1"/>
  <c r="E15" i="9" s="1"/>
  <c r="E165" i="49"/>
  <c r="D280" i="48"/>
  <c r="J5" i="11"/>
  <c r="C130" i="19"/>
  <c r="E130" i="19" s="1"/>
  <c r="AR580" i="48"/>
  <c r="F174" i="28"/>
  <c r="C131" i="49" s="1"/>
  <c r="E131" i="49" s="1"/>
  <c r="G129" i="20"/>
  <c r="M129" i="20" s="1"/>
  <c r="F129" i="40"/>
  <c r="M129" i="40" s="1"/>
  <c r="G129" i="38"/>
  <c r="M129" i="38" s="1"/>
  <c r="R159" i="19" l="1"/>
  <c r="S406" i="48"/>
  <c r="S407" i="48" s="1"/>
  <c r="J6" i="11"/>
  <c r="C131" i="19"/>
  <c r="E131" i="19" s="1"/>
  <c r="G130" i="38"/>
  <c r="M130" i="38" s="1"/>
  <c r="G130" i="20"/>
  <c r="M130" i="20" s="1"/>
  <c r="F130" i="40"/>
  <c r="M130" i="40" s="1"/>
  <c r="F175" i="28"/>
  <c r="C132" i="49" s="1"/>
  <c r="E132" i="49" s="1"/>
  <c r="E280" i="48" l="1"/>
  <c r="F280" i="48" s="1"/>
  <c r="S159" i="19"/>
  <c r="C132" i="19"/>
  <c r="E132" i="19" s="1"/>
  <c r="F176" i="28"/>
  <c r="C133" i="49" s="1"/>
  <c r="E133" i="49" s="1"/>
  <c r="G131" i="20"/>
  <c r="M131" i="20" s="1"/>
  <c r="G131" i="38"/>
  <c r="M131" i="38" s="1"/>
  <c r="F131" i="40"/>
  <c r="M131" i="40" s="1"/>
  <c r="D192" i="48" l="1"/>
  <c r="D232" i="48" s="1"/>
  <c r="D129" i="48"/>
  <c r="D167" i="48" s="1"/>
  <c r="F192" i="48"/>
  <c r="F232" i="48" s="1"/>
  <c r="G129" i="48"/>
  <c r="G167" i="48" s="1"/>
  <c r="E192" i="48"/>
  <c r="E232" i="48" s="1"/>
  <c r="C65" i="48"/>
  <c r="C103" i="48" s="1"/>
  <c r="G280" i="48"/>
  <c r="F376" i="48"/>
  <c r="D37" i="48"/>
  <c r="G192" i="48"/>
  <c r="G232" i="48" s="1"/>
  <c r="C192" i="48"/>
  <c r="C232" i="48" s="1"/>
  <c r="G65" i="48"/>
  <c r="G103" i="48" s="1"/>
  <c r="F65" i="48"/>
  <c r="F103" i="48" s="1"/>
  <c r="B129" i="48"/>
  <c r="C129" i="48"/>
  <c r="C167" i="48" s="1"/>
  <c r="AN547" i="48"/>
  <c r="B65" i="48"/>
  <c r="G376" i="48"/>
  <c r="H376" i="48"/>
  <c r="D65" i="48"/>
  <c r="D103" i="48" s="1"/>
  <c r="AM576" i="48"/>
  <c r="F129" i="48"/>
  <c r="F167" i="48" s="1"/>
  <c r="E65" i="48"/>
  <c r="E103" i="48" s="1"/>
  <c r="E129" i="48"/>
  <c r="E167" i="48" s="1"/>
  <c r="B192" i="48"/>
  <c r="C133" i="19"/>
  <c r="E133" i="19" s="1"/>
  <c r="F177" i="28"/>
  <c r="C134" i="49" s="1"/>
  <c r="E134" i="49" s="1"/>
  <c r="E161" i="49" s="1"/>
  <c r="J161" i="49" s="1"/>
  <c r="Q161" i="49" s="1"/>
  <c r="F132" i="40"/>
  <c r="M132" i="40" s="1"/>
  <c r="G132" i="38"/>
  <c r="M132" i="38" s="1"/>
  <c r="G132" i="20"/>
  <c r="M132" i="20" s="1"/>
  <c r="R161" i="19" l="1"/>
  <c r="E282" i="48" s="1"/>
  <c r="I376" i="48"/>
  <c r="AN549" i="48"/>
  <c r="AN550" i="48"/>
  <c r="AN551" i="48"/>
  <c r="AN554" i="48"/>
  <c r="AN552" i="48"/>
  <c r="AN553" i="48"/>
  <c r="B167" i="48"/>
  <c r="H129" i="48"/>
  <c r="B232" i="48"/>
  <c r="H192" i="48"/>
  <c r="AM580" i="48"/>
  <c r="AM578" i="48"/>
  <c r="AM582" i="48"/>
  <c r="AM579" i="48"/>
  <c r="AM581" i="48"/>
  <c r="AM583" i="48"/>
  <c r="B103" i="48"/>
  <c r="H65" i="48"/>
  <c r="E38" i="48"/>
  <c r="E37" i="48"/>
  <c r="I192" i="48"/>
  <c r="C134" i="19"/>
  <c r="E134" i="19" s="1"/>
  <c r="E161" i="19" s="1"/>
  <c r="J161" i="19" s="1"/>
  <c r="Q161" i="19" s="1"/>
  <c r="G177" i="28"/>
  <c r="J16" i="28" s="1"/>
  <c r="K16" i="28" s="1"/>
  <c r="H177" i="28"/>
  <c r="G17" i="28" s="1"/>
  <c r="H17" i="28" s="1"/>
  <c r="F178" i="28" s="1"/>
  <c r="C135" i="49" s="1"/>
  <c r="G133" i="20"/>
  <c r="M133" i="20" s="1"/>
  <c r="F133" i="40"/>
  <c r="M133" i="40" s="1"/>
  <c r="G133" i="38"/>
  <c r="M133" i="38" s="1"/>
  <c r="AQ583" i="48" l="1"/>
  <c r="AQ591" i="48" s="1"/>
  <c r="AM591" i="48"/>
  <c r="AQ578" i="48"/>
  <c r="AQ586" i="48" s="1"/>
  <c r="AM586" i="48"/>
  <c r="AM562" i="48"/>
  <c r="AR554" i="48"/>
  <c r="AQ562" i="48" s="1"/>
  <c r="AQ581" i="48"/>
  <c r="AQ589" i="48" s="1"/>
  <c r="AM589" i="48"/>
  <c r="AM588" i="48"/>
  <c r="AQ580" i="48"/>
  <c r="AQ588" i="48" s="1"/>
  <c r="AR551" i="48"/>
  <c r="AQ559" i="48" s="1"/>
  <c r="AM559" i="48"/>
  <c r="AM587" i="48"/>
  <c r="AQ579" i="48"/>
  <c r="AQ587" i="48" s="1"/>
  <c r="AM561" i="48"/>
  <c r="AR553" i="48"/>
  <c r="AQ561" i="48" s="1"/>
  <c r="AM558" i="48"/>
  <c r="AR550" i="48"/>
  <c r="AQ558" i="48" s="1"/>
  <c r="C170" i="49"/>
  <c r="E135" i="49"/>
  <c r="AQ582" i="48"/>
  <c r="AQ590" i="48" s="1"/>
  <c r="AM590" i="48"/>
  <c r="AM560" i="48"/>
  <c r="AR552" i="48"/>
  <c r="AQ560" i="48" s="1"/>
  <c r="AR549" i="48"/>
  <c r="AQ557" i="48" s="1"/>
  <c r="AM557" i="48"/>
  <c r="C135" i="19"/>
  <c r="F179" i="28"/>
  <c r="C136" i="49" s="1"/>
  <c r="K170" i="19"/>
  <c r="Q170" i="19" s="1"/>
  <c r="F134" i="40"/>
  <c r="M134" i="40" s="1"/>
  <c r="G134" i="38"/>
  <c r="M134" i="38" s="1"/>
  <c r="G134" i="20"/>
  <c r="M134" i="20" s="1"/>
  <c r="C171" i="49" l="1"/>
  <c r="E136" i="49"/>
  <c r="C170" i="19"/>
  <c r="E135" i="19"/>
  <c r="C136" i="19"/>
  <c r="F135" i="40"/>
  <c r="G135" i="38"/>
  <c r="M135" i="38" s="1"/>
  <c r="G135" i="20"/>
  <c r="M135" i="20" s="1"/>
  <c r="F180" i="28"/>
  <c r="C137" i="49" s="1"/>
  <c r="K171" i="19"/>
  <c r="Q171" i="19" s="1"/>
  <c r="C282" i="48"/>
  <c r="F282" i="48" s="1"/>
  <c r="M149" i="40"/>
  <c r="M161" i="40"/>
  <c r="M166" i="40" s="1"/>
  <c r="M161" i="20"/>
  <c r="M160" i="38"/>
  <c r="C172" i="49" l="1"/>
  <c r="E137" i="49"/>
  <c r="C171" i="19"/>
  <c r="E136" i="19"/>
  <c r="C137" i="19"/>
  <c r="AM634" i="48"/>
  <c r="AN605" i="48"/>
  <c r="C17" i="9"/>
  <c r="G17" i="9" s="1"/>
  <c r="G57" i="9" s="1"/>
  <c r="G61" i="9" s="1"/>
  <c r="S161" i="19"/>
  <c r="F136" i="40"/>
  <c r="G136" i="38"/>
  <c r="M136" i="38" s="1"/>
  <c r="G136" i="20"/>
  <c r="M136" i="20" s="1"/>
  <c r="F181" i="28"/>
  <c r="C138" i="49" s="1"/>
  <c r="K172" i="19"/>
  <c r="Q172" i="19" s="1"/>
  <c r="N166" i="40"/>
  <c r="N226" i="40"/>
  <c r="C173" i="49" l="1"/>
  <c r="E138" i="49"/>
  <c r="C172" i="19"/>
  <c r="E137" i="19"/>
  <c r="C138" i="19"/>
  <c r="L5" i="11"/>
  <c r="U406" i="48" s="1"/>
  <c r="U410" i="48" s="1"/>
  <c r="F137" i="40"/>
  <c r="G137" i="38"/>
  <c r="M137" i="38" s="1"/>
  <c r="G137" i="20"/>
  <c r="M137" i="20" s="1"/>
  <c r="F182" i="28"/>
  <c r="C139" i="49" s="1"/>
  <c r="K173" i="19"/>
  <c r="Q173" i="19" s="1"/>
  <c r="M65" i="9"/>
  <c r="C174" i="49" l="1"/>
  <c r="E139" i="49"/>
  <c r="C173" i="19"/>
  <c r="E138" i="19"/>
  <c r="C139" i="19"/>
  <c r="M57" i="9"/>
  <c r="L36" i="11" s="1"/>
  <c r="U440" i="48" s="1"/>
  <c r="G356" i="48"/>
  <c r="G362" i="48" s="1"/>
  <c r="F138" i="40"/>
  <c r="G138" i="38"/>
  <c r="M138" i="38" s="1"/>
  <c r="G138" i="20"/>
  <c r="M138" i="20" s="1"/>
  <c r="F183" i="28"/>
  <c r="C140" i="49" s="1"/>
  <c r="K174" i="19"/>
  <c r="Q174" i="19" s="1"/>
  <c r="L65" i="9"/>
  <c r="K65" i="9"/>
  <c r="H65" i="9"/>
  <c r="I65" i="9"/>
  <c r="C356" i="48" s="1"/>
  <c r="C362" i="48" s="1"/>
  <c r="J65" i="9"/>
  <c r="D356" i="48" s="1"/>
  <c r="D362" i="48" s="1"/>
  <c r="C175" i="49" l="1"/>
  <c r="E140" i="49"/>
  <c r="C174" i="19"/>
  <c r="E139" i="19"/>
  <c r="C140" i="19"/>
  <c r="AK641" i="48"/>
  <c r="AM641" i="48" s="1"/>
  <c r="AL612" i="48"/>
  <c r="AN612" i="48" s="1"/>
  <c r="H57" i="9"/>
  <c r="L13" i="11" s="1"/>
  <c r="B356" i="48"/>
  <c r="K57" i="9"/>
  <c r="E356" i="48"/>
  <c r="E362" i="48" s="1"/>
  <c r="L57" i="9"/>
  <c r="D12" i="18" s="1"/>
  <c r="F356" i="48"/>
  <c r="F362" i="48" s="1"/>
  <c r="B7" i="46"/>
  <c r="B18" i="46" s="1"/>
  <c r="D18" i="46" s="1"/>
  <c r="F18" i="46" s="1"/>
  <c r="G194" i="48"/>
  <c r="G234" i="48" s="1"/>
  <c r="F139" i="40"/>
  <c r="G139" i="38"/>
  <c r="M139" i="38" s="1"/>
  <c r="G139" i="20"/>
  <c r="M139" i="20" s="1"/>
  <c r="F184" i="28"/>
  <c r="C141" i="49" s="1"/>
  <c r="K175" i="19"/>
  <c r="Q175" i="19" s="1"/>
  <c r="N65" i="9"/>
  <c r="C176" i="49" l="1"/>
  <c r="E141" i="49"/>
  <c r="C175" i="19"/>
  <c r="E140" i="19"/>
  <c r="C141" i="19"/>
  <c r="L31" i="11"/>
  <c r="U435" i="48" s="1"/>
  <c r="AP612" i="48"/>
  <c r="AO620" i="48" s="1"/>
  <c r="AK620" i="48"/>
  <c r="AQ641" i="48"/>
  <c r="AO641" i="48"/>
  <c r="B28" i="46"/>
  <c r="D28" i="46" s="1"/>
  <c r="F28" i="46" s="1"/>
  <c r="L32" i="11"/>
  <c r="U436" i="48" s="1"/>
  <c r="D398" i="48"/>
  <c r="B194" i="48"/>
  <c r="B234" i="48" s="1"/>
  <c r="U417" i="48"/>
  <c r="H356" i="48"/>
  <c r="H362" i="48" s="1"/>
  <c r="B362" i="48"/>
  <c r="B5" i="46"/>
  <c r="B16" i="46" s="1"/>
  <c r="D16" i="46" s="1"/>
  <c r="F140" i="40"/>
  <c r="G140" i="38"/>
  <c r="M140" i="38" s="1"/>
  <c r="G140" i="20"/>
  <c r="M140" i="20" s="1"/>
  <c r="B2" i="46"/>
  <c r="B13" i="46" s="1"/>
  <c r="B23" i="46" s="1"/>
  <c r="D23" i="46" s="1"/>
  <c r="C12" i="18"/>
  <c r="C398" i="48" s="1"/>
  <c r="L26" i="11"/>
  <c r="U430" i="48" s="1"/>
  <c r="F185" i="28"/>
  <c r="C142" i="49" s="1"/>
  <c r="K176" i="19"/>
  <c r="Q176" i="19" s="1"/>
  <c r="C177" i="49" l="1"/>
  <c r="E142" i="49"/>
  <c r="C176" i="19"/>
  <c r="E141" i="19"/>
  <c r="C142" i="19"/>
  <c r="F194" i="48"/>
  <c r="F234" i="48" s="1"/>
  <c r="AK640" i="48"/>
  <c r="AM640" i="48" s="1"/>
  <c r="AL611" i="48"/>
  <c r="AN611" i="48" s="1"/>
  <c r="AK636" i="48"/>
  <c r="AM636" i="48" s="1"/>
  <c r="AL607" i="48"/>
  <c r="AN607" i="48" s="1"/>
  <c r="AR612" i="48"/>
  <c r="AQ620" i="48" s="1"/>
  <c r="AM620" i="48"/>
  <c r="D58" i="46"/>
  <c r="D68" i="46" s="1"/>
  <c r="F68" i="46" s="1"/>
  <c r="D38" i="46"/>
  <c r="F38" i="46" s="1"/>
  <c r="C5" i="46"/>
  <c r="D36" i="46" s="1"/>
  <c r="F36" i="46" s="1"/>
  <c r="B6" i="46"/>
  <c r="B17" i="46" s="1"/>
  <c r="D17" i="46" s="1"/>
  <c r="F17" i="46" s="1"/>
  <c r="E194" i="48"/>
  <c r="E234" i="48" s="1"/>
  <c r="D13" i="46"/>
  <c r="D53" i="46" s="1"/>
  <c r="F141" i="40"/>
  <c r="G141" i="20"/>
  <c r="M141" i="20" s="1"/>
  <c r="G141" i="38"/>
  <c r="M141" i="38" s="1"/>
  <c r="L27" i="11"/>
  <c r="U431" i="48" s="1"/>
  <c r="F186" i="28"/>
  <c r="C143" i="49" s="1"/>
  <c r="K177" i="19"/>
  <c r="Q177" i="19" s="1"/>
  <c r="F16" i="46"/>
  <c r="F23" i="46"/>
  <c r="B26" i="46"/>
  <c r="D26" i="46" s="1"/>
  <c r="F26" i="46" s="1"/>
  <c r="C178" i="49" l="1"/>
  <c r="E143" i="49"/>
  <c r="C177" i="19"/>
  <c r="E142" i="19"/>
  <c r="C143" i="19"/>
  <c r="D46" i="46"/>
  <c r="F46" i="46" s="1"/>
  <c r="AK639" i="48"/>
  <c r="AM639" i="48" s="1"/>
  <c r="AL610" i="48"/>
  <c r="AN610" i="48" s="1"/>
  <c r="AP611" i="48"/>
  <c r="AO619" i="48" s="1"/>
  <c r="AK619" i="48"/>
  <c r="AQ640" i="48"/>
  <c r="AO640" i="48"/>
  <c r="AP607" i="48"/>
  <c r="AO615" i="48" s="1"/>
  <c r="AK615" i="48"/>
  <c r="AQ636" i="48"/>
  <c r="AO636" i="48"/>
  <c r="F58" i="46"/>
  <c r="D48" i="46"/>
  <c r="F48" i="46" s="1"/>
  <c r="B27" i="46"/>
  <c r="D27" i="46" s="1"/>
  <c r="F27" i="46" s="1"/>
  <c r="D33" i="46"/>
  <c r="D43" i="46" s="1"/>
  <c r="F43" i="46" s="1"/>
  <c r="F13" i="46"/>
  <c r="F142" i="40"/>
  <c r="G142" i="38"/>
  <c r="M142" i="38" s="1"/>
  <c r="G142" i="20"/>
  <c r="M142" i="20" s="1"/>
  <c r="C6" i="46"/>
  <c r="F187" i="28"/>
  <c r="C144" i="49" s="1"/>
  <c r="K178" i="19"/>
  <c r="Q178" i="19" s="1"/>
  <c r="D63" i="46"/>
  <c r="F53" i="46"/>
  <c r="D56" i="46"/>
  <c r="C179" i="49" l="1"/>
  <c r="E144" i="49"/>
  <c r="C178" i="19"/>
  <c r="E143" i="19"/>
  <c r="C144" i="19"/>
  <c r="AP610" i="48"/>
  <c r="AO618" i="48" s="1"/>
  <c r="AK618" i="48"/>
  <c r="AR607" i="48"/>
  <c r="AQ615" i="48" s="1"/>
  <c r="AM615" i="48"/>
  <c r="AR611" i="48"/>
  <c r="AQ619" i="48" s="1"/>
  <c r="AM619" i="48"/>
  <c r="AQ639" i="48"/>
  <c r="AO639" i="48"/>
  <c r="D57" i="46"/>
  <c r="D67" i="46" s="1"/>
  <c r="F67" i="46" s="1"/>
  <c r="F33" i="46"/>
  <c r="F143" i="40"/>
  <c r="G143" i="38"/>
  <c r="M143" i="38" s="1"/>
  <c r="G143" i="20"/>
  <c r="M143" i="20" s="1"/>
  <c r="D37" i="46"/>
  <c r="F188" i="28"/>
  <c r="C145" i="49" s="1"/>
  <c r="K179" i="19"/>
  <c r="Q179" i="19" s="1"/>
  <c r="F63" i="46"/>
  <c r="D66" i="46"/>
  <c r="F66" i="46" s="1"/>
  <c r="F56" i="46"/>
  <c r="C180" i="49" l="1"/>
  <c r="E145" i="49"/>
  <c r="C179" i="19"/>
  <c r="E144" i="19"/>
  <c r="C145" i="19"/>
  <c r="AM618" i="48"/>
  <c r="AR610" i="48"/>
  <c r="AQ618" i="48" s="1"/>
  <c r="F57" i="46"/>
  <c r="F144" i="40"/>
  <c r="G144" i="38"/>
  <c r="M144" i="38" s="1"/>
  <c r="G144" i="20"/>
  <c r="M144" i="20" s="1"/>
  <c r="F37" i="46"/>
  <c r="D47" i="46"/>
  <c r="F47" i="46" s="1"/>
  <c r="F189" i="28"/>
  <c r="C146" i="49" s="1"/>
  <c r="K180" i="19"/>
  <c r="Q180" i="19" s="1"/>
  <c r="C181" i="49" l="1"/>
  <c r="E146" i="49"/>
  <c r="E162" i="49" s="1"/>
  <c r="J162" i="49" s="1"/>
  <c r="Q162" i="49" s="1"/>
  <c r="C180" i="19"/>
  <c r="E145" i="19"/>
  <c r="C146" i="19"/>
  <c r="F145" i="40"/>
  <c r="G145" i="38"/>
  <c r="M145" i="38" s="1"/>
  <c r="G145" i="20"/>
  <c r="M145" i="20" s="1"/>
  <c r="H189" i="28"/>
  <c r="K181" i="19"/>
  <c r="Q181" i="19" s="1"/>
  <c r="G189" i="28"/>
  <c r="J17" i="28" s="1"/>
  <c r="K17" i="28" s="1"/>
  <c r="E164" i="49" l="1"/>
  <c r="C181" i="19"/>
  <c r="E146" i="19"/>
  <c r="E162" i="19" s="1"/>
  <c r="J162" i="19" s="1"/>
  <c r="Q162" i="19" s="1"/>
  <c r="T241" i="19"/>
  <c r="R181" i="19"/>
  <c r="C284" i="48" s="1"/>
  <c r="F146" i="40"/>
  <c r="G146" i="38"/>
  <c r="M146" i="38" s="1"/>
  <c r="G146" i="20"/>
  <c r="M146" i="20" s="1"/>
  <c r="R162" i="19" l="1"/>
  <c r="E283" i="48" s="1"/>
  <c r="C283" i="48"/>
  <c r="E164" i="19"/>
  <c r="M148" i="38"/>
  <c r="M161" i="38"/>
  <c r="M165" i="38" s="1"/>
  <c r="M162" i="20"/>
  <c r="M166" i="20" s="1"/>
  <c r="M149" i="20"/>
  <c r="S162" i="19" l="1"/>
  <c r="F283" i="48"/>
  <c r="AN634" i="48" s="1"/>
  <c r="C18" i="9"/>
  <c r="M5" i="11" s="1"/>
  <c r="V406" i="48" s="1"/>
  <c r="V410" i="48" s="1"/>
  <c r="N225" i="38"/>
  <c r="N226" i="20"/>
  <c r="N166" i="20"/>
  <c r="N165" i="38"/>
  <c r="G18" i="9" l="1"/>
  <c r="G58" i="9" s="1"/>
  <c r="G62" i="9" s="1"/>
  <c r="L66" i="9" s="1"/>
  <c r="L58" i="9"/>
  <c r="D13" i="18" s="1"/>
  <c r="F357" i="48"/>
  <c r="F363" i="48" s="1"/>
  <c r="I66" i="9"/>
  <c r="C357" i="48" s="1"/>
  <c r="C363" i="48" s="1"/>
  <c r="M66" i="9"/>
  <c r="H66" i="9"/>
  <c r="K66" i="9"/>
  <c r="J66" i="9"/>
  <c r="D357" i="48" s="1"/>
  <c r="D363" i="48" s="1"/>
  <c r="M31" i="11" l="1"/>
  <c r="V435" i="48" s="1"/>
  <c r="M58" i="9"/>
  <c r="M36" i="11" s="1"/>
  <c r="V440" i="48" s="1"/>
  <c r="AL641" i="48" s="1"/>
  <c r="AN641" i="48" s="1"/>
  <c r="G357" i="48"/>
  <c r="G363" i="48" s="1"/>
  <c r="M32" i="11"/>
  <c r="V436" i="48" s="1"/>
  <c r="AL640" i="48" s="1"/>
  <c r="AN640" i="48" s="1"/>
  <c r="D399" i="48"/>
  <c r="K58" i="9"/>
  <c r="C13" i="18" s="1"/>
  <c r="E357" i="48"/>
  <c r="E363" i="48" s="1"/>
  <c r="H58" i="9"/>
  <c r="M13" i="11" s="1"/>
  <c r="B2" i="47" s="1"/>
  <c r="B357" i="48"/>
  <c r="N66" i="9"/>
  <c r="B5" i="47" l="1"/>
  <c r="B16" i="47" s="1"/>
  <c r="D16" i="47" s="1"/>
  <c r="F16" i="47" s="1"/>
  <c r="F195" i="48"/>
  <c r="F235" i="48" s="1"/>
  <c r="AK648" i="48"/>
  <c r="AP640" i="48"/>
  <c r="AO648" i="48" s="1"/>
  <c r="AK649" i="48"/>
  <c r="AP641" i="48"/>
  <c r="AO649" i="48" s="1"/>
  <c r="G195" i="48"/>
  <c r="G235" i="48" s="1"/>
  <c r="B7" i="47"/>
  <c r="B18" i="47" s="1"/>
  <c r="D18" i="47" s="1"/>
  <c r="F18" i="47" s="1"/>
  <c r="C5" i="47"/>
  <c r="D36" i="47" s="1"/>
  <c r="D46" i="47" s="1"/>
  <c r="F46" i="47" s="1"/>
  <c r="H357" i="48"/>
  <c r="H363" i="48" s="1"/>
  <c r="B363" i="48"/>
  <c r="M26" i="11"/>
  <c r="V430" i="48" s="1"/>
  <c r="B195" i="48"/>
  <c r="B235" i="48" s="1"/>
  <c r="V417" i="48"/>
  <c r="AL636" i="48" s="1"/>
  <c r="AN636" i="48" s="1"/>
  <c r="M27" i="11"/>
  <c r="C399" i="48"/>
  <c r="B26" i="47"/>
  <c r="D26" i="47" s="1"/>
  <c r="F26" i="47" s="1"/>
  <c r="B13" i="47"/>
  <c r="AM648" i="48" l="1"/>
  <c r="AR640" i="48"/>
  <c r="AQ648" i="48" s="1"/>
  <c r="AK644" i="48"/>
  <c r="AP636" i="48"/>
  <c r="AO644" i="48" s="1"/>
  <c r="AM649" i="48"/>
  <c r="AR641" i="48"/>
  <c r="AQ649" i="48" s="1"/>
  <c r="F36" i="47"/>
  <c r="B28" i="47"/>
  <c r="D28" i="47" s="1"/>
  <c r="F28" i="47" s="1"/>
  <c r="E195" i="48"/>
  <c r="E235" i="48" s="1"/>
  <c r="C6" i="47"/>
  <c r="D37" i="47" s="1"/>
  <c r="V431" i="48"/>
  <c r="AL639" i="48" s="1"/>
  <c r="AN639" i="48" s="1"/>
  <c r="B6" i="47"/>
  <c r="B17" i="47" s="1"/>
  <c r="D17" i="47" s="1"/>
  <c r="F17" i="47" s="1"/>
  <c r="D56" i="47"/>
  <c r="D66" i="47" s="1"/>
  <c r="F66" i="47" s="1"/>
  <c r="D13" i="47"/>
  <c r="B23" i="47"/>
  <c r="D38" i="47" l="1"/>
  <c r="F38" i="47" s="1"/>
  <c r="AP639" i="48"/>
  <c r="AO647" i="48" s="1"/>
  <c r="AK647" i="48"/>
  <c r="AM644" i="48"/>
  <c r="AR636" i="48"/>
  <c r="AQ644" i="48" s="1"/>
  <c r="D58" i="47"/>
  <c r="F58" i="47" s="1"/>
  <c r="D47" i="47"/>
  <c r="F47" i="47" s="1"/>
  <c r="F37" i="47"/>
  <c r="B27" i="47"/>
  <c r="D27" i="47" s="1"/>
  <c r="F27" i="47" s="1"/>
  <c r="F56" i="47"/>
  <c r="D23" i="47"/>
  <c r="D33" i="47" s="1"/>
  <c r="F13" i="47"/>
  <c r="D48" i="47" l="1"/>
  <c r="F48" i="47" s="1"/>
  <c r="D68" i="47"/>
  <c r="F68" i="47" s="1"/>
  <c r="AR639" i="48"/>
  <c r="AQ647" i="48" s="1"/>
  <c r="AM647" i="48"/>
  <c r="D57" i="47"/>
  <c r="D43" i="47"/>
  <c r="F43" i="47" s="1"/>
  <c r="F33" i="47"/>
  <c r="D53" i="47"/>
  <c r="F23" i="47"/>
  <c r="D67" i="47" l="1"/>
  <c r="F67" i="47" s="1"/>
  <c r="F57" i="47"/>
  <c r="F53" i="47"/>
  <c r="D63" i="47"/>
  <c r="F63" i="47" l="1"/>
  <c r="Q148" i="19" l="1"/>
  <c r="I69" i="9" l="1"/>
  <c r="I70" i="9"/>
  <c r="I58" i="9" s="1"/>
  <c r="I57" i="9" l="1"/>
  <c r="M17" i="11"/>
  <c r="V421" i="48" s="1"/>
  <c r="AL637" i="48" s="1"/>
  <c r="AN637" i="48" s="1"/>
  <c r="AP637" i="48" l="1"/>
  <c r="B3" i="47"/>
  <c r="B14" i="47" s="1"/>
  <c r="C195" i="48"/>
  <c r="L17" i="11"/>
  <c r="U421" i="48" s="1"/>
  <c r="AK637" i="48" l="1"/>
  <c r="AM637" i="48" s="1"/>
  <c r="AL608" i="48"/>
  <c r="AN608" i="48" s="1"/>
  <c r="AR637" i="48"/>
  <c r="B3" i="46"/>
  <c r="B14" i="46" s="1"/>
  <c r="C194" i="48"/>
  <c r="C235" i="48"/>
  <c r="D14" i="47"/>
  <c r="F14" i="47" s="1"/>
  <c r="B24" i="47"/>
  <c r="AK616" i="48" l="1"/>
  <c r="AP608" i="48"/>
  <c r="AO616" i="48" s="1"/>
  <c r="AO637" i="48"/>
  <c r="AO645" i="48" s="1"/>
  <c r="AK645" i="48"/>
  <c r="C234" i="48"/>
  <c r="D14" i="46"/>
  <c r="B24" i="46"/>
  <c r="D24" i="47"/>
  <c r="D34" i="47" s="1"/>
  <c r="AQ637" i="48" l="1"/>
  <c r="AQ645" i="48" s="1"/>
  <c r="AM645" i="48"/>
  <c r="AR608" i="48"/>
  <c r="AQ616" i="48" s="1"/>
  <c r="AM616" i="48"/>
  <c r="D54" i="47"/>
  <c r="D64" i="47" s="1"/>
  <c r="D24" i="46"/>
  <c r="D34" i="46" s="1"/>
  <c r="F14" i="46"/>
  <c r="F24" i="47"/>
  <c r="D44" i="47"/>
  <c r="F44" i="47" s="1"/>
  <c r="F34" i="47"/>
  <c r="J69" i="9"/>
  <c r="F54" i="47" l="1"/>
  <c r="D54" i="46"/>
  <c r="D64" i="46" s="1"/>
  <c r="J57" i="9"/>
  <c r="N57" i="9" s="1"/>
  <c r="N69" i="9"/>
  <c r="F64" i="47"/>
  <c r="D44" i="46"/>
  <c r="F44" i="46" s="1"/>
  <c r="F34" i="46"/>
  <c r="F24" i="46"/>
  <c r="F54" i="46" l="1"/>
  <c r="O69" i="9"/>
  <c r="U411" i="48"/>
  <c r="L21" i="11"/>
  <c r="U425" i="48" s="1"/>
  <c r="U444" i="48" s="1"/>
  <c r="B12" i="18"/>
  <c r="B398" i="48" s="1"/>
  <c r="E398" i="48" s="1"/>
  <c r="F64" i="46"/>
  <c r="L45" i="11"/>
  <c r="O57" i="9"/>
  <c r="P57" i="9" s="1"/>
  <c r="L8" i="11"/>
  <c r="B4" i="46" l="1"/>
  <c r="B8" i="46" s="1"/>
  <c r="D194" i="48"/>
  <c r="D234" i="48" s="1"/>
  <c r="L40" i="11"/>
  <c r="L50" i="11" s="1"/>
  <c r="L22" i="11"/>
  <c r="U426" i="48" s="1"/>
  <c r="E12" i="18"/>
  <c r="L46" i="11" s="1"/>
  <c r="B39" i="48"/>
  <c r="D39" i="48" s="1"/>
  <c r="U412" i="48"/>
  <c r="B15" i="46" l="1"/>
  <c r="D15" i="46" s="1"/>
  <c r="D19" i="46" s="1"/>
  <c r="U445" i="48"/>
  <c r="AK638" i="48"/>
  <c r="AM638" i="48" s="1"/>
  <c r="AL609" i="48"/>
  <c r="AN609" i="48" s="1"/>
  <c r="H194" i="48"/>
  <c r="C4" i="46"/>
  <c r="C8" i="46" s="1"/>
  <c r="L41" i="11"/>
  <c r="L51" i="11" s="1"/>
  <c r="C39" i="48"/>
  <c r="E39" i="48"/>
  <c r="I194" i="48"/>
  <c r="B25" i="46" l="1"/>
  <c r="D25" i="46" s="1"/>
  <c r="B19" i="46"/>
  <c r="D35" i="46"/>
  <c r="F35" i="46" s="1"/>
  <c r="F39" i="46" s="1"/>
  <c r="B75" i="46" s="1"/>
  <c r="AK617" i="48"/>
  <c r="AP609" i="48"/>
  <c r="AO617" i="48" s="1"/>
  <c r="AQ638" i="48"/>
  <c r="AO638" i="48"/>
  <c r="F15" i="46"/>
  <c r="F19" i="46" s="1"/>
  <c r="J70" i="9"/>
  <c r="B29" i="46" l="1"/>
  <c r="D45" i="46"/>
  <c r="F45" i="46" s="1"/>
  <c r="F49" i="46" s="1"/>
  <c r="B76" i="46" s="1"/>
  <c r="AM617" i="48"/>
  <c r="AR609" i="48"/>
  <c r="AQ617" i="48" s="1"/>
  <c r="F25" i="46"/>
  <c r="F29" i="46" s="1"/>
  <c r="B73" i="46" s="1"/>
  <c r="D29" i="46"/>
  <c r="J58" i="9"/>
  <c r="N58" i="9" s="1"/>
  <c r="N70" i="9"/>
  <c r="D55" i="46"/>
  <c r="O70" i="9" l="1"/>
  <c r="V411" i="48"/>
  <c r="B13" i="18"/>
  <c r="E13" i="18" s="1"/>
  <c r="M46" i="11" s="1"/>
  <c r="M21" i="11"/>
  <c r="M40" i="11" s="1"/>
  <c r="D59" i="46"/>
  <c r="D65" i="46"/>
  <c r="F55" i="46"/>
  <c r="F59" i="46" s="1"/>
  <c r="B74" i="46" s="1"/>
  <c r="M45" i="11"/>
  <c r="O58" i="9"/>
  <c r="P58" i="9" s="1"/>
  <c r="M8" i="11"/>
  <c r="B4" i="47" l="1"/>
  <c r="B8" i="47" s="1"/>
  <c r="B40" i="48"/>
  <c r="D40" i="48" s="1"/>
  <c r="V412" i="48"/>
  <c r="D195" i="48"/>
  <c r="H195" i="48" s="1"/>
  <c r="V425" i="48"/>
  <c r="V444" i="48" s="1"/>
  <c r="M22" i="11"/>
  <c r="V426" i="48" s="1"/>
  <c r="B399" i="48"/>
  <c r="E399" i="48" s="1"/>
  <c r="M50" i="11"/>
  <c r="F65" i="46"/>
  <c r="F69" i="46" s="1"/>
  <c r="B77" i="46" s="1"/>
  <c r="B80" i="46" s="1"/>
  <c r="D69" i="46"/>
  <c r="B15" i="47" l="1"/>
  <c r="B19" i="47" s="1"/>
  <c r="D235" i="48"/>
  <c r="C4" i="47"/>
  <c r="C8" i="47" s="1"/>
  <c r="V445" i="48"/>
  <c r="AL638" i="48"/>
  <c r="AN638" i="48" s="1"/>
  <c r="M41" i="11"/>
  <c r="M51" i="11" s="1"/>
  <c r="C40" i="48"/>
  <c r="E40" i="48"/>
  <c r="I195" i="48"/>
  <c r="D15" i="47" l="1"/>
  <c r="D19" i="47" s="1"/>
  <c r="B25" i="47"/>
  <c r="B29" i="47" s="1"/>
  <c r="D35" i="47"/>
  <c r="F35" i="47" s="1"/>
  <c r="F39" i="47" s="1"/>
  <c r="B75" i="47" s="1"/>
  <c r="AK646" i="48"/>
  <c r="AP638" i="48"/>
  <c r="AO646" i="48" s="1"/>
  <c r="D25" i="47" l="1"/>
  <c r="F25" i="47" s="1"/>
  <c r="F29" i="47" s="1"/>
  <c r="F15" i="47"/>
  <c r="F19" i="47" s="1"/>
  <c r="D45" i="47"/>
  <c r="F45" i="47" s="1"/>
  <c r="F49" i="47" s="1"/>
  <c r="B76" i="47" s="1"/>
  <c r="AM646" i="48"/>
  <c r="AR638" i="48"/>
  <c r="AQ646" i="48" s="1"/>
  <c r="D55" i="47"/>
  <c r="B73" i="47" l="1"/>
  <c r="D29" i="47"/>
  <c r="D59" i="47"/>
  <c r="F55" i="47"/>
  <c r="F59" i="47" s="1"/>
  <c r="B74" i="47" s="1"/>
  <c r="D65" i="47"/>
  <c r="F65" i="47" l="1"/>
  <c r="F69" i="47" s="1"/>
  <c r="B77" i="47" s="1"/>
  <c r="B80" i="47" s="1"/>
  <c r="D69" i="47"/>
  <c r="AG462" i="48" l="1"/>
  <c r="AG470" i="48" s="1"/>
  <c r="AB479" i="48"/>
  <c r="AB508" i="48" s="1"/>
  <c r="AB537" i="48" l="1"/>
  <c r="AG520" i="48"/>
  <c r="AG528" i="48" s="1"/>
  <c r="AG491" i="48"/>
  <c r="AG499" i="48" s="1"/>
  <c r="AB566" i="48" l="1"/>
  <c r="AG549" i="48"/>
  <c r="AG557" i="48" s="1"/>
  <c r="AG578" i="48" l="1"/>
  <c r="AG586" i="48" s="1"/>
  <c r="AB595" i="48"/>
  <c r="AG607" i="48" l="1"/>
  <c r="AG615" i="48" s="1"/>
  <c r="AB624" i="48"/>
  <c r="AG636" i="48" s="1"/>
  <c r="AG644" i="48" s="1"/>
</calcChain>
</file>

<file path=xl/comments1.xml><?xml version="1.0" encoding="utf-8"?>
<comments xmlns="http://schemas.openxmlformats.org/spreadsheetml/2006/main">
  <authors>
    <author>bbacon</author>
  </authors>
  <commentList>
    <comment ref="B1" authorId="0" shapeId="0">
      <text>
        <r>
          <rPr>
            <sz val="8"/>
            <color indexed="81"/>
            <rFont val="Tahoma"/>
            <family val="2"/>
          </rPr>
          <t xml:space="preserve">Linked to load forecast model
</t>
        </r>
      </text>
    </comment>
    <comment ref="C1" authorId="0" shapeId="0">
      <text>
        <r>
          <rPr>
            <sz val="8"/>
            <color indexed="81"/>
            <rFont val="Tahoma"/>
            <family val="2"/>
          </rPr>
          <t>Linked to load forecast model</t>
        </r>
      </text>
    </comment>
  </commentList>
</comments>
</file>

<file path=xl/comments2.xml><?xml version="1.0" encoding="utf-8"?>
<comments xmlns="http://schemas.openxmlformats.org/spreadsheetml/2006/main">
  <authors>
    <author>bbacon</author>
  </authors>
  <commentList>
    <comment ref="B1" authorId="0" shapeId="0">
      <text>
        <r>
          <rPr>
            <sz val="8"/>
            <color indexed="81"/>
            <rFont val="Tahoma"/>
            <family val="2"/>
          </rPr>
          <t xml:space="preserve">Linked to load forecast model
</t>
        </r>
      </text>
    </comment>
    <comment ref="C1" authorId="0" shapeId="0">
      <text>
        <r>
          <rPr>
            <sz val="8"/>
            <color indexed="81"/>
            <rFont val="Tahoma"/>
            <family val="2"/>
          </rPr>
          <t>Linked to load forecast model</t>
        </r>
      </text>
    </comment>
  </commentList>
</comments>
</file>

<file path=xl/sharedStrings.xml><?xml version="1.0" encoding="utf-8"?>
<sst xmlns="http://schemas.openxmlformats.org/spreadsheetml/2006/main" count="1048" uniqueCount="353">
  <si>
    <t>Purchased</t>
  </si>
  <si>
    <t>Loss Factor</t>
  </si>
  <si>
    <t>Total Billed</t>
  </si>
  <si>
    <t>Heating Degree Days</t>
  </si>
  <si>
    <t>Cooling Degree Days</t>
  </si>
  <si>
    <t>Number of Days in Month</t>
  </si>
  <si>
    <t>Ontario Real GDP Monthly %</t>
  </si>
  <si>
    <t>Purchases</t>
  </si>
  <si>
    <t>Modeled Purchases</t>
  </si>
  <si>
    <t>% Difference</t>
  </si>
  <si>
    <t>Total</t>
  </si>
  <si>
    <t xml:space="preserve">Predicted Purchases </t>
  </si>
  <si>
    <t>Variances (kWh)</t>
  </si>
  <si>
    <t>Weatther Normal</t>
  </si>
  <si>
    <t>Average</t>
  </si>
  <si>
    <t xml:space="preserve">Geomean </t>
  </si>
  <si>
    <t>Usage Per Customer</t>
  </si>
  <si>
    <t xml:space="preserve">Total </t>
  </si>
  <si>
    <t xml:space="preserve">Used </t>
  </si>
  <si>
    <t>Spring Fall Flag</t>
  </si>
  <si>
    <t>Regression Statistics</t>
  </si>
  <si>
    <t>Multiple R</t>
  </si>
  <si>
    <t>R Square</t>
  </si>
  <si>
    <t>Adjusted R Square</t>
  </si>
  <si>
    <t>Standard Error</t>
  </si>
  <si>
    <t>Observations</t>
  </si>
  <si>
    <t>ANOVA</t>
  </si>
  <si>
    <t>Regression</t>
  </si>
  <si>
    <t>Residual</t>
  </si>
  <si>
    <t>Intercept</t>
  </si>
  <si>
    <t>df</t>
  </si>
  <si>
    <t>SS</t>
  </si>
  <si>
    <t>MS</t>
  </si>
  <si>
    <t>F</t>
  </si>
  <si>
    <t>Significance F</t>
  </si>
  <si>
    <t>Coefficients</t>
  </si>
  <si>
    <t>t Stat</t>
  </si>
  <si>
    <t>P-value</t>
  </si>
  <si>
    <t>Lower 95%</t>
  </si>
  <si>
    <t>Upper 95%</t>
  </si>
  <si>
    <t>Difference</t>
  </si>
  <si>
    <t xml:space="preserve">Growth Rate in Customer Numbers </t>
  </si>
  <si>
    <t>Weatther Normal Projection</t>
  </si>
  <si>
    <t>Weather Corrected Forecast</t>
  </si>
  <si>
    <t>Non Weather Corrected Forecast</t>
  </si>
  <si>
    <t>% Weather Sensitive</t>
  </si>
  <si>
    <t>Allocation of Weather Sensitive Amount</t>
  </si>
  <si>
    <t xml:space="preserve">  Customers</t>
  </si>
  <si>
    <t xml:space="preserve">  kWh</t>
  </si>
  <si>
    <t xml:space="preserve">  kW</t>
  </si>
  <si>
    <t xml:space="preserve">  kW from applicable classes</t>
  </si>
  <si>
    <t xml:space="preserve">  Customer/Connections</t>
  </si>
  <si>
    <t>Actual kWh Purchases</t>
  </si>
  <si>
    <t>Predicted kWh Purchases</t>
  </si>
  <si>
    <t>By Class</t>
  </si>
  <si>
    <t>Billed kWh</t>
  </si>
  <si>
    <t>Used</t>
  </si>
  <si>
    <t>kW/kWh</t>
  </si>
  <si>
    <t>Check totals above sould be zero</t>
  </si>
  <si>
    <t>2008 Actual</t>
  </si>
  <si>
    <t>Number of Customers</t>
  </si>
  <si>
    <t>Residential</t>
  </si>
  <si>
    <t xml:space="preserve">2009 Actual </t>
  </si>
  <si>
    <t xml:space="preserve">  Connections</t>
  </si>
  <si>
    <t>Total of Above</t>
  </si>
  <si>
    <t>Total from Model</t>
  </si>
  <si>
    <t>Check should all be zero</t>
  </si>
  <si>
    <t xml:space="preserve">2010 Actual </t>
  </si>
  <si>
    <t>Consumed</t>
  </si>
  <si>
    <t>May want to be consistent with proposed loss factor</t>
  </si>
  <si>
    <t>CDM Activity</t>
  </si>
  <si>
    <t xml:space="preserve">2011 Actual </t>
  </si>
  <si>
    <t>Number of Customers - 3 Main Classes</t>
  </si>
  <si>
    <t>Summary of Degree Day Information</t>
  </si>
  <si>
    <t>Summary of All Heating Degree Days</t>
  </si>
  <si>
    <t>Month</t>
  </si>
  <si>
    <t>January</t>
  </si>
  <si>
    <t>February</t>
  </si>
  <si>
    <t>March</t>
  </si>
  <si>
    <t>April</t>
  </si>
  <si>
    <t>May</t>
  </si>
  <si>
    <t>June</t>
  </si>
  <si>
    <t>July</t>
  </si>
  <si>
    <t>August</t>
  </si>
  <si>
    <t>September</t>
  </si>
  <si>
    <t>October</t>
  </si>
  <si>
    <t>November</t>
  </si>
  <si>
    <t>December</t>
  </si>
  <si>
    <t>Summary of All Cooling Degree Days</t>
  </si>
  <si>
    <t>10 Year Avg</t>
  </si>
  <si>
    <t>20 Year Trend</t>
  </si>
  <si>
    <t>Not Used</t>
  </si>
  <si>
    <t>Total Annual CDM Results</t>
  </si>
  <si>
    <t>Increase over previous year</t>
  </si>
  <si>
    <t>CDM Activity Variable</t>
  </si>
  <si>
    <t>Check</t>
  </si>
  <si>
    <t>Jan</t>
  </si>
  <si>
    <t>Feb</t>
  </si>
  <si>
    <t>Mar</t>
  </si>
  <si>
    <t>Apr</t>
  </si>
  <si>
    <t>Jun</t>
  </si>
  <si>
    <t>Jul</t>
  </si>
  <si>
    <t>Aug</t>
  </si>
  <si>
    <t>Sep</t>
  </si>
  <si>
    <t>Oct</t>
  </si>
  <si>
    <t>Nov</t>
  </si>
  <si>
    <t>Dec</t>
  </si>
  <si>
    <t>kWh</t>
  </si>
  <si>
    <t xml:space="preserve">Residential </t>
  </si>
  <si>
    <t>Street Lighting</t>
  </si>
  <si>
    <t>CDM</t>
  </si>
  <si>
    <t>Predicted Consumed</t>
  </si>
  <si>
    <t>Power Purchased</t>
  </si>
  <si>
    <t>GS &lt; 50 kW</t>
  </si>
  <si>
    <t>GS &gt; 50 kW</t>
  </si>
  <si>
    <t>Population (x 1,000)</t>
  </si>
  <si>
    <t>Employment (x 1,000)</t>
  </si>
  <si>
    <t>Unemployment (x 1,000)</t>
  </si>
  <si>
    <t>Total Annual CDM Results (Net) from 2006 to 2010 Programs</t>
  </si>
  <si>
    <t>Total Annual CDM Results (Net) from 2011 to 2014 Programs</t>
  </si>
  <si>
    <t>SUMMARY OUTPUT</t>
  </si>
  <si>
    <t>2018 Programs</t>
  </si>
  <si>
    <t xml:space="preserve">2012 Actual </t>
  </si>
  <si>
    <t xml:space="preserve">2013 Actual </t>
  </si>
  <si>
    <t xml:space="preserve">2014 Actual </t>
  </si>
  <si>
    <t xml:space="preserve">2015 Actual </t>
  </si>
  <si>
    <t xml:space="preserve">2016 Actual </t>
  </si>
  <si>
    <t>2018 Weather Normal</t>
  </si>
  <si>
    <t>kW</t>
  </si>
  <si>
    <t>General Service &lt; 50 kW</t>
  </si>
  <si>
    <t>General Service  50 to 4,999 kW</t>
  </si>
  <si>
    <t>Sentinel Lighting</t>
  </si>
  <si>
    <t>Unmetered Scattered Load</t>
  </si>
  <si>
    <t>TOTAL</t>
  </si>
  <si>
    <t>Electricity - Commodity RPP</t>
  </si>
  <si>
    <t>Class per Load Forecast RPP</t>
  </si>
  <si>
    <t>Electricity - Commodity Non-RPP</t>
  </si>
  <si>
    <t>Class per Load Forecast</t>
  </si>
  <si>
    <t>Transmission - Network</t>
  </si>
  <si>
    <t>Volume</t>
  </si>
  <si>
    <t>Metric</t>
  </si>
  <si>
    <t>Transmission - Connection</t>
  </si>
  <si>
    <t>Wholesale Market Service</t>
  </si>
  <si>
    <t>Rural Rate Assistance</t>
  </si>
  <si>
    <t>4705-Power Purchased</t>
  </si>
  <si>
    <t>4708-Charges-WMS</t>
  </si>
  <si>
    <t>4714-Charges-NW</t>
  </si>
  <si>
    <t>4716-Charges-CN</t>
  </si>
  <si>
    <t xml:space="preserve">4730-Rural Rate Assistance </t>
  </si>
  <si>
    <t xml:space="preserve">4750-Low Voltage </t>
  </si>
  <si>
    <t>2018 Load Foreacst</t>
  </si>
  <si>
    <t>2018 Forecasted Metered kWhs</t>
  </si>
  <si>
    <t>2018  Loss Factor</t>
  </si>
  <si>
    <t>2019 Programs</t>
  </si>
  <si>
    <t>2019 Weather Normal</t>
  </si>
  <si>
    <t xml:space="preserve">2017 Actual </t>
  </si>
  <si>
    <t>Lakeland Power Load Forecast for 2019 Rate Application</t>
  </si>
  <si>
    <t>Estimated Annual CDM Results (Net) from 2017 Programs</t>
  </si>
  <si>
    <t>Total Annual CDM Results (Net) from 2015 and 2016 Programs</t>
  </si>
  <si>
    <t>2017 %RPP</t>
  </si>
  <si>
    <t>4751-Smart Meter Entity Charges</t>
  </si>
  <si>
    <t>2019 Load Foreacst</t>
  </si>
  <si>
    <t>2019 Forecasted Metered kWhs</t>
  </si>
  <si>
    <t>2019  Loss Factor</t>
  </si>
  <si>
    <t>Total to 2017</t>
  </si>
  <si>
    <t>Table 3-1: Summary of Operating Revenue</t>
  </si>
  <si>
    <t>Table 3-1 is over here</t>
  </si>
  <si>
    <t>2013 
Actual</t>
  </si>
  <si>
    <t>2014 
Actual</t>
  </si>
  <si>
    <t>2015 
Actual</t>
  </si>
  <si>
    <t>2016 
Actual</t>
  </si>
  <si>
    <t>2017 
Actual</t>
  </si>
  <si>
    <t>2019 Test at Existing Rates</t>
  </si>
  <si>
    <t>2019 Test at Proposed Rates</t>
  </si>
  <si>
    <t>Distribution Throughput Revenue</t>
  </si>
  <si>
    <t>Street Lights</t>
  </si>
  <si>
    <t>Sentinel Lights</t>
  </si>
  <si>
    <t xml:space="preserve">Unmetered Loads </t>
  </si>
  <si>
    <t>Other Distribution Revenue</t>
  </si>
  <si>
    <t>Specific Service Charges</t>
  </si>
  <si>
    <t>Late Payment Charges</t>
  </si>
  <si>
    <t>Other Operating Revenues</t>
  </si>
  <si>
    <t>Other Income or Deductions</t>
  </si>
  <si>
    <t>Grand Total</t>
  </si>
  <si>
    <t>Year</t>
  </si>
  <si>
    <t>Billed 
Actual
(GWh)</t>
  </si>
  <si>
    <t>Growth 
(GWh)</t>
  </si>
  <si>
    <t>Billed 
Weather 
Normal
(GWh)</t>
  </si>
  <si>
    <t>Customer/
Connection
Count</t>
  </si>
  <si>
    <t xml:space="preserve">Growth </t>
  </si>
  <si>
    <t>Billed Energy (GWh) and Customer Count / Connections</t>
  </si>
  <si>
    <t>2018 Bridge</t>
  </si>
  <si>
    <t>2019 Test</t>
  </si>
  <si>
    <t>Billed Energy (GWh) - Actual</t>
  </si>
  <si>
    <t>Billed Energy (GWh) - Weather Normal</t>
  </si>
  <si>
    <t>2011 Board Approved</t>
  </si>
  <si>
    <t>Number of Customers/Connections</t>
  </si>
  <si>
    <t>Actual Annual Energy Usage per Customer/Connection (kWh per customer/connection)</t>
  </si>
  <si>
    <t>Normalized Annual Energy Usage per Customer/Connection (kWh per customer/connection)</t>
  </si>
  <si>
    <t>Statistical Results</t>
  </si>
  <si>
    <t>F Test</t>
  </si>
  <si>
    <t xml:space="preserve">MAPE (Monthly) </t>
  </si>
  <si>
    <t>T-stats by Coefficient</t>
  </si>
  <si>
    <t>Constant</t>
  </si>
  <si>
    <t>IESO/OPA Annual CDM Results 2011 to 2014 programs  (kWh)</t>
  </si>
  <si>
    <t>2017 Programs (kWh)</t>
  </si>
  <si>
    <t>Total Annual CDM Results  (kWh)</t>
  </si>
  <si>
    <t xml:space="preserve">Actual </t>
  </si>
  <si>
    <t xml:space="preserve">Predicted </t>
  </si>
  <si>
    <t>Predicted 
Weather 
Normal</t>
  </si>
  <si>
    <t>Weather 
Normal Conversion 
Factor</t>
  </si>
  <si>
    <t>Actual 
Weather 
Normal</t>
  </si>
  <si>
    <t>Purchased Energy (GWh)</t>
  </si>
  <si>
    <t>2019 Test - 20 Yr Trend</t>
  </si>
  <si>
    <t>Forecast Number of Customers/Connections</t>
  </si>
  <si>
    <t xml:space="preserve">Annual kWh Usage Per Customer/Connection </t>
  </si>
  <si>
    <t>Forecast Annual kWh Usage per Customers/Connection</t>
  </si>
  <si>
    <t>NON-normalized Weather Billed Energy Forecast (GWh)</t>
  </si>
  <si>
    <t>Weather Sensitivity</t>
  </si>
  <si>
    <t xml:space="preserve">Table 3-24: Alignment of Non-normal to Weather Normal Forecast </t>
  </si>
  <si>
    <t>Non-normalized Weather Billed Energy Forecast (GWh)</t>
  </si>
  <si>
    <t>Weather Adjustment (GWh)</t>
  </si>
  <si>
    <t>CDM Adjustment (GWh)</t>
  </si>
  <si>
    <t>Weather Normalized Billed Energy Forecast (GWh)</t>
  </si>
  <si>
    <t>Billed Annual kW</t>
  </si>
  <si>
    <t>Ratio of kW to kWh</t>
  </si>
  <si>
    <t>Used for Forecast</t>
  </si>
  <si>
    <t>Predicted Billed kW</t>
  </si>
  <si>
    <t>Predicted kWh Purchases before CDM adjustment</t>
  </si>
  <si>
    <t>% Difference between actual and predicted purchases</t>
  </si>
  <si>
    <t>Total Billed Before CDM Adjustments</t>
  </si>
  <si>
    <t>CDM Adjustment</t>
  </si>
  <si>
    <t>Total Billed After Adjustments</t>
  </si>
  <si>
    <t>Billing Determinants</t>
  </si>
  <si>
    <t>Difference $</t>
  </si>
  <si>
    <t>Difference %</t>
  </si>
  <si>
    <t>Billing Quantiites</t>
  </si>
  <si>
    <t>Customers / 
Connections</t>
  </si>
  <si>
    <t>Units</t>
  </si>
  <si>
    <t xml:space="preserve">Volume Weather Normal </t>
  </si>
  <si>
    <t>Annual Usage Per Customer / Connection</t>
  </si>
  <si>
    <t>Annual Usage Per Customer / Connection Weather Normal</t>
  </si>
  <si>
    <t>Variance</t>
  </si>
  <si>
    <t>2013 Actual</t>
  </si>
  <si>
    <t>2014 Actual</t>
  </si>
  <si>
    <t>2015 Actual</t>
  </si>
  <si>
    <t>2016 Actual</t>
  </si>
  <si>
    <t>2017 Actual</t>
  </si>
  <si>
    <t>General Service 50 to 4,999 kW</t>
  </si>
  <si>
    <t xml:space="preserve">Unmetered Scattered Loads </t>
  </si>
  <si>
    <t>General Service &gt; 50 to 4,999 kW</t>
  </si>
  <si>
    <t>Class</t>
  </si>
  <si>
    <t>Table 3-2: R Square and Adjusted R Square Values for Individual Class Regression Analysis</t>
  </si>
  <si>
    <t>Table 3-3: Summary of Load and Customer/Connection Forecast</t>
  </si>
  <si>
    <t>Table 3-4 Billed Energy by Rate Class - Former Lakeland Power</t>
  </si>
  <si>
    <t>Table 3-5: Number of Customers/Connections  and Annual Normalized Usage by Rate Class - Former Lakeland Power</t>
  </si>
  <si>
    <t>2013 Board Approved</t>
  </si>
  <si>
    <t>Table 3-6 Billed Energy by Rate Class - Former Parry Sound Power</t>
  </si>
  <si>
    <t>Table 3-7: Number of Customers/Connections  and Annual Normalized Usage by Rate Class - Former Parry Sound Power</t>
  </si>
  <si>
    <t>Table 3-8 Billed Energy by Rate Class - Lakeland Power</t>
  </si>
  <si>
    <t>Table 3-9: Number of Customers/Connections  and Annual Normalized Usage by Rate Class -  Lakeland Power</t>
  </si>
  <si>
    <t>% Variance</t>
  </si>
  <si>
    <t>% Variance (Abs)</t>
  </si>
  <si>
    <t>Table 3-11: Statistical Results</t>
  </si>
  <si>
    <t>Table 3-10: CDM Activity Variable Supporting Data</t>
  </si>
  <si>
    <t>OPA Annual CDM Results 2006 to 2010 programs (kWh)</t>
  </si>
  <si>
    <t>IESO Annual CDM Results 2015 to 2016 programs  (kWh)</t>
  </si>
  <si>
    <t>Table 3-13: Customer/Connection Forecast</t>
  </si>
  <si>
    <t>Table 3-12: Total System Purchases Excluding Wholesale Market Particpants</t>
  </si>
  <si>
    <t>Table 3-14: 2017 Actual Annual Usage per Customer</t>
  </si>
  <si>
    <t>Table 3-15 Forecast Annual kWh Usage per Customer/Connection</t>
  </si>
  <si>
    <t>Table 3-16: Non-normalized Weather Billed Energy Forecast</t>
  </si>
  <si>
    <t>Table 3-17:  Weather Sensitivity by Rate Class</t>
  </si>
  <si>
    <t>Table 3-18: 2017-2019 Expected Full Year Total kWh Savings</t>
  </si>
  <si>
    <t>Table 3-19: 2018-2019 Expected Full Year Residential kWh Savings</t>
  </si>
  <si>
    <t>Table 3-21: 2018-2019 Expected Full Year GS &gt; 50 KW kWh Savings</t>
  </si>
  <si>
    <t>Table 3-22: Manual CDM Adjustment by Rate Class (kWh)</t>
  </si>
  <si>
    <t>Table 3-23: 2017 Expected CDM Savings by Rate Class for LRAM Variance Account</t>
  </si>
  <si>
    <t>2019 Test - kWh</t>
  </si>
  <si>
    <t>2019 Test - kW Annual</t>
  </si>
  <si>
    <t>2019 Test - kW Monthly</t>
  </si>
  <si>
    <t>Table 3-20: 2018-2019 Expected Full Year General Service &lt; 50 kW kWh Savings</t>
  </si>
  <si>
    <t>Table 3-25: Historical Annual kW per Applicable Rate Class</t>
  </si>
  <si>
    <t>Table 3-26: Historical kW/KWh Ratio per Applicable Rate Class</t>
  </si>
  <si>
    <t>Weather Normal</t>
  </si>
  <si>
    <t>Average 2008 to 2017</t>
  </si>
  <si>
    <t>Table 3-27: kW Forecast by Applicable Rate Class</t>
  </si>
  <si>
    <t xml:space="preserve">Table 3-28: Forecast Summary </t>
  </si>
  <si>
    <t>Transformer Allowance</t>
  </si>
  <si>
    <t>** Proxy Calc Tables start in cell N42</t>
  </si>
  <si>
    <t>** Variance Tables start in cell AB448</t>
  </si>
  <si>
    <t>2013 Board Approved Proxy</t>
  </si>
  <si>
    <t>*Other Distribution Revenue input from 'Other Revenue App 2H 2103-2019.xls</t>
  </si>
  <si>
    <t>Table 3-1A: 2013 Board Approved Distribution Revenue Proxy Calculation</t>
  </si>
  <si>
    <t>USoA Description</t>
  </si>
  <si>
    <t>2013 Board Approved - Former Lakeland</t>
  </si>
  <si>
    <t>2013 Board Approved Proxy - Former Parry Sound</t>
  </si>
  <si>
    <t>2013 Board Approved Proxy - Lakeland Power</t>
  </si>
  <si>
    <t>2011 Board Approved - Former Parry Sound</t>
  </si>
  <si>
    <t>IRM 2012</t>
  </si>
  <si>
    <t>IRM 2013</t>
  </si>
  <si>
    <t>Per Data Storage 1.2. TB historical</t>
  </si>
  <si>
    <t xml:space="preserve">4080-Distribution Services Revenue
</t>
  </si>
  <si>
    <t>Tie to this #</t>
  </si>
  <si>
    <t>*make sure these tie to Appendix 2-IB in Data Storage Model Tax 3.10c</t>
  </si>
  <si>
    <t>Table 3-1B: 2013 Board Approved Other Revenue Proxy Calculation</t>
  </si>
  <si>
    <t>USoA #</t>
  </si>
  <si>
    <t>Miscellaneous Service Revenues</t>
  </si>
  <si>
    <t>Distribution Services Revenue</t>
  </si>
  <si>
    <t>Retail Services Revenues</t>
  </si>
  <si>
    <t>Service Transaction Requests (STR) Revenues</t>
  </si>
  <si>
    <t>SSS Administration Revenue</t>
  </si>
  <si>
    <t>Rent from Electric Property</t>
  </si>
  <si>
    <t>Government and Other Assistance Directly Credited to Income</t>
  </si>
  <si>
    <t>Gain on Disposition of Utility and Other Property</t>
  </si>
  <si>
    <t>Loss on Disposition of Utility and Other Property</t>
  </si>
  <si>
    <t>Revenues from Non Rate-Regulated Utility Operations</t>
  </si>
  <si>
    <t>Expenses of Non Rate-Regulated Utility Operations</t>
  </si>
  <si>
    <t>Miscellaneous Non-Operating Income</t>
  </si>
  <si>
    <t>Interest and Dividend Income</t>
  </si>
  <si>
    <t>2013 
Board Approved Proxy</t>
  </si>
  <si>
    <t>check to 3.1</t>
  </si>
  <si>
    <t>Table 3-29: Comparison 2013 Board Approved Proxy to 2013 Actual</t>
  </si>
  <si>
    <t>Table 3-30: Comparison 2013 Board Approved Proxy to 2013 Actual</t>
  </si>
  <si>
    <t>Table 3-31: Comparison 2013 Actual to 2014 Actual</t>
  </si>
  <si>
    <t>Table 3-32: Comparison 2013 Actual to 2014 Actual</t>
  </si>
  <si>
    <t>Table 3-33: Comparison 2014 Actual to 2015 Actual</t>
  </si>
  <si>
    <t>Table 3-34: Comparison 2014 Actual to 2015 Actual</t>
  </si>
  <si>
    <t>Table 3-35: Comparison 2015 Actual to 2016 Actual</t>
  </si>
  <si>
    <t>Table 3-36: Comparison 2015 Actual to 2016 Actual</t>
  </si>
  <si>
    <t>Table 3-37: Comparison 2016 Actual to 2017 Actual</t>
  </si>
  <si>
    <t>Table 3-38: Comparison 2016 Actual to 2017 Actual</t>
  </si>
  <si>
    <t>Table 3-39: Comparison 2017 Actual to 2018 Bridge</t>
  </si>
  <si>
    <t>Table 3-40: Comparison 2017 Actual to 2018 Bridge</t>
  </si>
  <si>
    <t>Distribution Throughput Revenue Adjusted</t>
  </si>
  <si>
    <t>Adjusted Total</t>
  </si>
  <si>
    <t>RRR Total</t>
  </si>
  <si>
    <t>Less:  SSS Admin (4080 to 4086)</t>
  </si>
  <si>
    <t>* above are from '2013 Board Approved Proxy Statistics.xls' saved in O:</t>
  </si>
  <si>
    <t>2018 
Bridge</t>
  </si>
  <si>
    <t>* Per DP May 23/18:  following data is pulled from Annual OEB RRR Filing Section 2.1.5 'Demand and Revenue' and ties to 2.1.7 '4080'…2018 and 2019 are pulled from CHEC Data Storage model 'E. Revenues at Curr Rates' tab</t>
  </si>
  <si>
    <t>* DO I NEED THIS IN HERE???????</t>
  </si>
  <si>
    <t>Table 3-41: Comparison 2018 Bridge to 2019 Test at Current Rates</t>
  </si>
  <si>
    <t>Table 3-43:  Comparison 2018 Bridge to 2019 Test</t>
  </si>
  <si>
    <t>Table 3-42: Comparison 2018 Bridge to 2019 Test at Proposed Rates</t>
  </si>
  <si>
    <t>2019 Test at Current Rates</t>
  </si>
  <si>
    <t xml:space="preserve">Loss Factor </t>
  </si>
  <si>
    <t>Trend</t>
  </si>
  <si>
    <t>Uplifted CDM Activity</t>
  </si>
  <si>
    <t>Purchased Plus Uplifted CDM Activity</t>
  </si>
  <si>
    <t>Gross Power Purchased Forecast minus Uplifted CDM Activity</t>
  </si>
  <si>
    <t>Check totals above should be zero</t>
  </si>
  <si>
    <t xml:space="preserve">Gross Power Purchased Forecast </t>
  </si>
</sst>
</file>

<file path=xl/styles.xml><?xml version="1.0" encoding="utf-8"?>
<styleSheet xmlns="http://schemas.openxmlformats.org/spreadsheetml/2006/main" xmlns:mc="http://schemas.openxmlformats.org/markup-compatibility/2006" xmlns:x14ac="http://schemas.microsoft.com/office/spreadsheetml/2009/9/ac" mc:Ignorable="x14ac">
  <numFmts count="30">
    <numFmt numFmtId="164" formatCode="_(&quot;$&quot;* #,##0.00_);_(&quot;$&quot;* \(#,##0.00\);_(&quot;$&quot;* &quot;-&quot;??_);_(@_)"/>
    <numFmt numFmtId="165" formatCode="_(* #,##0.00_);_(* \(#,##0.00\);_(* &quot;-&quot;??_);_(@_)"/>
    <numFmt numFmtId="166" formatCode="&quot;$&quot;#,##0_);\(&quot;$&quot;#,##0\)"/>
    <numFmt numFmtId="167" formatCode="0.0%"/>
    <numFmt numFmtId="168" formatCode="#,##0;\(#,##0\)"/>
    <numFmt numFmtId="169" formatCode="0.0000"/>
    <numFmt numFmtId="170" formatCode="#,##0.0000"/>
    <numFmt numFmtId="171" formatCode="0.0000%"/>
    <numFmt numFmtId="172" formatCode="_(* #,##0.0_);_(* \(#,##0.0\);_(* &quot;-&quot;??_);_(@_)"/>
    <numFmt numFmtId="173" formatCode="_(* #,##0_);_(* \(#,##0\);_(* &quot;-&quot;??_);_(@_)"/>
    <numFmt numFmtId="174" formatCode="_-* #,##0_-;\-* #,##0_-;_-* &quot;-&quot;??_-;_-@_-"/>
    <numFmt numFmtId="175" formatCode="0.0"/>
    <numFmt numFmtId="176" formatCode="#,##0.0000_);\(#,##0.0000\)"/>
    <numFmt numFmtId="177" formatCode="&quot;$&quot;#,##0.00000_);\(&quot;$&quot;#,##0.00000\)"/>
    <numFmt numFmtId="178" formatCode="#,##0.00000_);\(#,##0.00000\)"/>
    <numFmt numFmtId="179" formatCode="&quot;$&quot;#,##0.0000_);\(&quot;$&quot;#,##0.0000\)"/>
    <numFmt numFmtId="180" formatCode="&quot;$&quot;#,##0"/>
    <numFmt numFmtId="181" formatCode="&quot;$&quot;#,##0;&quot;$&quot;\-#,##0"/>
    <numFmt numFmtId="182" formatCode="#,##0.0"/>
    <numFmt numFmtId="183" formatCode="0.0;\(0.0\)"/>
    <numFmt numFmtId="184" formatCode="0;\(0\)"/>
    <numFmt numFmtId="185" formatCode="#,##0.00000"/>
    <numFmt numFmtId="186" formatCode="0.0%;\(0.0%\)"/>
    <numFmt numFmtId="187" formatCode="#,##0.0;\(#,##0.0\)"/>
    <numFmt numFmtId="188" formatCode="0.0000%;\(0.0%\)"/>
    <numFmt numFmtId="189" formatCode="0.00000"/>
    <numFmt numFmtId="190" formatCode="_-&quot;$&quot;* #,##0_-;\-&quot;$&quot;* #,##0_-;_-&quot;$&quot;* &quot;-&quot;??_-;_-@_-"/>
    <numFmt numFmtId="191" formatCode="_-\$* #,##0.00_-;&quot;-$&quot;* #,##0.00_-;_-\$* \-??_-;_-@_-"/>
    <numFmt numFmtId="192" formatCode="\$#,##0"/>
    <numFmt numFmtId="193" formatCode="#,##0.000;\-#,##0.000"/>
  </numFmts>
  <fonts count="25">
    <font>
      <sz val="10"/>
      <name val="Arial"/>
    </font>
    <font>
      <sz val="10"/>
      <color theme="1"/>
      <name val="Arial"/>
      <family val="2"/>
    </font>
    <font>
      <sz val="10"/>
      <name val="Arial"/>
      <family val="2"/>
    </font>
    <font>
      <sz val="10"/>
      <name val="Arial"/>
      <family val="2"/>
    </font>
    <font>
      <u/>
      <sz val="10"/>
      <name val="Arial"/>
      <family val="2"/>
    </font>
    <font>
      <b/>
      <sz val="10"/>
      <name val="Arial"/>
      <family val="2"/>
    </font>
    <font>
      <b/>
      <sz val="12"/>
      <name val="Arial"/>
      <family val="2"/>
    </font>
    <font>
      <i/>
      <sz val="10"/>
      <name val="Arial"/>
      <family val="2"/>
    </font>
    <font>
      <sz val="8"/>
      <color indexed="81"/>
      <name val="Tahoma"/>
      <family val="2"/>
    </font>
    <font>
      <sz val="8"/>
      <name val="Arial"/>
      <family val="2"/>
    </font>
    <font>
      <i/>
      <sz val="8"/>
      <name val="Arial"/>
      <family val="2"/>
    </font>
    <font>
      <b/>
      <u/>
      <sz val="8"/>
      <name val="Arial"/>
      <family val="2"/>
    </font>
    <font>
      <sz val="8"/>
      <name val="Arial"/>
      <family val="2"/>
    </font>
    <font>
      <b/>
      <sz val="8"/>
      <name val="Arial"/>
      <family val="2"/>
    </font>
    <font>
      <sz val="10"/>
      <name val="Times New Roman"/>
      <family val="1"/>
    </font>
    <font>
      <b/>
      <i/>
      <u/>
      <sz val="10"/>
      <name val="Arial"/>
      <family val="2"/>
    </font>
    <font>
      <b/>
      <sz val="10"/>
      <color theme="1"/>
      <name val="Arial"/>
      <family val="2"/>
    </font>
    <font>
      <sz val="18"/>
      <name val="Arial"/>
      <family val="2"/>
    </font>
    <font>
      <sz val="12"/>
      <name val="Arial"/>
      <family val="2"/>
    </font>
    <font>
      <sz val="11"/>
      <color theme="1"/>
      <name val="Calibri"/>
      <family val="2"/>
      <scheme val="minor"/>
    </font>
    <font>
      <sz val="10"/>
      <name val="Arial"/>
      <family val="2"/>
    </font>
    <font>
      <sz val="10"/>
      <name val="Mangal"/>
      <family val="2"/>
      <charset val="1"/>
    </font>
    <font>
      <sz val="10"/>
      <name val="Arial"/>
      <family val="2"/>
      <charset val="1"/>
    </font>
    <font>
      <sz val="10"/>
      <color rgb="FFFF0000"/>
      <name val="Arial"/>
      <family val="2"/>
    </font>
    <font>
      <sz val="14"/>
      <name val="Arial"/>
      <family val="2"/>
    </font>
  </fonts>
  <fills count="10">
    <fill>
      <patternFill patternType="none"/>
    </fill>
    <fill>
      <patternFill patternType="gray125"/>
    </fill>
    <fill>
      <patternFill patternType="solid">
        <fgColor indexed="11"/>
        <bgColor indexed="64"/>
      </patternFill>
    </fill>
    <fill>
      <patternFill patternType="solid">
        <fgColor indexed="13"/>
        <bgColor indexed="64"/>
      </patternFill>
    </fill>
    <fill>
      <patternFill patternType="solid">
        <fgColor rgb="FFFFFF00"/>
        <bgColor indexed="64"/>
      </patternFill>
    </fill>
    <fill>
      <patternFill patternType="solid">
        <fgColor theme="4" tint="0.59999389629810485"/>
        <bgColor indexed="64"/>
      </patternFill>
    </fill>
    <fill>
      <patternFill patternType="solid">
        <fgColor rgb="FFFF0000"/>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0" tint="-0.249977111117893"/>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top style="medium">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8"/>
      </left>
      <right style="thin">
        <color indexed="8"/>
      </right>
      <top style="thin">
        <color indexed="8"/>
      </top>
      <bottom style="thin">
        <color indexed="8"/>
      </bottom>
      <diagonal/>
    </border>
  </borders>
  <cellStyleXfs count="20">
    <xf numFmtId="0" fontId="0" fillId="0" borderId="0"/>
    <xf numFmtId="165" fontId="2"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2" fillId="0" borderId="0" applyFont="0" applyFill="0" applyBorder="0" applyAlignment="0" applyProtection="0"/>
    <xf numFmtId="165" fontId="3" fillId="0" borderId="0" applyFont="0" applyFill="0" applyBorder="0" applyAlignment="0" applyProtection="0"/>
    <xf numFmtId="3" fontId="2" fillId="0" borderId="0" applyFont="0" applyFill="0" applyBorder="0" applyAlignment="0" applyProtection="0"/>
    <xf numFmtId="166" fontId="2" fillId="0" borderId="0" applyFont="0" applyFill="0" applyBorder="0" applyAlignment="0" applyProtection="0"/>
    <xf numFmtId="14" fontId="2" fillId="0" borderId="0" applyFont="0" applyFill="0" applyBorder="0" applyAlignment="0" applyProtection="0"/>
    <xf numFmtId="2" fontId="2" fillId="0" borderId="0" applyFont="0" applyFill="0" applyBorder="0" applyAlignment="0" applyProtection="0"/>
    <xf numFmtId="0" fontId="14" fillId="0" borderId="0"/>
    <xf numFmtId="9" fontId="2" fillId="0" borderId="0" applyFont="0" applyFill="0" applyBorder="0" applyAlignment="0" applyProtection="0"/>
    <xf numFmtId="0" fontId="2" fillId="0" borderId="0"/>
    <xf numFmtId="0" fontId="2" fillId="0" borderId="0"/>
    <xf numFmtId="0" fontId="18" fillId="0" borderId="0"/>
    <xf numFmtId="0" fontId="2" fillId="0" borderId="0"/>
    <xf numFmtId="0" fontId="19" fillId="0" borderId="0"/>
    <xf numFmtId="9" fontId="2" fillId="0" borderId="0" applyFont="0" applyFill="0" applyBorder="0" applyAlignment="0" applyProtection="0"/>
    <xf numFmtId="164" fontId="20" fillId="0" borderId="0" applyFont="0" applyFill="0" applyBorder="0" applyAlignment="0" applyProtection="0"/>
    <xf numFmtId="191" fontId="21" fillId="0" borderId="0" applyFill="0" applyBorder="0" applyAlignment="0" applyProtection="0"/>
  </cellStyleXfs>
  <cellXfs count="441">
    <xf numFmtId="0" fontId="0" fillId="0" borderId="0" xfId="0"/>
    <xf numFmtId="0" fontId="0" fillId="0" borderId="0" xfId="0" applyAlignment="1">
      <alignment horizontal="center"/>
    </xf>
    <xf numFmtId="0" fontId="4" fillId="0" borderId="0" xfId="0" applyFont="1" applyAlignment="1">
      <alignment horizontal="center"/>
    </xf>
    <xf numFmtId="17" fontId="0" fillId="0" borderId="0" xfId="0" applyNumberFormat="1"/>
    <xf numFmtId="0" fontId="0" fillId="0" borderId="0" xfId="0" applyAlignment="1">
      <alignment horizontal="right"/>
    </xf>
    <xf numFmtId="167" fontId="0" fillId="0" borderId="0" xfId="0" applyNumberFormat="1" applyAlignment="1">
      <alignment horizontal="center"/>
    </xf>
    <xf numFmtId="3" fontId="0" fillId="0" borderId="0" xfId="0" applyNumberFormat="1" applyAlignment="1">
      <alignment horizontal="center"/>
    </xf>
    <xf numFmtId="3" fontId="4" fillId="0" borderId="0" xfId="0" applyNumberFormat="1" applyFont="1" applyAlignment="1">
      <alignment horizontal="center"/>
    </xf>
    <xf numFmtId="3" fontId="3" fillId="0" borderId="0" xfId="0" applyNumberFormat="1" applyFont="1" applyAlignment="1">
      <alignment horizontal="center" wrapText="1"/>
    </xf>
    <xf numFmtId="3" fontId="4" fillId="0" borderId="0" xfId="0" applyNumberFormat="1" applyFont="1" applyAlignment="1">
      <alignment horizontal="center" wrapText="1"/>
    </xf>
    <xf numFmtId="37" fontId="3" fillId="0" borderId="0" xfId="0" applyNumberFormat="1" applyFont="1" applyAlignment="1">
      <alignment horizontal="center"/>
    </xf>
    <xf numFmtId="3" fontId="3" fillId="0" borderId="0" xfId="0" applyNumberFormat="1" applyFont="1" applyAlignment="1">
      <alignment horizontal="center"/>
    </xf>
    <xf numFmtId="0" fontId="4" fillId="0" borderId="0" xfId="0" applyFont="1" applyAlignment="1">
      <alignment horizontal="center" wrapText="1"/>
    </xf>
    <xf numFmtId="3" fontId="2" fillId="0" borderId="0" xfId="1" applyNumberFormat="1" applyAlignment="1">
      <alignment horizontal="center"/>
    </xf>
    <xf numFmtId="167" fontId="3" fillId="0" borderId="0" xfId="0" applyNumberFormat="1" applyFont="1" applyAlignment="1">
      <alignment horizontal="center"/>
    </xf>
    <xf numFmtId="0" fontId="3" fillId="0" borderId="0" xfId="0" applyFont="1"/>
    <xf numFmtId="10" fontId="0" fillId="0" borderId="0" xfId="0" applyNumberFormat="1" applyAlignment="1">
      <alignment horizontal="center"/>
    </xf>
    <xf numFmtId="1" fontId="0" fillId="0" borderId="0" xfId="0" applyNumberFormat="1"/>
    <xf numFmtId="37" fontId="3" fillId="0" borderId="0" xfId="0" applyNumberFormat="1" applyFont="1" applyFill="1" applyAlignment="1">
      <alignment horizontal="center"/>
    </xf>
    <xf numFmtId="0" fontId="0" fillId="2" borderId="0" xfId="0" applyFill="1" applyAlignment="1">
      <alignment horizontal="center"/>
    </xf>
    <xf numFmtId="0" fontId="5" fillId="0" borderId="0" xfId="0" applyFont="1"/>
    <xf numFmtId="0" fontId="5" fillId="0" borderId="0" xfId="0" applyFont="1" applyAlignment="1"/>
    <xf numFmtId="3" fontId="0" fillId="2" borderId="0" xfId="0" applyNumberFormat="1" applyFill="1" applyAlignment="1">
      <alignment horizontal="center"/>
    </xf>
    <xf numFmtId="17" fontId="5" fillId="0" borderId="0" xfId="0" applyNumberFormat="1" applyFont="1"/>
    <xf numFmtId="0" fontId="0" fillId="0" borderId="0" xfId="0" applyFill="1" applyAlignment="1">
      <alignment horizontal="center"/>
    </xf>
    <xf numFmtId="169" fontId="0" fillId="0" borderId="0" xfId="0" applyNumberFormat="1" applyAlignment="1">
      <alignment horizontal="center"/>
    </xf>
    <xf numFmtId="170" fontId="0" fillId="0" borderId="0" xfId="0" applyNumberFormat="1" applyAlignment="1">
      <alignment horizontal="center"/>
    </xf>
    <xf numFmtId="9" fontId="0" fillId="0" borderId="0" xfId="0" applyNumberFormat="1" applyAlignment="1">
      <alignment horizontal="center"/>
    </xf>
    <xf numFmtId="3" fontId="0" fillId="0" borderId="0" xfId="0" applyNumberFormat="1" applyFill="1" applyAlignment="1">
      <alignment horizontal="center"/>
    </xf>
    <xf numFmtId="171" fontId="0" fillId="0" borderId="0" xfId="0" applyNumberFormat="1" applyAlignment="1">
      <alignment horizontal="center"/>
    </xf>
    <xf numFmtId="3" fontId="0" fillId="0" borderId="0" xfId="0" applyNumberFormat="1" applyAlignment="1">
      <alignment horizontal="center" wrapText="1"/>
    </xf>
    <xf numFmtId="0" fontId="0" fillId="0" borderId="1" xfId="0" applyBorder="1" applyAlignment="1">
      <alignment horizontal="right"/>
    </xf>
    <xf numFmtId="17" fontId="0" fillId="0" borderId="0" xfId="0" applyNumberFormat="1" applyFill="1"/>
    <xf numFmtId="0" fontId="0" fillId="0" borderId="0" xfId="0" applyFill="1"/>
    <xf numFmtId="4" fontId="3" fillId="0" borderId="0" xfId="0" applyNumberFormat="1" applyFont="1" applyFill="1" applyAlignment="1">
      <alignment horizontal="center"/>
    </xf>
    <xf numFmtId="4" fontId="0" fillId="0" borderId="0" xfId="0" applyNumberFormat="1" applyAlignment="1">
      <alignment horizontal="center"/>
    </xf>
    <xf numFmtId="4" fontId="0" fillId="0" borderId="0" xfId="0" applyNumberFormat="1" applyFill="1" applyAlignment="1">
      <alignment horizontal="center"/>
    </xf>
    <xf numFmtId="0" fontId="0" fillId="0" borderId="0" xfId="0" applyFill="1" applyBorder="1" applyAlignment="1"/>
    <xf numFmtId="168" fontId="0" fillId="0" borderId="0" xfId="0" applyNumberFormat="1" applyAlignment="1">
      <alignment horizontal="center"/>
    </xf>
    <xf numFmtId="0" fontId="0" fillId="0" borderId="0" xfId="0" applyNumberFormat="1" applyBorder="1"/>
    <xf numFmtId="3" fontId="0" fillId="3" borderId="0" xfId="0" applyNumberFormat="1" applyFill="1" applyAlignment="1">
      <alignment horizontal="center"/>
    </xf>
    <xf numFmtId="0" fontId="0" fillId="0" borderId="0" xfId="0" applyAlignment="1">
      <alignment horizontal="left"/>
    </xf>
    <xf numFmtId="0" fontId="0" fillId="0" borderId="0" xfId="0" applyAlignment="1">
      <alignment horizontal="center" wrapText="1"/>
    </xf>
    <xf numFmtId="3" fontId="5" fillId="0" borderId="0" xfId="0" applyNumberFormat="1" applyFont="1"/>
    <xf numFmtId="0" fontId="6" fillId="0" borderId="0" xfId="0" applyFont="1"/>
    <xf numFmtId="167" fontId="0" fillId="0" borderId="0" xfId="0" applyNumberFormat="1" applyAlignment="1">
      <alignment horizontal="center" wrapText="1"/>
    </xf>
    <xf numFmtId="0" fontId="5" fillId="0" borderId="0" xfId="0" applyFont="1" applyAlignment="1">
      <alignment horizontal="center" wrapText="1"/>
    </xf>
    <xf numFmtId="3" fontId="4" fillId="3" borderId="0" xfId="0" applyNumberFormat="1" applyFont="1" applyFill="1" applyAlignment="1">
      <alignment horizontal="center"/>
    </xf>
    <xf numFmtId="3" fontId="3" fillId="3" borderId="0" xfId="0" applyNumberFormat="1" applyFont="1" applyFill="1" applyAlignment="1">
      <alignment horizontal="center" wrapText="1"/>
    </xf>
    <xf numFmtId="3" fontId="4" fillId="3" borderId="0" xfId="0" applyNumberFormat="1" applyFont="1" applyFill="1" applyAlignment="1">
      <alignment horizontal="center" wrapText="1"/>
    </xf>
    <xf numFmtId="37" fontId="0" fillId="0" borderId="0" xfId="0" applyNumberFormat="1" applyAlignment="1">
      <alignment horizontal="center"/>
    </xf>
    <xf numFmtId="0" fontId="0" fillId="0" borderId="0" xfId="0" applyFill="1" applyAlignment="1">
      <alignment horizontal="left"/>
    </xf>
    <xf numFmtId="0" fontId="2" fillId="0" borderId="0" xfId="0" applyFont="1" applyFill="1"/>
    <xf numFmtId="169" fontId="0" fillId="0" borderId="0" xfId="0" applyNumberFormat="1" applyFill="1" applyAlignment="1">
      <alignment horizontal="center"/>
    </xf>
    <xf numFmtId="0" fontId="0" fillId="0" borderId="2" xfId="0" applyFill="1" applyBorder="1" applyAlignment="1"/>
    <xf numFmtId="0" fontId="7" fillId="0" borderId="3" xfId="0" applyFont="1" applyFill="1" applyBorder="1" applyAlignment="1">
      <alignment horizontal="center"/>
    </xf>
    <xf numFmtId="168" fontId="0" fillId="2" borderId="0" xfId="0" applyNumberFormat="1" applyFill="1" applyAlignment="1">
      <alignment horizontal="center"/>
    </xf>
    <xf numFmtId="10" fontId="0" fillId="3" borderId="0" xfId="0" applyNumberFormat="1" applyFill="1" applyAlignment="1">
      <alignment horizontal="center"/>
    </xf>
    <xf numFmtId="0" fontId="5" fillId="0" borderId="0" xfId="0" applyFont="1" applyFill="1" applyAlignment="1">
      <alignment horizontal="center" wrapText="1"/>
    </xf>
    <xf numFmtId="0" fontId="0" fillId="0" borderId="0" xfId="0" applyFill="1" applyAlignment="1">
      <alignment horizontal="center" wrapText="1"/>
    </xf>
    <xf numFmtId="3" fontId="0" fillId="0" borderId="0" xfId="0" applyNumberFormat="1" applyFill="1" applyAlignment="1">
      <alignment horizontal="center" wrapText="1"/>
    </xf>
    <xf numFmtId="165" fontId="0" fillId="0" borderId="0" xfId="1" applyFont="1" applyFill="1" applyBorder="1" applyAlignment="1"/>
    <xf numFmtId="165" fontId="0" fillId="0" borderId="2" xfId="1" applyFont="1" applyFill="1" applyBorder="1" applyAlignment="1"/>
    <xf numFmtId="173" fontId="0" fillId="0" borderId="0" xfId="1" applyNumberFormat="1" applyFont="1" applyFill="1" applyBorder="1" applyAlignment="1"/>
    <xf numFmtId="173" fontId="0" fillId="0" borderId="2" xfId="1" applyNumberFormat="1" applyFont="1" applyFill="1" applyBorder="1" applyAlignment="1"/>
    <xf numFmtId="165" fontId="2" fillId="0" borderId="0" xfId="5" applyFont="1"/>
    <xf numFmtId="0" fontId="10" fillId="0" borderId="0" xfId="0" applyFont="1"/>
    <xf numFmtId="0" fontId="11" fillId="0" borderId="0" xfId="0" applyFont="1"/>
    <xf numFmtId="165" fontId="12" fillId="0" borderId="0" xfId="5" applyFont="1"/>
    <xf numFmtId="0" fontId="12" fillId="0" borderId="0" xfId="0" applyFont="1"/>
    <xf numFmtId="165" fontId="13" fillId="0" borderId="0" xfId="5" applyFont="1" applyAlignment="1">
      <alignment horizontal="right"/>
    </xf>
    <xf numFmtId="0" fontId="13" fillId="0" borderId="4" xfId="0" applyFont="1" applyBorder="1" applyAlignment="1">
      <alignment horizontal="right"/>
    </xf>
    <xf numFmtId="0" fontId="12" fillId="0" borderId="0" xfId="0" applyFont="1" applyAlignment="1">
      <alignment horizontal="right"/>
    </xf>
    <xf numFmtId="165" fontId="12" fillId="0" borderId="0" xfId="0" applyNumberFormat="1" applyFont="1" applyAlignment="1">
      <alignment horizontal="right"/>
    </xf>
    <xf numFmtId="2" fontId="9" fillId="2" borderId="0" xfId="0" applyNumberFormat="1" applyFont="1" applyFill="1"/>
    <xf numFmtId="4" fontId="9" fillId="2" borderId="0" xfId="0" applyNumberFormat="1" applyFont="1" applyFill="1"/>
    <xf numFmtId="0" fontId="13" fillId="2" borderId="0" xfId="0" applyFont="1" applyFill="1"/>
    <xf numFmtId="0" fontId="0" fillId="2" borderId="0" xfId="0" applyFill="1"/>
    <xf numFmtId="2" fontId="0" fillId="0" borderId="0" xfId="0" applyNumberFormat="1"/>
    <xf numFmtId="172" fontId="0" fillId="0" borderId="2" xfId="1" applyNumberFormat="1" applyFont="1" applyFill="1" applyBorder="1" applyAlignment="1"/>
    <xf numFmtId="3" fontId="4" fillId="0" borderId="0" xfId="0" applyNumberFormat="1" applyFont="1" applyFill="1" applyAlignment="1">
      <alignment horizontal="center"/>
    </xf>
    <xf numFmtId="0" fontId="4" fillId="0" borderId="0" xfId="0" applyFont="1" applyFill="1" applyAlignment="1">
      <alignment horizontal="center" wrapText="1"/>
    </xf>
    <xf numFmtId="37" fontId="0" fillId="0" borderId="0" xfId="0" applyNumberFormat="1" applyFill="1" applyAlignment="1">
      <alignment horizontal="center"/>
    </xf>
    <xf numFmtId="0" fontId="0" fillId="0" borderId="0" xfId="0" applyAlignment="1">
      <alignment wrapText="1"/>
    </xf>
    <xf numFmtId="3" fontId="0" fillId="0" borderId="0" xfId="0" applyNumberFormat="1" applyAlignment="1">
      <alignment wrapText="1"/>
    </xf>
    <xf numFmtId="174" fontId="2" fillId="0" borderId="0" xfId="4" applyNumberFormat="1"/>
    <xf numFmtId="174" fontId="0" fillId="0" borderId="0" xfId="0" applyNumberFormat="1"/>
    <xf numFmtId="37" fontId="3" fillId="2" borderId="0" xfId="0" applyNumberFormat="1" applyFont="1" applyFill="1" applyAlignment="1">
      <alignment horizontal="center"/>
    </xf>
    <xf numFmtId="4" fontId="3" fillId="2" borderId="0" xfId="0" applyNumberFormat="1" applyFont="1" applyFill="1" applyAlignment="1">
      <alignment horizontal="center"/>
    </xf>
    <xf numFmtId="0" fontId="5" fillId="0" borderId="0" xfId="0" applyFont="1" applyAlignment="1">
      <alignment horizontal="center"/>
    </xf>
    <xf numFmtId="172" fontId="0" fillId="0" borderId="0" xfId="1" applyNumberFormat="1" applyFont="1" applyFill="1" applyBorder="1" applyAlignment="1"/>
    <xf numFmtId="167" fontId="0" fillId="0" borderId="0" xfId="11" applyNumberFormat="1" applyFont="1" applyFill="1" applyBorder="1" applyAlignment="1"/>
    <xf numFmtId="9" fontId="2" fillId="0" borderId="0" xfId="11" applyFill="1" applyBorder="1" applyAlignment="1">
      <alignment horizontal="center"/>
    </xf>
    <xf numFmtId="9" fontId="0" fillId="0" borderId="0" xfId="11" applyFont="1" applyFill="1" applyBorder="1" applyAlignment="1">
      <alignment horizontal="center"/>
    </xf>
    <xf numFmtId="0" fontId="0" fillId="0" borderId="2" xfId="0" applyBorder="1"/>
    <xf numFmtId="3" fontId="0" fillId="0" borderId="0" xfId="0" applyNumberFormat="1"/>
    <xf numFmtId="0" fontId="0" fillId="0" borderId="1" xfId="0" applyBorder="1"/>
    <xf numFmtId="0" fontId="2" fillId="0" borderId="1" xfId="0" applyFont="1" applyBorder="1"/>
    <xf numFmtId="165" fontId="0" fillId="0" borderId="0" xfId="1" applyFont="1" applyAlignment="1">
      <alignment horizontal="center"/>
    </xf>
    <xf numFmtId="175" fontId="3" fillId="0" borderId="0" xfId="0" applyNumberFormat="1" applyFont="1" applyFill="1" applyAlignment="1">
      <alignment horizontal="center"/>
    </xf>
    <xf numFmtId="175" fontId="0" fillId="0" borderId="0" xfId="0" applyNumberFormat="1" applyFill="1" applyAlignment="1">
      <alignment horizontal="center"/>
    </xf>
    <xf numFmtId="175" fontId="3" fillId="2" borderId="0" xfId="0" applyNumberFormat="1" applyFont="1" applyFill="1" applyAlignment="1">
      <alignment horizontal="center"/>
    </xf>
    <xf numFmtId="0" fontId="0" fillId="2" borderId="0" xfId="0" applyFill="1" applyAlignment="1">
      <alignment horizontal="center"/>
    </xf>
    <xf numFmtId="0" fontId="0" fillId="0" borderId="0" xfId="0" applyAlignment="1">
      <alignment horizontal="center"/>
    </xf>
    <xf numFmtId="0" fontId="0" fillId="4" borderId="0" xfId="0" applyFill="1" applyAlignment="1"/>
    <xf numFmtId="0" fontId="2" fillId="0" borderId="0" xfId="0" applyFont="1"/>
    <xf numFmtId="0" fontId="0" fillId="0" borderId="1" xfId="0" applyBorder="1" applyAlignment="1">
      <alignment horizontal="center"/>
    </xf>
    <xf numFmtId="39" fontId="0" fillId="0" borderId="0" xfId="0" applyNumberFormat="1" applyFill="1" applyAlignment="1">
      <alignment horizontal="center"/>
    </xf>
    <xf numFmtId="0" fontId="0" fillId="4" borderId="0" xfId="0" applyFill="1" applyAlignment="1">
      <alignment horizontal="center"/>
    </xf>
    <xf numFmtId="0" fontId="0" fillId="2" borderId="0" xfId="0" applyFill="1" applyAlignment="1">
      <alignment horizontal="center"/>
    </xf>
    <xf numFmtId="0" fontId="0" fillId="0" borderId="0" xfId="0" applyAlignment="1">
      <alignment horizontal="center"/>
    </xf>
    <xf numFmtId="0" fontId="2" fillId="0" borderId="0" xfId="12"/>
    <xf numFmtId="0" fontId="7" fillId="0" borderId="3" xfId="12" applyFont="1" applyFill="1" applyBorder="1" applyAlignment="1">
      <alignment horizontal="centerContinuous"/>
    </xf>
    <xf numFmtId="0" fontId="2" fillId="0" borderId="0" xfId="12" applyFill="1" applyBorder="1" applyAlignment="1"/>
    <xf numFmtId="0" fontId="2" fillId="0" borderId="2" xfId="12" applyFill="1" applyBorder="1" applyAlignment="1"/>
    <xf numFmtId="0" fontId="7" fillId="0" borderId="3" xfId="12" applyFont="1" applyFill="1" applyBorder="1" applyAlignment="1">
      <alignment horizontal="center"/>
    </xf>
    <xf numFmtId="0" fontId="2" fillId="0" borderId="0" xfId="12" applyFill="1"/>
    <xf numFmtId="3" fontId="2" fillId="0" borderId="0" xfId="12" applyNumberFormat="1"/>
    <xf numFmtId="173" fontId="2" fillId="0" borderId="0" xfId="1" applyNumberFormat="1" applyFill="1" applyBorder="1" applyAlignment="1"/>
    <xf numFmtId="0" fontId="6" fillId="0" borderId="0" xfId="0" applyFont="1" applyAlignment="1"/>
    <xf numFmtId="174" fontId="0" fillId="0" borderId="1" xfId="0" applyNumberFormat="1" applyBorder="1"/>
    <xf numFmtId="174" fontId="0" fillId="4" borderId="1" xfId="0" applyNumberFormat="1" applyFill="1" applyBorder="1"/>
    <xf numFmtId="0" fontId="0" fillId="4" borderId="1" xfId="0" applyFill="1" applyBorder="1"/>
    <xf numFmtId="3" fontId="3" fillId="2" borderId="0" xfId="0" applyNumberFormat="1" applyFont="1" applyFill="1" applyBorder="1" applyAlignment="1">
      <alignment horizontal="center"/>
    </xf>
    <xf numFmtId="0" fontId="15" fillId="0" borderId="1" xfId="12" applyFont="1" applyBorder="1"/>
    <xf numFmtId="0" fontId="5" fillId="0" borderId="0" xfId="12" applyFont="1" applyAlignment="1">
      <alignment horizontal="center"/>
    </xf>
    <xf numFmtId="3" fontId="2" fillId="0" borderId="1" xfId="12" applyNumberFormat="1" applyBorder="1"/>
    <xf numFmtId="37" fontId="2" fillId="0" borderId="1" xfId="12" applyNumberFormat="1" applyFill="1" applyBorder="1"/>
    <xf numFmtId="176" fontId="2" fillId="0" borderId="1" xfId="12" applyNumberFormat="1" applyFill="1" applyBorder="1"/>
    <xf numFmtId="9" fontId="2" fillId="3" borderId="1" xfId="11" applyFill="1" applyBorder="1"/>
    <xf numFmtId="173" fontId="2" fillId="0" borderId="1" xfId="1" applyNumberFormat="1" applyFill="1" applyBorder="1"/>
    <xf numFmtId="0" fontId="5" fillId="0" borderId="1" xfId="12" applyFont="1" applyBorder="1" applyAlignment="1">
      <alignment horizontal="left" indent="1"/>
    </xf>
    <xf numFmtId="37" fontId="5" fillId="0" borderId="1" xfId="12" applyNumberFormat="1" applyFont="1" applyBorder="1"/>
    <xf numFmtId="0" fontId="5" fillId="0" borderId="5" xfId="12" applyFont="1" applyBorder="1"/>
    <xf numFmtId="0" fontId="5" fillId="0" borderId="6" xfId="12" applyFont="1" applyBorder="1"/>
    <xf numFmtId="0" fontId="5" fillId="0" borderId="7" xfId="12" applyFont="1" applyBorder="1"/>
    <xf numFmtId="0" fontId="5" fillId="0" borderId="1" xfId="12" applyFont="1" applyBorder="1"/>
    <xf numFmtId="3" fontId="2" fillId="0" borderId="8" xfId="12" applyNumberFormat="1" applyBorder="1"/>
    <xf numFmtId="176" fontId="2" fillId="3" borderId="1" xfId="12" applyNumberFormat="1" applyFill="1" applyBorder="1"/>
    <xf numFmtId="37" fontId="2" fillId="0" borderId="1" xfId="12" applyNumberFormat="1" applyBorder="1"/>
    <xf numFmtId="177" fontId="2" fillId="3" borderId="1" xfId="12" applyNumberFormat="1" applyFill="1" applyBorder="1"/>
    <xf numFmtId="166" fontId="2" fillId="0" borderId="1" xfId="12" applyNumberFormat="1" applyBorder="1"/>
    <xf numFmtId="178" fontId="2" fillId="0" borderId="1" xfId="12" applyNumberFormat="1" applyBorder="1"/>
    <xf numFmtId="166" fontId="5" fillId="0" borderId="1" xfId="12" applyNumberFormat="1" applyFont="1" applyFill="1" applyBorder="1"/>
    <xf numFmtId="0" fontId="5" fillId="0" borderId="0" xfId="12" applyFont="1" applyBorder="1" applyAlignment="1">
      <alignment horizontal="left" indent="1"/>
    </xf>
    <xf numFmtId="37" fontId="5" fillId="0" borderId="0" xfId="12" applyNumberFormat="1" applyFont="1" applyBorder="1"/>
    <xf numFmtId="0" fontId="5" fillId="0" borderId="0" xfId="12" applyFont="1" applyBorder="1"/>
    <xf numFmtId="178" fontId="2" fillId="0" borderId="0" xfId="12" applyNumberFormat="1" applyBorder="1"/>
    <xf numFmtId="166" fontId="5" fillId="0" borderId="0" xfId="12" applyNumberFormat="1" applyFont="1" applyFill="1" applyBorder="1"/>
    <xf numFmtId="0" fontId="15" fillId="0" borderId="11" xfId="12" applyFont="1" applyBorder="1"/>
    <xf numFmtId="0" fontId="5" fillId="0" borderId="15" xfId="12" applyFont="1" applyBorder="1"/>
    <xf numFmtId="0" fontId="5" fillId="0" borderId="9" xfId="12" applyFont="1" applyBorder="1" applyAlignment="1">
      <alignment horizontal="center"/>
    </xf>
    <xf numFmtId="0" fontId="5" fillId="0" borderId="9" xfId="12" applyFont="1" applyBorder="1"/>
    <xf numFmtId="0" fontId="5" fillId="0" borderId="14" xfId="12" applyFont="1" applyBorder="1"/>
    <xf numFmtId="0" fontId="5" fillId="0" borderId="16" xfId="12" applyNumberFormat="1" applyFont="1" applyBorder="1" applyAlignment="1">
      <alignment horizontal="center"/>
    </xf>
    <xf numFmtId="0" fontId="5" fillId="0" borderId="17" xfId="12" applyFont="1" applyBorder="1" applyAlignment="1">
      <alignment horizontal="center"/>
    </xf>
    <xf numFmtId="3" fontId="2" fillId="0" borderId="12" xfId="12" applyNumberFormat="1" applyBorder="1"/>
    <xf numFmtId="176" fontId="2" fillId="0" borderId="1" xfId="12" applyNumberFormat="1" applyBorder="1" applyAlignment="1">
      <alignment horizontal="center"/>
    </xf>
    <xf numFmtId="179" fontId="2" fillId="3" borderId="1" xfId="12" applyNumberFormat="1" applyFill="1" applyBorder="1"/>
    <xf numFmtId="166" fontId="5" fillId="0" borderId="1" xfId="12" applyNumberFormat="1" applyFont="1" applyBorder="1"/>
    <xf numFmtId="0" fontId="5" fillId="0" borderId="11" xfId="12" applyFont="1" applyBorder="1" applyAlignment="1">
      <alignment horizontal="center"/>
    </xf>
    <xf numFmtId="0" fontId="5" fillId="0" borderId="13" xfId="12" applyFont="1" applyBorder="1" applyAlignment="1">
      <alignment horizontal="center"/>
    </xf>
    <xf numFmtId="0" fontId="2" fillId="0" borderId="9" xfId="12" applyBorder="1"/>
    <xf numFmtId="0" fontId="5" fillId="0" borderId="7" xfId="12" applyFont="1" applyBorder="1" applyAlignment="1">
      <alignment horizontal="center"/>
    </xf>
    <xf numFmtId="37" fontId="2" fillId="0" borderId="11" xfId="12" applyNumberFormat="1" applyBorder="1"/>
    <xf numFmtId="0" fontId="2" fillId="0" borderId="8" xfId="12" applyBorder="1"/>
    <xf numFmtId="166" fontId="2" fillId="0" borderId="12" xfId="12" applyNumberFormat="1" applyFill="1" applyBorder="1"/>
    <xf numFmtId="166" fontId="2" fillId="0" borderId="12" xfId="12" applyNumberFormat="1" applyBorder="1"/>
    <xf numFmtId="166" fontId="2" fillId="3" borderId="12" xfId="12" applyNumberFormat="1" applyFill="1" applyBorder="1"/>
    <xf numFmtId="165" fontId="12" fillId="0" borderId="0" xfId="0" applyNumberFormat="1" applyFont="1" applyFill="1" applyAlignment="1">
      <alignment horizontal="right"/>
    </xf>
    <xf numFmtId="3" fontId="2" fillId="0" borderId="0" xfId="0" applyNumberFormat="1" applyFont="1" applyAlignment="1">
      <alignment horizontal="center"/>
    </xf>
    <xf numFmtId="3" fontId="0" fillId="0" borderId="0" xfId="0" applyNumberFormat="1" applyAlignment="1">
      <alignment horizontal="center"/>
    </xf>
    <xf numFmtId="0" fontId="0" fillId="0" borderId="0" xfId="0" applyAlignment="1">
      <alignment horizontal="center"/>
    </xf>
    <xf numFmtId="3" fontId="0" fillId="4" borderId="0" xfId="0" applyNumberFormat="1" applyFill="1" applyAlignment="1">
      <alignment horizontal="center"/>
    </xf>
    <xf numFmtId="0" fontId="2" fillId="0" borderId="1" xfId="0" applyFont="1" applyFill="1" applyBorder="1"/>
    <xf numFmtId="3" fontId="0" fillId="0" borderId="0" xfId="0" applyNumberFormat="1" applyAlignment="1">
      <alignment horizontal="center"/>
    </xf>
    <xf numFmtId="0" fontId="0" fillId="0" borderId="0" xfId="0" applyAlignment="1">
      <alignment horizontal="center"/>
    </xf>
    <xf numFmtId="0" fontId="0" fillId="0" borderId="0" xfId="0" applyAlignment="1">
      <alignment horizontal="center"/>
    </xf>
    <xf numFmtId="3" fontId="2" fillId="4" borderId="0" xfId="0" applyNumberFormat="1" applyFont="1" applyFill="1" applyAlignment="1">
      <alignment horizontal="center"/>
    </xf>
    <xf numFmtId="3" fontId="0" fillId="0" borderId="0" xfId="0" applyNumberFormat="1" applyAlignment="1">
      <alignment horizontal="center"/>
    </xf>
    <xf numFmtId="0" fontId="0" fillId="0" borderId="0" xfId="0" applyAlignment="1">
      <alignment horizontal="center"/>
    </xf>
    <xf numFmtId="3" fontId="0" fillId="0" borderId="0" xfId="0" applyNumberFormat="1" applyAlignment="1">
      <alignment horizontal="center"/>
    </xf>
    <xf numFmtId="0" fontId="5" fillId="0" borderId="16" xfId="12" applyNumberFormat="1" applyFont="1" applyBorder="1" applyAlignment="1">
      <alignment horizontal="center"/>
    </xf>
    <xf numFmtId="174" fontId="2" fillId="0" borderId="0" xfId="4" applyNumberFormat="1" applyFill="1"/>
    <xf numFmtId="0" fontId="2" fillId="0" borderId="0" xfId="13" applyFont="1"/>
    <xf numFmtId="0" fontId="2" fillId="0" borderId="1" xfId="13" applyFont="1" applyFill="1" applyBorder="1" applyAlignment="1">
      <alignment horizontal="left" vertical="center" wrapText="1"/>
    </xf>
    <xf numFmtId="3" fontId="2" fillId="0" borderId="1" xfId="13" applyNumberFormat="1" applyFont="1" applyFill="1" applyBorder="1" applyAlignment="1">
      <alignment horizontal="left" vertical="center" wrapText="1"/>
    </xf>
    <xf numFmtId="0" fontId="5" fillId="0" borderId="1" xfId="13" applyFont="1" applyFill="1" applyBorder="1" applyAlignment="1">
      <alignment horizontal="left" vertical="center" wrapText="1"/>
    </xf>
    <xf numFmtId="0" fontId="5" fillId="0" borderId="0" xfId="13" applyFont="1" applyFill="1" applyBorder="1" applyAlignment="1">
      <alignment horizontal="left" vertical="center"/>
    </xf>
    <xf numFmtId="0" fontId="5" fillId="0" borderId="0" xfId="14" applyFont="1" applyFill="1" applyBorder="1" applyAlignment="1">
      <alignment horizontal="center" vertical="center" wrapText="1"/>
    </xf>
    <xf numFmtId="0" fontId="2" fillId="0" borderId="1" xfId="13" applyFont="1" applyFill="1" applyBorder="1" applyAlignment="1">
      <alignment horizontal="left" vertical="center"/>
    </xf>
    <xf numFmtId="182" fontId="2" fillId="0" borderId="1" xfId="15" applyNumberFormat="1" applyFont="1" applyFill="1" applyBorder="1" applyAlignment="1">
      <alignment horizontal="center" vertical="center"/>
    </xf>
    <xf numFmtId="37" fontId="2" fillId="0" borderId="1" xfId="13" applyNumberFormat="1" applyFont="1" applyFill="1" applyBorder="1" applyAlignment="1">
      <alignment horizontal="center" vertical="center"/>
    </xf>
    <xf numFmtId="184" fontId="2" fillId="0" borderId="0" xfId="13" applyNumberFormat="1" applyFont="1" applyFill="1" applyBorder="1" applyAlignment="1">
      <alignment horizontal="center" vertical="center"/>
    </xf>
    <xf numFmtId="0" fontId="2" fillId="0" borderId="0" xfId="13" applyFont="1" applyFill="1"/>
    <xf numFmtId="167" fontId="2" fillId="0" borderId="0" xfId="11" applyNumberFormat="1" applyFont="1" applyFill="1" applyBorder="1" applyAlignment="1">
      <alignment horizontal="center" vertical="center"/>
    </xf>
    <xf numFmtId="0" fontId="5" fillId="0" borderId="0" xfId="13" applyFont="1"/>
    <xf numFmtId="0" fontId="2" fillId="0" borderId="0" xfId="13"/>
    <xf numFmtId="0" fontId="2" fillId="0" borderId="5" xfId="13" applyFont="1" applyFill="1" applyBorder="1" applyAlignment="1">
      <alignment horizontal="left" vertical="center"/>
    </xf>
    <xf numFmtId="182" fontId="2" fillId="0" borderId="0" xfId="13" applyNumberFormat="1" applyFont="1"/>
    <xf numFmtId="182" fontId="2" fillId="0" borderId="1" xfId="13" applyNumberFormat="1" applyFont="1" applyFill="1" applyBorder="1" applyAlignment="1">
      <alignment horizontal="center" vertical="center"/>
    </xf>
    <xf numFmtId="185" fontId="2" fillId="0" borderId="0" xfId="13" applyNumberFormat="1" applyFont="1"/>
    <xf numFmtId="0" fontId="2" fillId="0" borderId="0" xfId="13" applyFont="1" applyFill="1" applyBorder="1" applyAlignment="1">
      <alignment horizontal="left" vertical="center" wrapText="1"/>
    </xf>
    <xf numFmtId="182" fontId="2" fillId="0" borderId="0" xfId="15" applyNumberFormat="1" applyFont="1" applyFill="1" applyBorder="1" applyAlignment="1">
      <alignment horizontal="center" vertical="center"/>
    </xf>
    <xf numFmtId="182" fontId="2" fillId="0" borderId="0" xfId="13" applyNumberFormat="1" applyFont="1" applyFill="1" applyBorder="1" applyAlignment="1">
      <alignment horizontal="center" vertical="center"/>
    </xf>
    <xf numFmtId="3" fontId="5" fillId="0" borderId="0" xfId="14" applyNumberFormat="1" applyFont="1" applyFill="1" applyBorder="1" applyAlignment="1">
      <alignment horizontal="center" vertical="center" wrapText="1"/>
    </xf>
    <xf numFmtId="3" fontId="2" fillId="0" borderId="1" xfId="15" applyNumberFormat="1" applyFont="1" applyFill="1" applyBorder="1" applyAlignment="1">
      <alignment horizontal="center" vertical="center"/>
    </xf>
    <xf numFmtId="3" fontId="2" fillId="0" borderId="7" xfId="15" applyNumberFormat="1" applyFont="1" applyFill="1" applyBorder="1" applyAlignment="1">
      <alignment horizontal="center" vertical="center"/>
    </xf>
    <xf numFmtId="3" fontId="2" fillId="0" borderId="0" xfId="15" applyNumberFormat="1" applyFont="1" applyFill="1" applyBorder="1" applyAlignment="1">
      <alignment horizontal="center" vertical="center"/>
    </xf>
    <xf numFmtId="0" fontId="2" fillId="0" borderId="5" xfId="13" applyFont="1" applyFill="1" applyBorder="1" applyAlignment="1">
      <alignment horizontal="left" vertical="center" wrapText="1"/>
    </xf>
    <xf numFmtId="3" fontId="2" fillId="0" borderId="1" xfId="13" applyNumberFormat="1" applyFont="1" applyFill="1" applyBorder="1" applyAlignment="1">
      <alignment horizontal="center" vertical="center"/>
    </xf>
    <xf numFmtId="3" fontId="2" fillId="0" borderId="0" xfId="13" applyNumberFormat="1" applyFont="1"/>
    <xf numFmtId="3" fontId="2" fillId="0" borderId="0" xfId="13" applyNumberFormat="1" applyFont="1" applyFill="1" applyBorder="1" applyAlignment="1">
      <alignment horizontal="center" vertical="center"/>
    </xf>
    <xf numFmtId="0" fontId="2" fillId="0" borderId="17" xfId="13" applyFont="1" applyFill="1" applyBorder="1" applyAlignment="1">
      <alignment horizontal="left" vertical="center"/>
    </xf>
    <xf numFmtId="182" fontId="2" fillId="0" borderId="13" xfId="15" applyNumberFormat="1" applyFont="1" applyFill="1" applyBorder="1" applyAlignment="1">
      <alignment horizontal="center" vertical="center"/>
    </xf>
    <xf numFmtId="182" fontId="2" fillId="0" borderId="13" xfId="13" applyNumberFormat="1" applyFont="1" applyFill="1" applyBorder="1" applyAlignment="1">
      <alignment horizontal="center" vertical="center"/>
    </xf>
    <xf numFmtId="0" fontId="2" fillId="0" borderId="17" xfId="13" applyFont="1" applyFill="1" applyBorder="1" applyAlignment="1">
      <alignment horizontal="left" vertical="center" wrapText="1"/>
    </xf>
    <xf numFmtId="3" fontId="2" fillId="0" borderId="13" xfId="13" applyNumberFormat="1" applyFont="1" applyFill="1" applyBorder="1" applyAlignment="1">
      <alignment horizontal="center" vertical="center"/>
    </xf>
    <xf numFmtId="0" fontId="2" fillId="0" borderId="0" xfId="13" applyFont="1" applyFill="1" applyAlignment="1">
      <alignment vertical="center"/>
    </xf>
    <xf numFmtId="167" fontId="2" fillId="0" borderId="1" xfId="15" applyNumberFormat="1" applyFont="1" applyFill="1" applyBorder="1" applyAlignment="1">
      <alignment horizontal="center" vertical="center"/>
    </xf>
    <xf numFmtId="175" fontId="2" fillId="0" borderId="1" xfId="15" applyNumberFormat="1" applyFont="1" applyFill="1" applyBorder="1" applyAlignment="1">
      <alignment horizontal="center" vertical="center"/>
    </xf>
    <xf numFmtId="1" fontId="2" fillId="0" borderId="1" xfId="13" applyNumberFormat="1" applyFont="1" applyFill="1" applyBorder="1" applyAlignment="1">
      <alignment horizontal="left" vertical="center" indent="1"/>
    </xf>
    <xf numFmtId="183" fontId="2" fillId="0" borderId="1" xfId="15" applyNumberFormat="1" applyFont="1" applyFill="1" applyBorder="1" applyAlignment="1">
      <alignment horizontal="center" vertical="center"/>
    </xf>
    <xf numFmtId="1" fontId="9" fillId="0" borderId="0" xfId="13" applyNumberFormat="1" applyFont="1" applyFill="1" applyBorder="1" applyAlignment="1">
      <alignment horizontal="left" vertical="center" indent="1"/>
    </xf>
    <xf numFmtId="183" fontId="9" fillId="0" borderId="0" xfId="15" applyNumberFormat="1" applyFont="1" applyFill="1" applyBorder="1" applyAlignment="1">
      <alignment horizontal="center" vertical="center"/>
    </xf>
    <xf numFmtId="1" fontId="2" fillId="0" borderId="0" xfId="13" applyNumberFormat="1" applyFont="1" applyFill="1" applyBorder="1" applyAlignment="1">
      <alignment horizontal="left" vertical="center" indent="1"/>
    </xf>
    <xf numFmtId="183" fontId="2" fillId="0" borderId="0" xfId="15" applyNumberFormat="1" applyFont="1" applyFill="1" applyBorder="1" applyAlignment="1">
      <alignment horizontal="center" vertical="center"/>
    </xf>
    <xf numFmtId="186" fontId="2" fillId="0" borderId="1" xfId="15" applyNumberFormat="1" applyFont="1" applyFill="1" applyBorder="1" applyAlignment="1">
      <alignment horizontal="center" vertical="center"/>
    </xf>
    <xf numFmtId="169" fontId="2" fillId="0" borderId="1" xfId="13" applyNumberFormat="1" applyFont="1" applyBorder="1" applyAlignment="1">
      <alignment horizontal="center"/>
    </xf>
    <xf numFmtId="0" fontId="2" fillId="0" borderId="1" xfId="13" applyFont="1" applyFill="1" applyBorder="1"/>
    <xf numFmtId="0" fontId="5" fillId="0" borderId="17" xfId="13" applyFont="1" applyFill="1" applyBorder="1" applyAlignment="1">
      <alignment vertical="center"/>
    </xf>
    <xf numFmtId="0" fontId="5" fillId="0" borderId="4" xfId="13" applyFont="1" applyFill="1" applyBorder="1" applyAlignment="1">
      <alignment vertical="center"/>
    </xf>
    <xf numFmtId="3" fontId="2" fillId="0" borderId="1" xfId="13" applyNumberFormat="1" applyFont="1" applyFill="1" applyBorder="1" applyAlignment="1">
      <alignment horizontal="center" vertical="center" wrapText="1"/>
    </xf>
    <xf numFmtId="0" fontId="2" fillId="0" borderId="0" xfId="13" applyFont="1" applyFill="1" applyBorder="1" applyAlignment="1">
      <alignment horizontal="left" vertical="center"/>
    </xf>
    <xf numFmtId="3" fontId="2" fillId="0" borderId="0" xfId="13" applyNumberFormat="1" applyFont="1" applyFill="1" applyBorder="1" applyAlignment="1">
      <alignment horizontal="center" vertical="center" wrapText="1"/>
    </xf>
    <xf numFmtId="0" fontId="2" fillId="0" borderId="0" xfId="13" applyFont="1" applyBorder="1"/>
    <xf numFmtId="186" fontId="2" fillId="0" borderId="1" xfId="13" applyNumberFormat="1" applyFont="1" applyFill="1" applyBorder="1" applyAlignment="1">
      <alignment horizontal="center" vertical="center" wrapText="1"/>
    </xf>
    <xf numFmtId="3" fontId="2" fillId="0" borderId="13" xfId="13" applyNumberFormat="1" applyFont="1" applyFill="1" applyBorder="1" applyAlignment="1">
      <alignment horizontal="center" vertical="center" wrapText="1"/>
    </xf>
    <xf numFmtId="182" fontId="2" fillId="0" borderId="13" xfId="13" applyNumberFormat="1" applyFont="1" applyFill="1" applyBorder="1" applyAlignment="1">
      <alignment horizontal="center" vertical="center" wrapText="1"/>
    </xf>
    <xf numFmtId="9" fontId="2" fillId="0" borderId="1" xfId="13" applyNumberFormat="1" applyFont="1" applyFill="1" applyBorder="1" applyAlignment="1">
      <alignment horizontal="center" vertical="center" wrapText="1"/>
    </xf>
    <xf numFmtId="9" fontId="2" fillId="0" borderId="0" xfId="13" applyNumberFormat="1" applyFont="1" applyFill="1" applyBorder="1" applyAlignment="1">
      <alignment horizontal="center" vertical="center" wrapText="1"/>
    </xf>
    <xf numFmtId="0" fontId="16" fillId="0" borderId="0" xfId="16" applyFont="1" applyFill="1" applyBorder="1" applyAlignment="1"/>
    <xf numFmtId="0" fontId="5" fillId="0" borderId="0" xfId="13" applyFont="1" applyFill="1" applyBorder="1" applyAlignment="1">
      <alignment vertical="center"/>
    </xf>
    <xf numFmtId="182" fontId="2" fillId="0" borderId="1" xfId="13" applyNumberFormat="1" applyFont="1" applyFill="1" applyBorder="1" applyAlignment="1">
      <alignment horizontal="center" vertical="center" wrapText="1"/>
    </xf>
    <xf numFmtId="183" fontId="2" fillId="0" borderId="1" xfId="13" applyNumberFormat="1" applyFont="1" applyFill="1" applyBorder="1" applyAlignment="1">
      <alignment horizontal="center" vertical="center" wrapText="1"/>
    </xf>
    <xf numFmtId="187" fontId="2" fillId="0" borderId="1" xfId="13" applyNumberFormat="1" applyFont="1" applyFill="1" applyBorder="1" applyAlignment="1">
      <alignment horizontal="center" vertical="center" wrapText="1"/>
    </xf>
    <xf numFmtId="187" fontId="2" fillId="0" borderId="0" xfId="13" applyNumberFormat="1" applyFont="1" applyFill="1" applyBorder="1" applyAlignment="1">
      <alignment horizontal="center" vertical="center" wrapText="1"/>
    </xf>
    <xf numFmtId="183" fontId="2" fillId="0" borderId="0" xfId="13" applyNumberFormat="1" applyFont="1" applyFill="1" applyBorder="1" applyAlignment="1">
      <alignment horizontal="center" vertical="center" wrapText="1"/>
    </xf>
    <xf numFmtId="188" fontId="2" fillId="0" borderId="1" xfId="13" applyNumberFormat="1" applyFont="1" applyFill="1" applyBorder="1" applyAlignment="1">
      <alignment horizontal="center" vertical="center" wrapText="1"/>
    </xf>
    <xf numFmtId="3" fontId="5" fillId="0" borderId="0" xfId="13" applyNumberFormat="1" applyFont="1" applyFill="1" applyBorder="1" applyAlignment="1">
      <alignment horizontal="center" vertical="center" wrapText="1"/>
    </xf>
    <xf numFmtId="0" fontId="5" fillId="0" borderId="5" xfId="13" applyFont="1" applyFill="1" applyBorder="1" applyAlignment="1">
      <alignment vertical="center"/>
    </xf>
    <xf numFmtId="0" fontId="2" fillId="0" borderId="1" xfId="13" applyFont="1" applyFill="1" applyBorder="1" applyAlignment="1">
      <alignment vertical="center"/>
    </xf>
    <xf numFmtId="0" fontId="2" fillId="0" borderId="1" xfId="13" applyFont="1" applyBorder="1"/>
    <xf numFmtId="169" fontId="2" fillId="0" borderId="1" xfId="13" applyNumberFormat="1" applyFont="1" applyFill="1" applyBorder="1" applyAlignment="1">
      <alignment horizontal="center" vertical="center"/>
    </xf>
    <xf numFmtId="3" fontId="2" fillId="0" borderId="1" xfId="13" applyNumberFormat="1" applyFont="1" applyBorder="1"/>
    <xf numFmtId="3" fontId="2" fillId="0" borderId="1" xfId="13" applyNumberFormat="1" applyFont="1" applyFill="1" applyBorder="1" applyAlignment="1">
      <alignment horizontal="left" vertical="center"/>
    </xf>
    <xf numFmtId="3" fontId="2" fillId="0" borderId="1" xfId="13" applyNumberFormat="1" applyFont="1" applyBorder="1" applyAlignment="1">
      <alignment horizontal="center"/>
    </xf>
    <xf numFmtId="3" fontId="2" fillId="0" borderId="1" xfId="13" applyNumberFormat="1" applyFont="1" applyBorder="1" applyAlignment="1">
      <alignment horizontal="left"/>
    </xf>
    <xf numFmtId="180" fontId="2" fillId="0" borderId="1" xfId="13" applyNumberFormat="1" applyFont="1" applyBorder="1" applyAlignment="1">
      <alignment horizontal="center"/>
    </xf>
    <xf numFmtId="167" fontId="2" fillId="0" borderId="1" xfId="17" applyNumberFormat="1" applyFont="1" applyBorder="1" applyAlignment="1">
      <alignment horizontal="center"/>
    </xf>
    <xf numFmtId="0" fontId="2" fillId="0" borderId="0" xfId="13" applyBorder="1"/>
    <xf numFmtId="169" fontId="2" fillId="0" borderId="1" xfId="13" applyNumberFormat="1" applyFont="1" applyFill="1" applyBorder="1" applyAlignment="1">
      <alignment horizontal="center" vertical="center" wrapText="1"/>
    </xf>
    <xf numFmtId="0" fontId="5" fillId="0" borderId="1" xfId="13" applyFont="1" applyFill="1" applyBorder="1" applyAlignment="1">
      <alignment horizontal="center" vertical="center" wrapText="1"/>
    </xf>
    <xf numFmtId="0" fontId="5" fillId="0" borderId="1" xfId="13" applyFont="1" applyFill="1" applyBorder="1" applyAlignment="1">
      <alignment horizontal="center" vertical="center" wrapText="1"/>
    </xf>
    <xf numFmtId="0" fontId="5" fillId="0" borderId="1" xfId="13" applyFont="1" applyBorder="1" applyAlignment="1">
      <alignment horizontal="left"/>
    </xf>
    <xf numFmtId="0" fontId="2" fillId="0" borderId="1" xfId="13" applyFont="1" applyBorder="1" applyAlignment="1">
      <alignment horizontal="center" wrapText="1"/>
    </xf>
    <xf numFmtId="0" fontId="2" fillId="0" borderId="1" xfId="13" applyFont="1" applyFill="1" applyBorder="1" applyAlignment="1">
      <alignment horizontal="center" vertical="center"/>
    </xf>
    <xf numFmtId="3" fontId="2" fillId="0" borderId="1" xfId="13" applyNumberFormat="1" applyFont="1" applyBorder="1" applyAlignment="1">
      <alignment horizontal="center" wrapText="1"/>
    </xf>
    <xf numFmtId="3" fontId="2" fillId="0" borderId="1" xfId="17" applyNumberFormat="1" applyFont="1" applyBorder="1" applyAlignment="1">
      <alignment horizontal="center"/>
    </xf>
    <xf numFmtId="3" fontId="2" fillId="3" borderId="0" xfId="0" applyNumberFormat="1" applyFont="1" applyFill="1" applyAlignment="1">
      <alignment horizontal="center" wrapText="1"/>
    </xf>
    <xf numFmtId="0" fontId="17" fillId="0" borderId="0" xfId="13" applyFont="1" applyFill="1" applyAlignment="1"/>
    <xf numFmtId="9" fontId="2" fillId="0" borderId="1" xfId="13" applyNumberFormat="1" applyFont="1" applyBorder="1" applyAlignment="1">
      <alignment horizontal="center"/>
    </xf>
    <xf numFmtId="0" fontId="5" fillId="0" borderId="5" xfId="13" applyFont="1" applyFill="1" applyBorder="1" applyAlignment="1">
      <alignment horizontal="left" vertical="center" wrapText="1"/>
    </xf>
    <xf numFmtId="0" fontId="5" fillId="0" borderId="5" xfId="13" applyFont="1" applyFill="1" applyBorder="1" applyAlignment="1">
      <alignment horizontal="center" vertical="center" wrapText="1"/>
    </xf>
    <xf numFmtId="189" fontId="0" fillId="0" borderId="0" xfId="0" applyNumberFormat="1" applyFill="1" applyAlignment="1">
      <alignment horizontal="center"/>
    </xf>
    <xf numFmtId="0" fontId="2" fillId="0" borderId="0" xfId="13" applyFill="1"/>
    <xf numFmtId="183" fontId="2" fillId="0" borderId="1" xfId="0" applyNumberFormat="1" applyFont="1" applyFill="1" applyBorder="1" applyAlignment="1">
      <alignment horizontal="center" vertical="center"/>
    </xf>
    <xf numFmtId="184" fontId="2" fillId="0" borderId="1" xfId="0" applyNumberFormat="1" applyFont="1" applyFill="1" applyBorder="1" applyAlignment="1">
      <alignment horizontal="center" vertical="center"/>
    </xf>
    <xf numFmtId="3" fontId="5" fillId="0" borderId="5" xfId="13" applyNumberFormat="1" applyFont="1" applyFill="1" applyBorder="1" applyAlignment="1">
      <alignment horizontal="center" vertical="center" wrapText="1"/>
    </xf>
    <xf numFmtId="3" fontId="5" fillId="0" borderId="1" xfId="13" applyNumberFormat="1" applyFont="1" applyFill="1" applyBorder="1" applyAlignment="1">
      <alignment horizontal="center" vertical="center" wrapText="1"/>
    </xf>
    <xf numFmtId="4" fontId="2" fillId="0" borderId="1" xfId="15" applyNumberFormat="1" applyFont="1" applyFill="1" applyBorder="1" applyAlignment="1">
      <alignment horizontal="center" vertical="center"/>
    </xf>
    <xf numFmtId="0" fontId="5" fillId="0" borderId="1" xfId="13" applyFont="1" applyFill="1" applyBorder="1" applyAlignment="1">
      <alignment horizontal="center" vertical="center" wrapText="1"/>
    </xf>
    <xf numFmtId="0" fontId="5" fillId="0" borderId="1" xfId="13" applyFont="1" applyFill="1" applyBorder="1" applyAlignment="1">
      <alignment horizontal="left" vertical="center" wrapText="1"/>
    </xf>
    <xf numFmtId="0" fontId="0" fillId="0" borderId="0" xfId="0" applyAlignment="1">
      <alignment horizontal="center"/>
    </xf>
    <xf numFmtId="4" fontId="2" fillId="0" borderId="1" xfId="13" applyNumberFormat="1" applyFont="1" applyFill="1" applyBorder="1" applyAlignment="1">
      <alignment horizontal="center" vertical="center"/>
    </xf>
    <xf numFmtId="3" fontId="2" fillId="0" borderId="0" xfId="13" applyNumberFormat="1" applyFont="1" applyFill="1"/>
    <xf numFmtId="4" fontId="2" fillId="0" borderId="13" xfId="15" applyNumberFormat="1" applyFont="1" applyFill="1" applyBorder="1" applyAlignment="1">
      <alignment horizontal="center" vertical="center"/>
    </xf>
    <xf numFmtId="4" fontId="2" fillId="0" borderId="13" xfId="13" applyNumberFormat="1" applyFont="1" applyFill="1" applyBorder="1" applyAlignment="1">
      <alignment horizontal="center" vertical="center"/>
    </xf>
    <xf numFmtId="37" fontId="2" fillId="0" borderId="0" xfId="13" applyNumberFormat="1" applyFont="1"/>
    <xf numFmtId="0" fontId="5" fillId="0" borderId="1" xfId="13" applyFont="1" applyFill="1" applyBorder="1" applyAlignment="1">
      <alignment horizontal="left" vertical="center" wrapText="1"/>
    </xf>
    <xf numFmtId="0" fontId="5" fillId="0" borderId="1" xfId="13" applyFont="1" applyFill="1" applyBorder="1" applyAlignment="1">
      <alignment horizontal="center" vertical="center" wrapText="1"/>
    </xf>
    <xf numFmtId="167" fontId="0" fillId="0" borderId="0" xfId="11" applyNumberFormat="1" applyFont="1" applyAlignment="1">
      <alignment horizontal="center"/>
    </xf>
    <xf numFmtId="167" fontId="2" fillId="0" borderId="0" xfId="0" applyNumberFormat="1" applyFont="1" applyAlignment="1">
      <alignment horizontal="center"/>
    </xf>
    <xf numFmtId="0" fontId="5" fillId="0" borderId="6" xfId="13" applyFont="1" applyFill="1" applyBorder="1" applyAlignment="1">
      <alignment vertical="center"/>
    </xf>
    <xf numFmtId="0" fontId="5" fillId="0" borderId="1" xfId="13" applyFont="1" applyFill="1" applyBorder="1" applyAlignment="1">
      <alignment vertical="center"/>
    </xf>
    <xf numFmtId="167" fontId="2" fillId="0" borderId="1" xfId="13" applyNumberFormat="1" applyFont="1" applyFill="1" applyBorder="1" applyAlignment="1">
      <alignment horizontal="center" vertical="center" wrapText="1"/>
    </xf>
    <xf numFmtId="0" fontId="16" fillId="0" borderId="1" xfId="16" applyFont="1" applyFill="1" applyBorder="1" applyAlignment="1">
      <alignment horizontal="center"/>
    </xf>
    <xf numFmtId="0" fontId="1" fillId="0" borderId="1" xfId="16" applyFont="1" applyFill="1" applyBorder="1" applyAlignment="1">
      <alignment horizontal="left"/>
    </xf>
    <xf numFmtId="0" fontId="1" fillId="0" borderId="5" xfId="16" applyFont="1" applyFill="1" applyBorder="1" applyAlignment="1">
      <alignment horizontal="left" wrapText="1"/>
    </xf>
    <xf numFmtId="0" fontId="16" fillId="0" borderId="1" xfId="16" applyFont="1" applyFill="1" applyBorder="1" applyAlignment="1">
      <alignment horizontal="left"/>
    </xf>
    <xf numFmtId="0" fontId="16" fillId="0" borderId="8" xfId="16" applyFont="1" applyFill="1" applyBorder="1" applyAlignment="1"/>
    <xf numFmtId="0" fontId="5" fillId="0" borderId="1" xfId="13" applyFont="1" applyFill="1" applyBorder="1" applyAlignment="1">
      <alignment horizontal="center" vertical="center" wrapText="1"/>
    </xf>
    <xf numFmtId="0" fontId="5" fillId="0" borderId="0" xfId="13" applyFont="1" applyFill="1" applyBorder="1" applyAlignment="1">
      <alignment horizontal="left" vertical="center"/>
    </xf>
    <xf numFmtId="0" fontId="5" fillId="0" borderId="1" xfId="13" applyFont="1" applyFill="1" applyBorder="1" applyAlignment="1">
      <alignment horizontal="left" vertical="center" wrapText="1"/>
    </xf>
    <xf numFmtId="0" fontId="5" fillId="0" borderId="1" xfId="13" applyFont="1" applyBorder="1" applyAlignment="1">
      <alignment horizontal="left"/>
    </xf>
    <xf numFmtId="3" fontId="2" fillId="0" borderId="1" xfId="13" applyNumberFormat="1" applyFont="1" applyBorder="1" applyAlignment="1">
      <alignment horizontal="left"/>
    </xf>
    <xf numFmtId="0" fontId="5" fillId="0" borderId="4" xfId="13" applyFont="1" applyFill="1" applyBorder="1" applyAlignment="1">
      <alignment vertical="center" wrapText="1"/>
    </xf>
    <xf numFmtId="0" fontId="2" fillId="0" borderId="1" xfId="13" applyFont="1" applyBorder="1" applyAlignment="1">
      <alignment horizontal="left" wrapText="1"/>
    </xf>
    <xf numFmtId="3" fontId="4" fillId="0" borderId="1" xfId="0" applyNumberFormat="1" applyFont="1" applyFill="1" applyBorder="1" applyAlignment="1">
      <alignment horizontal="center"/>
    </xf>
    <xf numFmtId="175" fontId="4" fillId="0" borderId="1" xfId="0" applyNumberFormat="1" applyFont="1" applyFill="1" applyBorder="1" applyAlignment="1">
      <alignment horizontal="center" wrapText="1"/>
    </xf>
    <xf numFmtId="0" fontId="4" fillId="0" borderId="1" xfId="0" applyFont="1" applyBorder="1" applyAlignment="1">
      <alignment horizontal="center" wrapText="1"/>
    </xf>
    <xf numFmtId="0" fontId="4" fillId="0" borderId="1" xfId="0" applyFont="1" applyFill="1" applyBorder="1" applyAlignment="1">
      <alignment horizontal="center" wrapText="1"/>
    </xf>
    <xf numFmtId="4" fontId="4" fillId="0" borderId="1" xfId="0" applyNumberFormat="1" applyFont="1" applyFill="1" applyBorder="1" applyAlignment="1">
      <alignment horizontal="center" wrapText="1"/>
    </xf>
    <xf numFmtId="17" fontId="0" fillId="0" borderId="1" xfId="0" applyNumberFormat="1" applyBorder="1"/>
    <xf numFmtId="3" fontId="0" fillId="0" borderId="1" xfId="0" applyNumberFormat="1" applyFill="1" applyBorder="1" applyAlignment="1">
      <alignment horizontal="center"/>
    </xf>
    <xf numFmtId="175" fontId="0" fillId="0" borderId="1" xfId="0" applyNumberFormat="1" applyFill="1" applyBorder="1" applyAlignment="1">
      <alignment horizontal="center"/>
    </xf>
    <xf numFmtId="37" fontId="3" fillId="0" borderId="1" xfId="0" applyNumberFormat="1" applyFont="1" applyBorder="1" applyAlignment="1">
      <alignment horizontal="center"/>
    </xf>
    <xf numFmtId="37" fontId="3" fillId="0" borderId="1" xfId="0" applyNumberFormat="1" applyFont="1" applyFill="1" applyBorder="1" applyAlignment="1">
      <alignment horizontal="center"/>
    </xf>
    <xf numFmtId="4" fontId="3" fillId="0" borderId="1" xfId="0" applyNumberFormat="1" applyFont="1" applyFill="1" applyBorder="1" applyAlignment="1">
      <alignment horizontal="center"/>
    </xf>
    <xf numFmtId="4" fontId="0" fillId="0" borderId="1" xfId="0" applyNumberFormat="1" applyFill="1" applyBorder="1" applyAlignment="1">
      <alignment horizontal="center"/>
    </xf>
    <xf numFmtId="37" fontId="0" fillId="0" borderId="1" xfId="0" applyNumberFormat="1" applyBorder="1" applyAlignment="1">
      <alignment horizontal="center"/>
    </xf>
    <xf numFmtId="17" fontId="0" fillId="0" borderId="1" xfId="0" applyNumberFormat="1" applyFill="1" applyBorder="1"/>
    <xf numFmtId="175" fontId="3" fillId="0" borderId="1" xfId="0" applyNumberFormat="1" applyFont="1" applyFill="1" applyBorder="1" applyAlignment="1">
      <alignment horizontal="center"/>
    </xf>
    <xf numFmtId="0" fontId="0" fillId="0" borderId="1" xfId="0" applyFill="1" applyBorder="1" applyAlignment="1">
      <alignment horizontal="center"/>
    </xf>
    <xf numFmtId="3" fontId="2" fillId="0" borderId="0" xfId="13" applyNumberFormat="1" applyFont="1" applyBorder="1"/>
    <xf numFmtId="168" fontId="2" fillId="0" borderId="0" xfId="13" applyNumberFormat="1" applyFont="1" applyBorder="1" applyAlignment="1">
      <alignment horizontal="center"/>
    </xf>
    <xf numFmtId="3" fontId="2" fillId="0" borderId="0" xfId="13" applyNumberFormat="1" applyFont="1" applyBorder="1" applyAlignment="1">
      <alignment horizontal="center" wrapText="1"/>
    </xf>
    <xf numFmtId="3" fontId="2" fillId="0" borderId="1" xfId="13" applyNumberFormat="1" applyFont="1" applyBorder="1" applyAlignment="1">
      <alignment horizontal="left"/>
    </xf>
    <xf numFmtId="0" fontId="5" fillId="0" borderId="1" xfId="13" applyFont="1" applyFill="1" applyBorder="1" applyAlignment="1">
      <alignment horizontal="center" vertical="center" wrapText="1"/>
    </xf>
    <xf numFmtId="0" fontId="5" fillId="0" borderId="0" xfId="13" applyFont="1" applyFill="1" applyBorder="1" applyAlignment="1">
      <alignment horizontal="left" vertical="center"/>
    </xf>
    <xf numFmtId="0" fontId="5" fillId="0" borderId="1" xfId="13" applyFont="1" applyFill="1" applyBorder="1" applyAlignment="1">
      <alignment horizontal="left" vertical="center" wrapText="1"/>
    </xf>
    <xf numFmtId="0" fontId="5" fillId="0" borderId="1" xfId="13" applyFont="1" applyBorder="1" applyAlignment="1">
      <alignment horizontal="left"/>
    </xf>
    <xf numFmtId="3" fontId="2" fillId="0" borderId="1" xfId="13" applyNumberFormat="1" applyFont="1" applyBorder="1" applyAlignment="1">
      <alignment horizontal="left"/>
    </xf>
    <xf numFmtId="190" fontId="0" fillId="0" borderId="1" xfId="18" applyNumberFormat="1" applyFont="1" applyFill="1" applyBorder="1"/>
    <xf numFmtId="190" fontId="2" fillId="0" borderId="1" xfId="18" applyNumberFormat="1" applyFont="1" applyFill="1" applyBorder="1"/>
    <xf numFmtId="190" fontId="0" fillId="4" borderId="1" xfId="18" applyNumberFormat="1" applyFont="1" applyFill="1" applyBorder="1"/>
    <xf numFmtId="0" fontId="5" fillId="0" borderId="5" xfId="13" applyFont="1" applyFill="1" applyBorder="1" applyAlignment="1">
      <alignment vertical="center" wrapText="1"/>
    </xf>
    <xf numFmtId="0" fontId="5" fillId="0" borderId="6" xfId="13" applyFont="1" applyFill="1" applyBorder="1" applyAlignment="1">
      <alignment vertical="center" wrapText="1"/>
    </xf>
    <xf numFmtId="0" fontId="5" fillId="0" borderId="7" xfId="13" applyFont="1" applyFill="1" applyBorder="1" applyAlignment="1">
      <alignment vertical="center" wrapText="1"/>
    </xf>
    <xf numFmtId="190" fontId="5" fillId="0" borderId="1" xfId="18" applyNumberFormat="1" applyFont="1" applyFill="1" applyBorder="1" applyAlignment="1">
      <alignment horizontal="right" vertical="center"/>
    </xf>
    <xf numFmtId="0" fontId="5" fillId="0" borderId="1" xfId="0" applyFont="1" applyBorder="1" applyAlignment="1">
      <alignment vertical="center"/>
    </xf>
    <xf numFmtId="0" fontId="0" fillId="0" borderId="12" xfId="0" applyBorder="1"/>
    <xf numFmtId="173" fontId="2" fillId="8" borderId="1" xfId="1" applyNumberFormat="1" applyFont="1" applyFill="1" applyBorder="1"/>
    <xf numFmtId="192" fontId="22" fillId="8" borderId="18" xfId="19" applyNumberFormat="1" applyFont="1" applyFill="1" applyBorder="1" applyAlignment="1" applyProtection="1"/>
    <xf numFmtId="10" fontId="22" fillId="8" borderId="18" xfId="11" applyNumberFormat="1" applyFont="1" applyFill="1" applyBorder="1" applyAlignment="1" applyProtection="1"/>
    <xf numFmtId="190" fontId="2" fillId="0" borderId="0" xfId="18" applyNumberFormat="1" applyFont="1" applyFill="1"/>
    <xf numFmtId="0" fontId="0" fillId="0" borderId="5" xfId="0" applyFill="1" applyBorder="1" applyAlignment="1">
      <alignment horizontal="left" indent="1"/>
    </xf>
    <xf numFmtId="190" fontId="2" fillId="0" borderId="6" xfId="18" applyNumberFormat="1" applyFont="1" applyFill="1" applyBorder="1"/>
    <xf numFmtId="190" fontId="2" fillId="0" borderId="7" xfId="18" applyNumberFormat="1" applyFont="1" applyFill="1" applyBorder="1"/>
    <xf numFmtId="173" fontId="2" fillId="0" borderId="0" xfId="1" applyNumberFormat="1" applyFont="1"/>
    <xf numFmtId="0" fontId="2" fillId="0" borderId="1" xfId="13" applyFont="1" applyFill="1" applyBorder="1" applyAlignment="1">
      <alignment horizontal="center"/>
    </xf>
    <xf numFmtId="190" fontId="0" fillId="0" borderId="0" xfId="18" applyNumberFormat="1" applyFont="1" applyFill="1"/>
    <xf numFmtId="0" fontId="2" fillId="9" borderId="0" xfId="13" applyFont="1" applyFill="1"/>
    <xf numFmtId="0" fontId="2" fillId="0" borderId="1" xfId="13" applyFont="1" applyFill="1" applyBorder="1" applyAlignment="1">
      <alignment horizontal="left"/>
    </xf>
    <xf numFmtId="0" fontId="5" fillId="0" borderId="5" xfId="13" applyFont="1" applyFill="1" applyBorder="1" applyAlignment="1">
      <alignment horizontal="center"/>
    </xf>
    <xf numFmtId="0" fontId="5" fillId="0" borderId="7" xfId="13" applyFont="1" applyFill="1" applyBorder="1"/>
    <xf numFmtId="190" fontId="5" fillId="0" borderId="1" xfId="18" applyNumberFormat="1" applyFont="1" applyFill="1" applyBorder="1"/>
    <xf numFmtId="180" fontId="5" fillId="0" borderId="1" xfId="13" applyNumberFormat="1" applyFont="1" applyBorder="1" applyAlignment="1">
      <alignment horizontal="center"/>
    </xf>
    <xf numFmtId="167" fontId="5" fillId="0" borderId="1" xfId="17" applyNumberFormat="1" applyFont="1" applyBorder="1" applyAlignment="1">
      <alignment horizontal="center"/>
    </xf>
    <xf numFmtId="181" fontId="2" fillId="0" borderId="0" xfId="13" applyNumberFormat="1" applyFont="1"/>
    <xf numFmtId="180" fontId="2" fillId="4" borderId="1" xfId="13" applyNumberFormat="1" applyFont="1" applyFill="1" applyBorder="1" applyAlignment="1">
      <alignment horizontal="center"/>
    </xf>
    <xf numFmtId="0" fontId="23" fillId="0" borderId="1" xfId="13" applyFont="1" applyFill="1" applyBorder="1" applyAlignment="1">
      <alignment horizontal="left" vertical="center" wrapText="1"/>
    </xf>
    <xf numFmtId="190" fontId="23" fillId="0" borderId="1" xfId="18" applyNumberFormat="1" applyFont="1" applyFill="1" applyBorder="1"/>
    <xf numFmtId="190" fontId="2" fillId="0" borderId="0" xfId="18" applyNumberFormat="1" applyFont="1"/>
    <xf numFmtId="190" fontId="5" fillId="0" borderId="6" xfId="18" applyNumberFormat="1" applyFont="1" applyFill="1" applyBorder="1" applyAlignment="1">
      <alignment vertical="center" wrapText="1"/>
    </xf>
    <xf numFmtId="190" fontId="5" fillId="0" borderId="7" xfId="18" applyNumberFormat="1" applyFont="1" applyFill="1" applyBorder="1" applyAlignment="1">
      <alignment vertical="center" wrapText="1"/>
    </xf>
    <xf numFmtId="0" fontId="24" fillId="5" borderId="0" xfId="13" applyFont="1" applyFill="1"/>
    <xf numFmtId="0" fontId="24" fillId="0" borderId="0" xfId="13" applyFont="1"/>
    <xf numFmtId="0" fontId="24" fillId="6" borderId="0" xfId="13" applyFont="1" applyFill="1"/>
    <xf numFmtId="0" fontId="7" fillId="0" borderId="0" xfId="13" applyFont="1"/>
    <xf numFmtId="0" fontId="2" fillId="0" borderId="0" xfId="13" applyFont="1" applyFill="1" applyBorder="1"/>
    <xf numFmtId="0" fontId="2" fillId="0" borderId="0" xfId="13" quotePrefix="1" applyFont="1" applyFill="1"/>
    <xf numFmtId="190" fontId="5" fillId="0" borderId="0" xfId="18" applyNumberFormat="1" applyFont="1" applyFill="1"/>
    <xf numFmtId="0" fontId="5" fillId="0" borderId="1" xfId="13" applyFont="1" applyBorder="1" applyAlignment="1">
      <alignment horizontal="left"/>
    </xf>
    <xf numFmtId="3" fontId="2" fillId="0" borderId="1" xfId="13" applyNumberFormat="1" applyFont="1" applyBorder="1" applyAlignment="1">
      <alignment horizontal="left"/>
    </xf>
    <xf numFmtId="0" fontId="5" fillId="0" borderId="1" xfId="13" applyFont="1" applyFill="1" applyBorder="1" applyAlignment="1">
      <alignment horizontal="left" vertical="center" wrapText="1"/>
    </xf>
    <xf numFmtId="0" fontId="5" fillId="0" borderId="1" xfId="13" applyFont="1" applyFill="1" applyBorder="1" applyAlignment="1">
      <alignment horizontal="center" vertical="center" wrapText="1"/>
    </xf>
    <xf numFmtId="0" fontId="2" fillId="4" borderId="1" xfId="13" applyFont="1" applyFill="1" applyBorder="1" applyAlignment="1">
      <alignment horizontal="left" vertical="center" wrapText="1"/>
    </xf>
    <xf numFmtId="190" fontId="5" fillId="4" borderId="1" xfId="18" applyNumberFormat="1" applyFont="1" applyFill="1" applyBorder="1"/>
    <xf numFmtId="180" fontId="2" fillId="0" borderId="1" xfId="13" applyNumberFormat="1" applyFont="1" applyFill="1" applyBorder="1" applyAlignment="1">
      <alignment horizontal="center"/>
    </xf>
    <xf numFmtId="0" fontId="5" fillId="4" borderId="0" xfId="13" applyFont="1" applyFill="1" applyBorder="1" applyAlignment="1">
      <alignment horizontal="left" vertical="center"/>
    </xf>
    <xf numFmtId="3" fontId="0" fillId="0" borderId="0" xfId="0" applyNumberFormat="1" applyAlignment="1">
      <alignment horizontal="center"/>
    </xf>
    <xf numFmtId="0" fontId="0" fillId="0" borderId="0" xfId="0" applyAlignment="1">
      <alignment horizontal="center"/>
    </xf>
    <xf numFmtId="193" fontId="3" fillId="0" borderId="1" xfId="0" applyNumberFormat="1" applyFont="1" applyFill="1" applyBorder="1" applyAlignment="1">
      <alignment horizontal="center"/>
    </xf>
    <xf numFmtId="193" fontId="0" fillId="0" borderId="1" xfId="0" applyNumberFormat="1" applyFill="1" applyBorder="1" applyAlignment="1">
      <alignment horizontal="center"/>
    </xf>
    <xf numFmtId="3" fontId="4" fillId="0" borderId="1" xfId="0" applyNumberFormat="1" applyFont="1" applyFill="1" applyBorder="1" applyAlignment="1">
      <alignment horizontal="center" wrapText="1"/>
    </xf>
    <xf numFmtId="3" fontId="0" fillId="0" borderId="0" xfId="0" applyNumberFormat="1" applyAlignment="1">
      <alignment horizontal="center"/>
    </xf>
    <xf numFmtId="0" fontId="0" fillId="0" borderId="0" xfId="0" applyAlignment="1">
      <alignment horizontal="center"/>
    </xf>
    <xf numFmtId="0" fontId="2" fillId="0" borderId="0" xfId="0" applyFont="1" applyAlignment="1">
      <alignment horizontal="center" wrapText="1"/>
    </xf>
    <xf numFmtId="0" fontId="2" fillId="2" borderId="0" xfId="0" applyFont="1" applyFill="1" applyAlignment="1">
      <alignment horizontal="center"/>
    </xf>
    <xf numFmtId="0" fontId="7" fillId="7" borderId="0" xfId="13" applyFont="1" applyFill="1" applyAlignment="1">
      <alignment horizontal="left"/>
    </xf>
    <xf numFmtId="0" fontId="5" fillId="0" borderId="4" xfId="13" applyFont="1" applyFill="1" applyBorder="1" applyAlignment="1">
      <alignment horizontal="left"/>
    </xf>
    <xf numFmtId="0" fontId="5" fillId="0" borderId="0" xfId="13" applyFont="1" applyFill="1" applyBorder="1" applyAlignment="1">
      <alignment horizontal="left"/>
    </xf>
    <xf numFmtId="0" fontId="5" fillId="0" borderId="5" xfId="13" applyFont="1" applyFill="1" applyBorder="1" applyAlignment="1">
      <alignment horizontal="left" vertical="center" wrapText="1"/>
    </xf>
    <xf numFmtId="0" fontId="5" fillId="0" borderId="6" xfId="13" applyFont="1" applyFill="1" applyBorder="1" applyAlignment="1">
      <alignment horizontal="left" vertical="center" wrapText="1"/>
    </xf>
    <xf numFmtId="0" fontId="5" fillId="0" borderId="7" xfId="13" applyFont="1" applyFill="1" applyBorder="1" applyAlignment="1">
      <alignment horizontal="left" vertical="center" wrapText="1"/>
    </xf>
    <xf numFmtId="168" fontId="2" fillId="0" borderId="1" xfId="13" applyNumberFormat="1" applyFont="1" applyBorder="1" applyAlignment="1">
      <alignment horizontal="center"/>
    </xf>
    <xf numFmtId="0" fontId="5" fillId="0" borderId="1" xfId="13" applyFont="1" applyBorder="1" applyAlignment="1">
      <alignment horizontal="left" vertical="center"/>
    </xf>
    <xf numFmtId="0" fontId="5" fillId="0" borderId="1" xfId="13" applyFont="1" applyFill="1" applyBorder="1" applyAlignment="1">
      <alignment horizontal="center" vertical="center" wrapText="1"/>
    </xf>
    <xf numFmtId="0" fontId="2" fillId="0" borderId="1" xfId="13" applyFont="1" applyBorder="1" applyAlignment="1">
      <alignment horizontal="center"/>
    </xf>
    <xf numFmtId="0" fontId="5" fillId="0" borderId="5" xfId="13" applyFont="1" applyFill="1" applyBorder="1" applyAlignment="1">
      <alignment horizontal="center" vertical="center" wrapText="1"/>
    </xf>
    <xf numFmtId="0" fontId="5" fillId="0" borderId="7" xfId="13" applyFont="1" applyFill="1" applyBorder="1" applyAlignment="1">
      <alignment horizontal="center" vertical="center" wrapText="1"/>
    </xf>
    <xf numFmtId="0" fontId="5" fillId="0" borderId="4" xfId="13" applyFont="1" applyFill="1" applyBorder="1" applyAlignment="1">
      <alignment horizontal="left" vertical="center"/>
    </xf>
    <xf numFmtId="0" fontId="5" fillId="0" borderId="6" xfId="13" applyFont="1" applyFill="1" applyBorder="1" applyAlignment="1">
      <alignment horizontal="center" vertical="center"/>
    </xf>
    <xf numFmtId="0" fontId="5" fillId="0" borderId="7" xfId="13" applyFont="1" applyFill="1" applyBorder="1" applyAlignment="1">
      <alignment horizontal="center" vertical="center"/>
    </xf>
    <xf numFmtId="0" fontId="5" fillId="0" borderId="1" xfId="13" applyFont="1" applyFill="1" applyBorder="1" applyAlignment="1">
      <alignment horizontal="left" vertical="center"/>
    </xf>
    <xf numFmtId="0" fontId="5" fillId="0" borderId="0" xfId="13" applyFont="1" applyFill="1" applyBorder="1" applyAlignment="1">
      <alignment horizontal="left" vertical="center"/>
    </xf>
    <xf numFmtId="0" fontId="5" fillId="0" borderId="5" xfId="13" applyFont="1" applyFill="1" applyBorder="1" applyAlignment="1">
      <alignment horizontal="left" vertical="center"/>
    </xf>
    <xf numFmtId="0" fontId="5" fillId="0" borderId="6" xfId="13" applyFont="1" applyFill="1" applyBorder="1" applyAlignment="1">
      <alignment horizontal="left" vertical="center"/>
    </xf>
    <xf numFmtId="0" fontId="5" fillId="0" borderId="7" xfId="13" applyFont="1" applyFill="1" applyBorder="1" applyAlignment="1">
      <alignment horizontal="left" vertical="center"/>
    </xf>
    <xf numFmtId="0" fontId="16" fillId="0" borderId="8" xfId="16" applyFont="1" applyFill="1" applyBorder="1" applyAlignment="1">
      <alignment horizontal="left"/>
    </xf>
    <xf numFmtId="0" fontId="16" fillId="0" borderId="0" xfId="16" applyFont="1" applyFill="1" applyBorder="1" applyAlignment="1">
      <alignment horizontal="left"/>
    </xf>
    <xf numFmtId="0" fontId="16" fillId="0" borderId="17" xfId="16" applyFont="1" applyFill="1" applyBorder="1" applyAlignment="1">
      <alignment horizontal="left" wrapText="1"/>
    </xf>
    <xf numFmtId="0" fontId="16" fillId="0" borderId="4" xfId="16" applyFont="1" applyFill="1" applyBorder="1" applyAlignment="1">
      <alignment horizontal="left" wrapText="1"/>
    </xf>
    <xf numFmtId="0" fontId="2" fillId="0" borderId="9" xfId="13" applyBorder="1" applyAlignment="1">
      <alignment horizontal="center"/>
    </xf>
    <xf numFmtId="0" fontId="2" fillId="0" borderId="8" xfId="13" applyBorder="1" applyAlignment="1">
      <alignment horizontal="center"/>
    </xf>
    <xf numFmtId="0" fontId="5" fillId="0" borderId="1" xfId="13" applyFont="1" applyFill="1" applyBorder="1" applyAlignment="1">
      <alignment horizontal="left" vertical="center" wrapText="1"/>
    </xf>
    <xf numFmtId="0" fontId="5" fillId="0" borderId="4" xfId="13" applyFont="1" applyBorder="1" applyAlignment="1">
      <alignment horizontal="left"/>
    </xf>
    <xf numFmtId="0" fontId="5" fillId="0" borderId="5" xfId="13" applyFont="1" applyBorder="1" applyAlignment="1">
      <alignment horizontal="left" wrapText="1"/>
    </xf>
    <xf numFmtId="0" fontId="5" fillId="0" borderId="6" xfId="13" applyFont="1" applyBorder="1" applyAlignment="1">
      <alignment horizontal="left" wrapText="1"/>
    </xf>
    <xf numFmtId="0" fontId="5" fillId="0" borderId="7" xfId="13" applyFont="1" applyBorder="1" applyAlignment="1">
      <alignment horizontal="left" wrapText="1"/>
    </xf>
    <xf numFmtId="0" fontId="5" fillId="0" borderId="1" xfId="13" applyFont="1" applyBorder="1" applyAlignment="1">
      <alignment horizontal="left"/>
    </xf>
    <xf numFmtId="0" fontId="2" fillId="0" borderId="1" xfId="13" applyFont="1" applyBorder="1" applyAlignment="1">
      <alignment horizontal="left"/>
    </xf>
    <xf numFmtId="3" fontId="2" fillId="0" borderId="1" xfId="13" applyNumberFormat="1" applyFont="1" applyBorder="1" applyAlignment="1">
      <alignment horizontal="left"/>
    </xf>
    <xf numFmtId="0" fontId="2" fillId="0" borderId="9" xfId="13" applyFont="1" applyBorder="1" applyAlignment="1">
      <alignment horizontal="center"/>
    </xf>
    <xf numFmtId="0" fontId="2" fillId="0" borderId="8" xfId="13" applyFont="1" applyBorder="1" applyAlignment="1">
      <alignment horizontal="center"/>
    </xf>
    <xf numFmtId="3" fontId="2" fillId="0" borderId="0" xfId="0" applyNumberFormat="1" applyFont="1" applyAlignment="1">
      <alignment horizontal="center"/>
    </xf>
    <xf numFmtId="3" fontId="0" fillId="0" borderId="0" xfId="0" applyNumberFormat="1" applyAlignment="1">
      <alignment horizontal="center"/>
    </xf>
    <xf numFmtId="0" fontId="0" fillId="0" borderId="0" xfId="0" applyAlignment="1">
      <alignment horizontal="center"/>
    </xf>
    <xf numFmtId="0" fontId="5" fillId="0" borderId="17" xfId="12" applyNumberFormat="1" applyFont="1" applyBorder="1" applyAlignment="1">
      <alignment horizontal="center"/>
    </xf>
    <xf numFmtId="0" fontId="5" fillId="0" borderId="4" xfId="12" applyNumberFormat="1" applyFont="1" applyBorder="1" applyAlignment="1">
      <alignment horizontal="center"/>
    </xf>
    <xf numFmtId="0" fontId="5" fillId="0" borderId="16" xfId="12" applyNumberFormat="1" applyFont="1" applyBorder="1" applyAlignment="1">
      <alignment horizontal="center"/>
    </xf>
    <xf numFmtId="0" fontId="5" fillId="0" borderId="10" xfId="12" applyNumberFormat="1" applyFont="1" applyBorder="1" applyAlignment="1">
      <alignment horizontal="center"/>
    </xf>
    <xf numFmtId="0" fontId="5" fillId="0" borderId="8" xfId="12" applyNumberFormat="1" applyFont="1" applyBorder="1" applyAlignment="1">
      <alignment horizontal="center"/>
    </xf>
    <xf numFmtId="0" fontId="5" fillId="0" borderId="11" xfId="12" applyNumberFormat="1" applyFont="1" applyBorder="1" applyAlignment="1">
      <alignment horizontal="center" wrapText="1"/>
    </xf>
    <xf numFmtId="0" fontId="5" fillId="0" borderId="12" xfId="12" applyNumberFormat="1" applyFont="1" applyBorder="1" applyAlignment="1">
      <alignment horizontal="center" wrapText="1"/>
    </xf>
    <xf numFmtId="0" fontId="5" fillId="0" borderId="11" xfId="12" applyFont="1" applyBorder="1" applyAlignment="1">
      <alignment horizontal="center" wrapText="1"/>
    </xf>
    <xf numFmtId="0" fontId="5" fillId="0" borderId="13" xfId="12" applyFont="1" applyBorder="1" applyAlignment="1">
      <alignment horizontal="center" wrapText="1"/>
    </xf>
    <xf numFmtId="0" fontId="5" fillId="0" borderId="9" xfId="12" applyNumberFormat="1" applyFont="1" applyBorder="1" applyAlignment="1">
      <alignment horizontal="center"/>
    </xf>
    <xf numFmtId="0" fontId="5" fillId="0" borderId="14" xfId="12" applyNumberFormat="1" applyFont="1" applyBorder="1" applyAlignment="1">
      <alignment horizontal="center"/>
    </xf>
    <xf numFmtId="0" fontId="5" fillId="0" borderId="7" xfId="12" applyNumberFormat="1" applyFont="1" applyBorder="1" applyAlignment="1">
      <alignment horizontal="center"/>
    </xf>
  </cellXfs>
  <cellStyles count="20">
    <cellStyle name="Comma" xfId="1" builtinId="3"/>
    <cellStyle name="Comma 2" xfId="2"/>
    <cellStyle name="Comma 3" xfId="3"/>
    <cellStyle name="Comma_CDM monthly amounts" xfId="4"/>
    <cellStyle name="Comma_Horizon 2011 Load Forecast Model  June 25, 2010" xfId="5"/>
    <cellStyle name="Comma0" xfId="6"/>
    <cellStyle name="Currency" xfId="18" builtinId="4"/>
    <cellStyle name="Currency 2" xfId="19"/>
    <cellStyle name="Currency0" xfId="7"/>
    <cellStyle name="Date" xfId="8"/>
    <cellStyle name="Fixed" xfId="9"/>
    <cellStyle name="Normal" xfId="0" builtinId="0"/>
    <cellStyle name="Normal 2" xfId="10"/>
    <cellStyle name="Normal 2 2" xfId="13"/>
    <cellStyle name="Normal 3" xfId="12"/>
    <cellStyle name="Normal 5 2 3 3" xfId="16"/>
    <cellStyle name="Normal_OEB Trial Balance - Regulatory-July24-07" xfId="15"/>
    <cellStyle name="Normal_Sheet2" xfId="14"/>
    <cellStyle name="Percent" xfId="11" builtinId="5"/>
    <cellStyle name="Percent 5" xfId="17"/>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3.xml"/><Relationship Id="rId26" Type="http://schemas.openxmlformats.org/officeDocument/2006/relationships/externalLink" Target="externalLinks/externalLink11.xml"/><Relationship Id="rId39" Type="http://schemas.openxmlformats.org/officeDocument/2006/relationships/externalLink" Target="externalLinks/externalLink24.xml"/><Relationship Id="rId3" Type="http://schemas.openxmlformats.org/officeDocument/2006/relationships/worksheet" Target="worksheets/sheet3.xml"/><Relationship Id="rId21" Type="http://schemas.openxmlformats.org/officeDocument/2006/relationships/externalLink" Target="externalLinks/externalLink6.xml"/><Relationship Id="rId34" Type="http://schemas.openxmlformats.org/officeDocument/2006/relationships/externalLink" Target="externalLinks/externalLink19.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5" Type="http://schemas.openxmlformats.org/officeDocument/2006/relationships/externalLink" Target="externalLinks/externalLink10.xml"/><Relationship Id="rId33" Type="http://schemas.openxmlformats.org/officeDocument/2006/relationships/externalLink" Target="externalLinks/externalLink18.xml"/><Relationship Id="rId38" Type="http://schemas.openxmlformats.org/officeDocument/2006/relationships/externalLink" Target="externalLinks/externalLink23.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externalLink" Target="externalLinks/externalLink5.xml"/><Relationship Id="rId29" Type="http://schemas.openxmlformats.org/officeDocument/2006/relationships/externalLink" Target="externalLinks/externalLink14.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9.xml"/><Relationship Id="rId32" Type="http://schemas.openxmlformats.org/officeDocument/2006/relationships/externalLink" Target="externalLinks/externalLink17.xml"/><Relationship Id="rId37" Type="http://schemas.openxmlformats.org/officeDocument/2006/relationships/externalLink" Target="externalLinks/externalLink22.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8.xml"/><Relationship Id="rId28" Type="http://schemas.openxmlformats.org/officeDocument/2006/relationships/externalLink" Target="externalLinks/externalLink13.xml"/><Relationship Id="rId36" Type="http://schemas.openxmlformats.org/officeDocument/2006/relationships/externalLink" Target="externalLinks/externalLink21.xml"/><Relationship Id="rId10" Type="http://schemas.openxmlformats.org/officeDocument/2006/relationships/worksheet" Target="worksheets/sheet10.xml"/><Relationship Id="rId19" Type="http://schemas.openxmlformats.org/officeDocument/2006/relationships/externalLink" Target="externalLinks/externalLink4.xml"/><Relationship Id="rId31" Type="http://schemas.openxmlformats.org/officeDocument/2006/relationships/externalLink" Target="externalLinks/externalLink16.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7.xml"/><Relationship Id="rId27" Type="http://schemas.openxmlformats.org/officeDocument/2006/relationships/externalLink" Target="externalLinks/externalLink12.xml"/><Relationship Id="rId30" Type="http://schemas.openxmlformats.org/officeDocument/2006/relationships/externalLink" Target="externalLinks/externalLink15.xml"/><Relationship Id="rId35" Type="http://schemas.openxmlformats.org/officeDocument/2006/relationships/externalLink" Target="externalLinks/externalLink20.xml"/><Relationship Id="rId43"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5</xdr:col>
      <xdr:colOff>16566</xdr:colOff>
      <xdr:row>2</xdr:row>
      <xdr:rowOff>265044</xdr:rowOff>
    </xdr:from>
    <xdr:to>
      <xdr:col>12</xdr:col>
      <xdr:colOff>745434</xdr:colOff>
      <xdr:row>2</xdr:row>
      <xdr:rowOff>265044</xdr:rowOff>
    </xdr:to>
    <xdr:cxnSp macro="">
      <xdr:nvCxnSpPr>
        <xdr:cNvPr id="2" name="Straight Arrow Connector 1"/>
        <xdr:cNvCxnSpPr/>
      </xdr:nvCxnSpPr>
      <xdr:spPr>
        <a:xfrm>
          <a:off x="4550466" y="588894"/>
          <a:ext cx="6253368"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Documents\Richmond%20Hill\Year%20End\RHH96YE_%20MEA%20Statistics.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nts1\amar$\My%20Documents\EXCEL\COSA\COSA_Unbundling%20(MEA)\Mea_UCA_test.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M:\Documents%20and%20Settings\bbacon\My%20Documents\Orillia\2010%20Rates\2010%20Rate%20File%20-%20July%202,%202009\Documents%20and%20Settings\phurley\Desktop\Lakeland%20Rate%20App\LPDL_2009%20Revenue%20Requirement.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nts1\eichsteller$\My%20Documents\EXCEL\COSA\COSA_Unbundling%20(MEA)\Mea_UCA_test.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Users/bbacon/Documents/Lakeland/2019%20Rate%20Appl/Load%20Forecast/Lakeland%202018%20Load%20Forecast%20wo%20Parry%20Sound.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Users/bbacon/Documents/Lakeland/2019%20Rate%20Appl/Load%20Forecast/June%202018%20Update/Load%20Forecast%20Data%20LPDL%20-%20Updated%20to%202017-12%20revised%2020180621.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Users/bbacon/Documents/Lakeland/2019%20Rate%20Appl/Load%20Forecast/Lakeland%202018%20Load%20Forecast%20Parry%20Sound%20Only.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Users/bbacon/Documents/Lakeland/2019%20Rate%20Appl/Load%20Forecast/June%202018%20Update/Load%20Forecast%20Data%20Template%20PSP%20-%20Updated%20to%202017-12%20revised%2020180621.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Users/bbacon/Documents/Energy+/2019%20Rates/Load%20Forecast/January%202018%20update/2019%20Energy+%20Load%20Forecast%20Model_V3.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Users/BBacon/Documents/Rebasing/GDP%20numbers/Real%20Ontario%20GDP%20Information%20for%202018%20Rate%20Applications.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Users/bbacon/Documents/Lakeland/2019%20Rate%20Appl/Load%20Forecast/Muskoka%20Employment%20Stat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M:\Documents%20and%20Settings\BBacon\My%20Documents\Norfolk\2011%20Rates\Evidence\Documents%20and%20Settings\dg\Desktop\Dummy%20File.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Users/bbacon/Documents/Lakeland/2019%20Rate%20Appl/Load%20Forecast/2006-2010%20Final%20OPA%20CDM%20Results.Lakeland%20Power%20Distribution%20Ltd..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Users/bbacon/Documents/Lakeland/2019%20Rate%20Appl/Load%20Forecast/2006-2010%20Final%20OPA%20CDM%20Results.Parry%20Sound%20Power%20Corporation.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Users/bbacon/Documents/Lakeland/2019%20Rate%20Appl/Load%20Forecast/Persistence%20Savings%20Lakeland%202011-2014.xlsx"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Users/bbacon/Documents/Lakeland/2019%20Rate%20Appl/Load%20Forecast/Dec%202017%20Plan%20Resubmission.xlsx"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Users/bbacon/Documents/Lakeland/2019%20Rate%20Appl/Load%20Forecast/Final%20Verified%202016%20Annual%20LDC%20CDM%20Program%20Results_Report_Lakeland%20Power%20Distribution%20Ltd._2017063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Documents%20and%20Settings/bbacon/My%20Documents/Midland/2013%20Rate%20Application/2013%20Load%20Forecast/Dummy%20File.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Documents%20and%20Settings/dg/Desktop/Dummy%20File.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bbacon/Documents/Lakeland/2019%20Rate%20Appl/Load%20Forecast/Dummy%20File.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M:\CTennant\Return%20on%20Equity%20and%20WC\RateMaker.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M:\Documents%20and%20Settings\BBacon\My%20Documents\Norfolk\2011%20Rates\Evidence\LDC%20FTY%20-%20LF\CostAllocation.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LDC%20FTY%20-%20LF/CostAllocation.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M:\Documents%20and%20Settings\bbacon\My%20Documents\Orillia\2010%20Rates\2010%20Rate%20File%20-%20July%202,%202009\Documents%20and%20Settings\mmaw\Local%20Settings\Temporary%20Internet%20Files\OLKBC\Exhibit%203%20Distribution%20Revenue%20Throughputs%20-%20Blank.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A Statistics"/>
      <sheetName val="North York Stat"/>
      <sheetName val="MEA Title Pge"/>
      <sheetName val="Old MEA Statistics"/>
    </sheetNames>
    <sheetDataSet>
      <sheetData sheetId="0" refreshError="1"/>
      <sheetData sheetId="1" refreshError="1"/>
      <sheetData sheetId="2" refreshError="1"/>
      <sheetData sheetId="3" refreshError="1">
        <row r="250">
          <cell r="B250" t="str">
            <v xml:space="preserve">   Average for medium size utilities</v>
          </cell>
        </row>
      </sheetData>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LOBs"/>
      <sheetName val="Financials"/>
      <sheetName val="Loads"/>
      <sheetName val="Classify"/>
      <sheetName val="Allocate"/>
      <sheetName val="F&amp;C"/>
      <sheetName val="Summary"/>
      <sheetName val="Macros"/>
      <sheetName val="Module1"/>
    </sheetNames>
    <sheetDataSet>
      <sheetData sheetId="0"/>
      <sheetData sheetId="1"/>
      <sheetData sheetId="2" refreshError="1">
        <row r="1">
          <cell r="A1" t="str">
            <v>LDC Name</v>
          </cell>
        </row>
        <row r="76">
          <cell r="E76">
            <v>36161</v>
          </cell>
        </row>
      </sheetData>
      <sheetData sheetId="3"/>
      <sheetData sheetId="4"/>
      <sheetData sheetId="5"/>
      <sheetData sheetId="6"/>
      <sheetData sheetId="7"/>
      <sheetData sheetId="8" refreshError="1"/>
      <sheetData sheetId="9"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FA Continuity 2006"/>
      <sheetName val="FA Continuity 2007"/>
      <sheetName val="FA Continuity 2008"/>
      <sheetName val="FA Continuity 2009"/>
      <sheetName val="Trial Balance"/>
      <sheetName val="2006 Balance Sheet"/>
      <sheetName val="2006 Income Statement"/>
      <sheetName val="2007 Balance Sheet"/>
      <sheetName val="2007 Income Statement"/>
      <sheetName val="2008 Balance Sheet"/>
      <sheetName val="2008 Income Statement"/>
      <sheetName val="2009 Balance Sheet"/>
      <sheetName val="2009 Income Statement"/>
      <sheetName val="IS Comparison"/>
      <sheetName val="Debt &amp; Capital Structure"/>
      <sheetName val="Return on Capital"/>
      <sheetName val="Tax rates"/>
      <sheetName val="CCA Continuity 2008"/>
      <sheetName val="CCA Continuity 2009"/>
      <sheetName val="Reserves Continuity"/>
      <sheetName val="Corporation Loss Continuity"/>
      <sheetName val="Interest Schedule"/>
      <sheetName val="Tax Adjustments 2008"/>
      <sheetName val="Tax Adjustments 2009"/>
      <sheetName val="2009 Rev Deficiency"/>
      <sheetName val="Capital Tax &amp; Expense Schedules"/>
      <sheetName val="Revenue Requiremen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row r="10">
          <cell r="B10" t="str">
            <v>Service Revenue Requirement</v>
          </cell>
        </row>
      </sheetData>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LOBs"/>
      <sheetName val="Financials"/>
      <sheetName val="Loads"/>
      <sheetName val="Classify"/>
      <sheetName val="Allocate"/>
      <sheetName val="F&amp;C"/>
      <sheetName val="Summary"/>
      <sheetName val="Macros"/>
      <sheetName val="Module1"/>
    </sheetNames>
    <sheetDataSet>
      <sheetData sheetId="0"/>
      <sheetData sheetId="1"/>
      <sheetData sheetId="2" refreshError="1">
        <row r="1">
          <cell r="A1" t="str">
            <v>LDC Name</v>
          </cell>
        </row>
      </sheetData>
      <sheetData sheetId="3"/>
      <sheetData sheetId="4"/>
      <sheetData sheetId="5"/>
      <sheetData sheetId="6"/>
      <sheetData sheetId="7"/>
      <sheetData sheetId="8" refreshError="1"/>
      <sheetData sheetId="9"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Purchased Power Model "/>
      <sheetName val="Purchased Power Model  15 Year"/>
      <sheetName val="Rate Class Energy Model"/>
      <sheetName val="Rate Class Customer Model"/>
      <sheetName val="Rate Class Load Model"/>
      <sheetName val="Weather Analysis"/>
      <sheetName val="CDM Activity"/>
    </sheetNames>
    <sheetDataSet>
      <sheetData sheetId="0" refreshError="1"/>
      <sheetData sheetId="1" refreshError="1"/>
      <sheetData sheetId="2" refreshError="1"/>
      <sheetData sheetId="3">
        <row r="8">
          <cell r="H8">
            <v>80889261</v>
          </cell>
          <cell r="I8">
            <v>45412234</v>
          </cell>
          <cell r="J8">
            <v>90745868</v>
          </cell>
          <cell r="K8">
            <v>39860</v>
          </cell>
          <cell r="L8">
            <v>1872292</v>
          </cell>
          <cell r="M8">
            <v>206728</v>
          </cell>
        </row>
        <row r="9">
          <cell r="H9">
            <v>80642283</v>
          </cell>
          <cell r="I9">
            <v>43415770</v>
          </cell>
          <cell r="J9">
            <v>84055244</v>
          </cell>
          <cell r="K9">
            <v>40502</v>
          </cell>
          <cell r="L9">
            <v>1870097</v>
          </cell>
          <cell r="M9">
            <v>166421</v>
          </cell>
        </row>
        <row r="10">
          <cell r="H10">
            <v>79053121.920000002</v>
          </cell>
          <cell r="I10">
            <v>42988016</v>
          </cell>
          <cell r="J10">
            <v>82607939</v>
          </cell>
          <cell r="K10">
            <v>40765.119999999988</v>
          </cell>
          <cell r="L10">
            <v>1870097.95</v>
          </cell>
          <cell r="M10">
            <v>141736</v>
          </cell>
        </row>
        <row r="11">
          <cell r="H11">
            <v>77644590.609999999</v>
          </cell>
          <cell r="I11">
            <v>42734764.309999995</v>
          </cell>
          <cell r="J11">
            <v>83596623.950000003</v>
          </cell>
          <cell r="K11">
            <v>40667.377999999997</v>
          </cell>
          <cell r="L11">
            <v>1870092.23</v>
          </cell>
          <cell r="M11">
            <v>131903</v>
          </cell>
        </row>
        <row r="12">
          <cell r="H12">
            <v>76695383.229999989</v>
          </cell>
          <cell r="I12">
            <v>42530712.350000001</v>
          </cell>
          <cell r="J12">
            <v>85769012.790000007</v>
          </cell>
          <cell r="K12">
            <v>39720.68</v>
          </cell>
          <cell r="L12">
            <v>1661260.0199999998</v>
          </cell>
          <cell r="M12">
            <v>124260</v>
          </cell>
        </row>
        <row r="13">
          <cell r="H13">
            <v>80685090.820000008</v>
          </cell>
          <cell r="I13">
            <v>43163338.140000001</v>
          </cell>
          <cell r="J13">
            <v>84112933.400000006</v>
          </cell>
          <cell r="K13">
            <v>39693.299999999996</v>
          </cell>
          <cell r="L13">
            <v>1573209.8000000003</v>
          </cell>
          <cell r="M13">
            <v>124260</v>
          </cell>
        </row>
        <row r="14">
          <cell r="H14">
            <v>81314167.849999994</v>
          </cell>
          <cell r="I14">
            <v>43372649.669999994</v>
          </cell>
          <cell r="J14">
            <v>86592246.719999999</v>
          </cell>
          <cell r="K14">
            <v>39698.100000000006</v>
          </cell>
          <cell r="L14">
            <v>1541344.2300000002</v>
          </cell>
          <cell r="M14">
            <v>123236</v>
          </cell>
        </row>
        <row r="15">
          <cell r="H15">
            <v>77590719.209999993</v>
          </cell>
          <cell r="I15">
            <v>42237975.730000004</v>
          </cell>
          <cell r="J15">
            <v>86837191.189999998</v>
          </cell>
          <cell r="K15">
            <v>39318.840000000004</v>
          </cell>
          <cell r="L15">
            <v>1418968.28</v>
          </cell>
          <cell r="M15">
            <v>117444</v>
          </cell>
        </row>
        <row r="16">
          <cell r="H16">
            <v>75735418.159999996</v>
          </cell>
          <cell r="I16">
            <v>41470835.559999995</v>
          </cell>
          <cell r="J16">
            <v>85261756.117560282</v>
          </cell>
          <cell r="K16">
            <v>39385.909999999996</v>
          </cell>
          <cell r="L16">
            <v>818365.92164293025</v>
          </cell>
          <cell r="M16">
            <v>109956</v>
          </cell>
        </row>
      </sheetData>
      <sheetData sheetId="4">
        <row r="4">
          <cell r="B4">
            <v>7528.25</v>
          </cell>
          <cell r="C4">
            <v>1537.0833333333333</v>
          </cell>
          <cell r="D4">
            <v>99</v>
          </cell>
          <cell r="E4">
            <v>44.25</v>
          </cell>
          <cell r="F4">
            <v>2106</v>
          </cell>
          <cell r="G4">
            <v>49</v>
          </cell>
        </row>
        <row r="5">
          <cell r="B5">
            <v>7655.5</v>
          </cell>
          <cell r="C5">
            <v>1548.25</v>
          </cell>
          <cell r="D5">
            <v>100</v>
          </cell>
          <cell r="E5">
            <v>44.916666666666664</v>
          </cell>
          <cell r="F5">
            <v>2130</v>
          </cell>
          <cell r="G5">
            <v>43.916666666666664</v>
          </cell>
        </row>
        <row r="6">
          <cell r="B6">
            <v>7747.916666666667</v>
          </cell>
          <cell r="C6">
            <v>1552.75</v>
          </cell>
          <cell r="D6">
            <v>99.833333333333329</v>
          </cell>
          <cell r="E6">
            <v>44.583333333333336</v>
          </cell>
          <cell r="F6">
            <v>2130</v>
          </cell>
          <cell r="G6">
            <v>41.166666666666664</v>
          </cell>
        </row>
        <row r="7">
          <cell r="B7">
            <v>7885.166666666667</v>
          </cell>
          <cell r="C7">
            <v>1563.25</v>
          </cell>
          <cell r="D7">
            <v>100.66666666666667</v>
          </cell>
          <cell r="E7">
            <v>44.666666666666664</v>
          </cell>
          <cell r="F7">
            <v>2130</v>
          </cell>
          <cell r="G7">
            <v>39.5</v>
          </cell>
        </row>
        <row r="8">
          <cell r="B8">
            <v>7962.5</v>
          </cell>
          <cell r="C8">
            <v>1572.75</v>
          </cell>
          <cell r="D8">
            <v>100.5</v>
          </cell>
          <cell r="E8">
            <v>45.833333333333336</v>
          </cell>
          <cell r="F8">
            <v>1953.8333333333333</v>
          </cell>
          <cell r="G8">
            <v>38</v>
          </cell>
        </row>
        <row r="9">
          <cell r="B9">
            <v>8031.166666666667</v>
          </cell>
          <cell r="C9">
            <v>1582.0833333333333</v>
          </cell>
          <cell r="D9">
            <v>101.33333333333333</v>
          </cell>
          <cell r="E9">
            <v>45</v>
          </cell>
          <cell r="F9">
            <v>1802.75</v>
          </cell>
          <cell r="G9">
            <v>38</v>
          </cell>
        </row>
        <row r="10">
          <cell r="B10">
            <v>8085.833333333333</v>
          </cell>
          <cell r="C10">
            <v>1592.8333333333333</v>
          </cell>
          <cell r="D10">
            <v>100.91666666666667</v>
          </cell>
          <cell r="E10">
            <v>44</v>
          </cell>
          <cell r="F10">
            <v>1797.6666666666667</v>
          </cell>
          <cell r="G10">
            <v>37</v>
          </cell>
        </row>
        <row r="11">
          <cell r="B11">
            <v>8125.833333333333</v>
          </cell>
          <cell r="C11">
            <v>1595.1666666666667</v>
          </cell>
          <cell r="D11">
            <v>100.75</v>
          </cell>
          <cell r="E11">
            <v>44</v>
          </cell>
          <cell r="F11">
            <v>1788.8333333333333</v>
          </cell>
          <cell r="G11">
            <v>35.166666666666664</v>
          </cell>
        </row>
        <row r="12">
          <cell r="B12">
            <v>8182.5</v>
          </cell>
          <cell r="C12">
            <v>1592.9166666666667</v>
          </cell>
          <cell r="D12">
            <v>98.833333333333329</v>
          </cell>
          <cell r="E12">
            <v>43.833333333333336</v>
          </cell>
          <cell r="F12">
            <v>1783</v>
          </cell>
          <cell r="G12">
            <v>34</v>
          </cell>
        </row>
      </sheetData>
      <sheetData sheetId="5" refreshError="1"/>
      <sheetData sheetId="6" refreshError="1"/>
      <sheetData sheetId="7"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Input"/>
      <sheetName val="Notes"/>
    </sheetNames>
    <sheetDataSet>
      <sheetData sheetId="0">
        <row r="77">
          <cell r="B77">
            <v>23032111</v>
          </cell>
          <cell r="D77">
            <v>9334001</v>
          </cell>
          <cell r="F77">
            <v>7459</v>
          </cell>
          <cell r="H77">
            <v>4434126</v>
          </cell>
          <cell r="J77">
            <v>1530</v>
          </cell>
          <cell r="L77">
            <v>7742740</v>
          </cell>
          <cell r="N77">
            <v>18331.91</v>
          </cell>
          <cell r="O77">
            <v>98</v>
          </cell>
          <cell r="Q77">
            <v>196853</v>
          </cell>
          <cell r="S77">
            <v>429.34</v>
          </cell>
          <cell r="T77">
            <v>2058</v>
          </cell>
          <cell r="W77">
            <v>3246.48</v>
          </cell>
          <cell r="X77">
            <v>9.0490362811791378</v>
          </cell>
          <cell r="Y77">
            <v>43</v>
          </cell>
          <cell r="AA77">
            <v>18635</v>
          </cell>
          <cell r="AC77">
            <v>51</v>
          </cell>
        </row>
        <row r="78">
          <cell r="B78">
            <v>22156585</v>
          </cell>
          <cell r="D78">
            <v>8838303</v>
          </cell>
          <cell r="F78">
            <v>7457</v>
          </cell>
          <cell r="H78">
            <v>4281752</v>
          </cell>
          <cell r="J78">
            <v>1529</v>
          </cell>
          <cell r="L78">
            <v>7299184</v>
          </cell>
          <cell r="N78">
            <v>18549.870000000003</v>
          </cell>
          <cell r="O78">
            <v>98</v>
          </cell>
          <cell r="Q78">
            <v>170448</v>
          </cell>
          <cell r="S78">
            <v>429.34</v>
          </cell>
          <cell r="T78">
            <v>2058</v>
          </cell>
          <cell r="W78">
            <v>3383.28</v>
          </cell>
          <cell r="X78">
            <v>9.4316893424036277</v>
          </cell>
          <cell r="Y78">
            <v>45</v>
          </cell>
          <cell r="AA78">
            <v>18303</v>
          </cell>
          <cell r="AC78">
            <v>51</v>
          </cell>
        </row>
        <row r="79">
          <cell r="B79">
            <v>22013050</v>
          </cell>
          <cell r="D79">
            <v>8503960</v>
          </cell>
          <cell r="F79">
            <v>7467</v>
          </cell>
          <cell r="H79">
            <v>4224871</v>
          </cell>
          <cell r="J79">
            <v>1531</v>
          </cell>
          <cell r="L79">
            <v>7696846</v>
          </cell>
          <cell r="N79">
            <v>17747.669999999998</v>
          </cell>
          <cell r="O79">
            <v>98</v>
          </cell>
          <cell r="Q79">
            <v>164008</v>
          </cell>
          <cell r="S79">
            <v>429.34</v>
          </cell>
          <cell r="T79">
            <v>2058</v>
          </cell>
          <cell r="W79">
            <v>3314.88</v>
          </cell>
          <cell r="X79">
            <v>9.2403628117913819</v>
          </cell>
          <cell r="Y79">
            <v>44</v>
          </cell>
          <cell r="AA79">
            <v>18967</v>
          </cell>
          <cell r="AC79">
            <v>51</v>
          </cell>
        </row>
        <row r="80">
          <cell r="B80">
            <v>17842658</v>
          </cell>
          <cell r="D80">
            <v>6189144</v>
          </cell>
          <cell r="F80">
            <v>7478</v>
          </cell>
          <cell r="H80">
            <v>3454697</v>
          </cell>
          <cell r="J80">
            <v>1532</v>
          </cell>
          <cell r="L80">
            <v>7194725</v>
          </cell>
          <cell r="N80">
            <v>18776.52</v>
          </cell>
          <cell r="O80">
            <v>98</v>
          </cell>
          <cell r="Q80">
            <v>139858</v>
          </cell>
          <cell r="S80">
            <v>429.34</v>
          </cell>
          <cell r="T80">
            <v>2058</v>
          </cell>
          <cell r="W80">
            <v>3314.88</v>
          </cell>
          <cell r="X80">
            <v>9.2120181405895689</v>
          </cell>
          <cell r="Y80">
            <v>44</v>
          </cell>
          <cell r="AA80">
            <v>18475</v>
          </cell>
          <cell r="AC80">
            <v>51</v>
          </cell>
        </row>
        <row r="81">
          <cell r="B81">
            <v>17029191</v>
          </cell>
          <cell r="D81">
            <v>5368513</v>
          </cell>
          <cell r="F81">
            <v>7488</v>
          </cell>
          <cell r="H81">
            <v>3277392</v>
          </cell>
          <cell r="J81">
            <v>1535</v>
          </cell>
          <cell r="L81">
            <v>7295057</v>
          </cell>
          <cell r="N81">
            <v>19142.879999999997</v>
          </cell>
          <cell r="O81">
            <v>98</v>
          </cell>
          <cell r="Q81">
            <v>125717</v>
          </cell>
          <cell r="S81">
            <v>433.16</v>
          </cell>
          <cell r="T81">
            <v>2130</v>
          </cell>
          <cell r="W81">
            <v>3242.88</v>
          </cell>
          <cell r="X81">
            <v>8.687641723356009</v>
          </cell>
          <cell r="Y81">
            <v>43</v>
          </cell>
          <cell r="AA81">
            <v>18795</v>
          </cell>
          <cell r="AC81">
            <v>51</v>
          </cell>
        </row>
        <row r="82">
          <cell r="B82">
            <v>16878293</v>
          </cell>
          <cell r="D82">
            <v>4824133</v>
          </cell>
          <cell r="F82">
            <v>7519</v>
          </cell>
          <cell r="H82">
            <v>3387944</v>
          </cell>
          <cell r="J82">
            <v>1535</v>
          </cell>
          <cell r="L82">
            <v>7369958</v>
          </cell>
          <cell r="N82">
            <v>19568.93</v>
          </cell>
          <cell r="O82">
            <v>98</v>
          </cell>
          <cell r="Q82">
            <v>114297</v>
          </cell>
          <cell r="S82">
            <v>422.93</v>
          </cell>
          <cell r="T82">
            <v>2130</v>
          </cell>
          <cell r="W82">
            <v>3386.88</v>
          </cell>
          <cell r="X82">
            <v>9.401135005973714</v>
          </cell>
          <cell r="Y82">
            <v>45</v>
          </cell>
          <cell r="AA82">
            <v>18475</v>
          </cell>
          <cell r="AC82">
            <v>50</v>
          </cell>
        </row>
        <row r="83">
          <cell r="B83">
            <v>18183975</v>
          </cell>
          <cell r="D83">
            <v>5038191</v>
          </cell>
          <cell r="F83">
            <v>7532</v>
          </cell>
          <cell r="H83">
            <v>3741127</v>
          </cell>
          <cell r="J83">
            <v>1537</v>
          </cell>
          <cell r="L83">
            <v>7957407</v>
          </cell>
          <cell r="N83">
            <v>19695.32</v>
          </cell>
          <cell r="O83">
            <v>100</v>
          </cell>
          <cell r="Q83">
            <v>120747</v>
          </cell>
          <cell r="S83">
            <v>422.93</v>
          </cell>
          <cell r="T83">
            <v>2130</v>
          </cell>
          <cell r="W83">
            <v>3314.88</v>
          </cell>
          <cell r="X83">
            <v>9.1995221027479079</v>
          </cell>
          <cell r="Y83">
            <v>44</v>
          </cell>
          <cell r="AA83">
            <v>17792</v>
          </cell>
          <cell r="AC83">
            <v>49</v>
          </cell>
        </row>
        <row r="84">
          <cell r="B84">
            <v>17732167</v>
          </cell>
          <cell r="D84">
            <v>4958531</v>
          </cell>
          <cell r="F84">
            <v>7556</v>
          </cell>
          <cell r="H84">
            <v>3664688</v>
          </cell>
          <cell r="J84">
            <v>1543</v>
          </cell>
          <cell r="L84">
            <v>7982839</v>
          </cell>
          <cell r="N84">
            <v>19440.34</v>
          </cell>
          <cell r="O84">
            <v>100</v>
          </cell>
          <cell r="Q84">
            <v>135338</v>
          </cell>
          <cell r="S84">
            <v>422.93</v>
          </cell>
          <cell r="T84">
            <v>2130</v>
          </cell>
          <cell r="W84">
            <v>3317.4</v>
          </cell>
          <cell r="X84">
            <v>9.2069892473118262</v>
          </cell>
          <cell r="Y84">
            <v>44</v>
          </cell>
          <cell r="AA84">
            <v>17283</v>
          </cell>
          <cell r="AC84">
            <v>47</v>
          </cell>
        </row>
        <row r="85">
          <cell r="B85">
            <v>16860353</v>
          </cell>
          <cell r="D85">
            <v>4881038</v>
          </cell>
          <cell r="F85">
            <v>7577</v>
          </cell>
          <cell r="H85">
            <v>3261971</v>
          </cell>
          <cell r="J85">
            <v>1543</v>
          </cell>
          <cell r="L85">
            <v>7676849</v>
          </cell>
          <cell r="N85">
            <v>19256.810000000001</v>
          </cell>
          <cell r="O85">
            <v>100</v>
          </cell>
          <cell r="Q85">
            <v>148660</v>
          </cell>
          <cell r="S85">
            <v>422.93</v>
          </cell>
          <cell r="T85">
            <v>2130</v>
          </cell>
          <cell r="W85">
            <v>3317.4</v>
          </cell>
          <cell r="X85">
            <v>9.2069892473118262</v>
          </cell>
          <cell r="Y85">
            <v>44</v>
          </cell>
          <cell r="AA85">
            <v>15450</v>
          </cell>
          <cell r="AC85">
            <v>47</v>
          </cell>
        </row>
        <row r="86">
          <cell r="B86">
            <v>18640281</v>
          </cell>
          <cell r="D86">
            <v>5977646</v>
          </cell>
          <cell r="F86">
            <v>7588</v>
          </cell>
          <cell r="H86">
            <v>3426380</v>
          </cell>
          <cell r="J86">
            <v>1543</v>
          </cell>
          <cell r="L86">
            <v>7836210</v>
          </cell>
          <cell r="N86">
            <v>18499.82</v>
          </cell>
          <cell r="O86">
            <v>100</v>
          </cell>
          <cell r="Q86">
            <v>172873</v>
          </cell>
          <cell r="S86">
            <v>422.93</v>
          </cell>
          <cell r="T86">
            <v>2130</v>
          </cell>
          <cell r="W86">
            <v>3353.64</v>
          </cell>
          <cell r="X86">
            <v>9.304062126642771</v>
          </cell>
          <cell r="Y86">
            <v>45</v>
          </cell>
          <cell r="AA86">
            <v>15115</v>
          </cell>
          <cell r="AC86">
            <v>47</v>
          </cell>
        </row>
        <row r="87">
          <cell r="B87">
            <v>19886751</v>
          </cell>
          <cell r="D87">
            <v>7408144</v>
          </cell>
          <cell r="F87">
            <v>7605</v>
          </cell>
          <cell r="H87">
            <v>3783852</v>
          </cell>
          <cell r="J87">
            <v>1543</v>
          </cell>
          <cell r="L87">
            <v>7514998</v>
          </cell>
          <cell r="N87">
            <v>19203.52</v>
          </cell>
          <cell r="O87">
            <v>100</v>
          </cell>
          <cell r="Q87">
            <v>184398</v>
          </cell>
          <cell r="S87">
            <v>422.93</v>
          </cell>
          <cell r="T87">
            <v>2130</v>
          </cell>
          <cell r="W87">
            <v>3383.28</v>
          </cell>
          <cell r="X87">
            <v>9.3862007168458774</v>
          </cell>
          <cell r="Y87">
            <v>45</v>
          </cell>
          <cell r="AA87">
            <v>14857</v>
          </cell>
          <cell r="AC87">
            <v>47</v>
          </cell>
        </row>
        <row r="88">
          <cell r="B88">
            <v>22939032</v>
          </cell>
          <cell r="D88">
            <v>9567657</v>
          </cell>
          <cell r="F88">
            <v>7613</v>
          </cell>
          <cell r="H88">
            <v>4473434</v>
          </cell>
          <cell r="J88">
            <v>1544</v>
          </cell>
          <cell r="L88">
            <v>7179055</v>
          </cell>
          <cell r="N88">
            <v>18028.2</v>
          </cell>
          <cell r="O88">
            <v>100</v>
          </cell>
          <cell r="Q88">
            <v>199095</v>
          </cell>
          <cell r="S88">
            <v>422.93</v>
          </cell>
          <cell r="T88">
            <v>2130</v>
          </cell>
          <cell r="W88">
            <v>3383.28</v>
          </cell>
          <cell r="X88">
            <v>9.3862007168458774</v>
          </cell>
          <cell r="Y88">
            <v>45</v>
          </cell>
          <cell r="AA88">
            <v>14581</v>
          </cell>
          <cell r="AC88">
            <v>46</v>
          </cell>
        </row>
        <row r="89">
          <cell r="B89">
            <v>25179016</v>
          </cell>
          <cell r="D89">
            <v>10316265</v>
          </cell>
          <cell r="F89">
            <v>7616</v>
          </cell>
          <cell r="H89">
            <v>4693029</v>
          </cell>
          <cell r="J89">
            <v>1544</v>
          </cell>
          <cell r="L89">
            <v>7653225</v>
          </cell>
          <cell r="N89">
            <v>18116.100000000002</v>
          </cell>
          <cell r="O89">
            <v>100</v>
          </cell>
          <cell r="Q89">
            <v>193914</v>
          </cell>
          <cell r="S89">
            <v>422.93</v>
          </cell>
          <cell r="T89">
            <v>2130</v>
          </cell>
          <cell r="W89">
            <v>3383.28</v>
          </cell>
          <cell r="X89">
            <v>9.3862007168458774</v>
          </cell>
          <cell r="Y89">
            <v>45</v>
          </cell>
          <cell r="AA89">
            <v>14266</v>
          </cell>
          <cell r="AC89">
            <v>46</v>
          </cell>
        </row>
        <row r="90">
          <cell r="B90">
            <v>20744809</v>
          </cell>
          <cell r="D90">
            <v>8504317</v>
          </cell>
          <cell r="F90">
            <v>7618</v>
          </cell>
          <cell r="H90">
            <v>3996228</v>
          </cell>
          <cell r="J90">
            <v>1547</v>
          </cell>
          <cell r="L90">
            <v>6921984</v>
          </cell>
          <cell r="N90">
            <v>17570.579999999998</v>
          </cell>
          <cell r="O90">
            <v>100</v>
          </cell>
          <cell r="Q90">
            <v>175728</v>
          </cell>
          <cell r="S90">
            <v>422.93</v>
          </cell>
          <cell r="T90">
            <v>2130</v>
          </cell>
          <cell r="W90">
            <v>3383.28</v>
          </cell>
          <cell r="X90">
            <v>9.3862007168458774</v>
          </cell>
          <cell r="Y90">
            <v>45</v>
          </cell>
          <cell r="AA90">
            <v>13872</v>
          </cell>
          <cell r="AC90">
            <v>46</v>
          </cell>
        </row>
        <row r="91">
          <cell r="B91">
            <v>20987646</v>
          </cell>
          <cell r="D91">
            <v>8091654</v>
          </cell>
          <cell r="F91">
            <v>7626</v>
          </cell>
          <cell r="H91">
            <v>4007180</v>
          </cell>
          <cell r="J91">
            <v>1546</v>
          </cell>
          <cell r="L91">
            <v>7304138</v>
          </cell>
          <cell r="N91">
            <v>16989.73</v>
          </cell>
          <cell r="O91">
            <v>100</v>
          </cell>
          <cell r="Q91">
            <v>161560</v>
          </cell>
          <cell r="S91">
            <v>422.93</v>
          </cell>
          <cell r="T91">
            <v>2130</v>
          </cell>
          <cell r="W91">
            <v>3383.28</v>
          </cell>
          <cell r="X91">
            <v>9.3862007168458774</v>
          </cell>
          <cell r="Y91">
            <v>45</v>
          </cell>
          <cell r="AA91">
            <v>14660</v>
          </cell>
          <cell r="AC91">
            <v>46</v>
          </cell>
        </row>
        <row r="92">
          <cell r="B92">
            <v>17548619</v>
          </cell>
          <cell r="D92">
            <v>6342124</v>
          </cell>
          <cell r="F92">
            <v>7628</v>
          </cell>
          <cell r="H92">
            <v>3293116</v>
          </cell>
          <cell r="J92">
            <v>1544</v>
          </cell>
          <cell r="L92">
            <v>6677986</v>
          </cell>
          <cell r="N92">
            <v>17115.77</v>
          </cell>
          <cell r="O92">
            <v>100</v>
          </cell>
          <cell r="Q92">
            <v>137770</v>
          </cell>
          <cell r="S92">
            <v>422.93</v>
          </cell>
          <cell r="T92">
            <v>2130</v>
          </cell>
          <cell r="W92">
            <v>3383.28</v>
          </cell>
          <cell r="X92">
            <v>9.3862007168458774</v>
          </cell>
          <cell r="Y92">
            <v>45</v>
          </cell>
          <cell r="AA92">
            <v>14143</v>
          </cell>
          <cell r="AC92">
            <v>45</v>
          </cell>
        </row>
        <row r="93">
          <cell r="B93">
            <v>16339291</v>
          </cell>
          <cell r="D93">
            <v>5334178</v>
          </cell>
          <cell r="F93">
            <v>7628</v>
          </cell>
          <cell r="H93">
            <v>3160898</v>
          </cell>
          <cell r="J93">
            <v>1549</v>
          </cell>
          <cell r="L93">
            <v>6789033</v>
          </cell>
          <cell r="N93">
            <v>17391.23</v>
          </cell>
          <cell r="O93">
            <v>100</v>
          </cell>
          <cell r="Q93">
            <v>125717</v>
          </cell>
          <cell r="S93">
            <v>422.93</v>
          </cell>
          <cell r="T93">
            <v>2130</v>
          </cell>
          <cell r="W93">
            <v>3395.82</v>
          </cell>
          <cell r="X93">
            <v>9.4235364396654706</v>
          </cell>
          <cell r="Y93">
            <v>45</v>
          </cell>
          <cell r="AA93">
            <v>14240</v>
          </cell>
          <cell r="AC93">
            <v>43</v>
          </cell>
        </row>
        <row r="94">
          <cell r="B94">
            <v>16363954</v>
          </cell>
          <cell r="D94">
            <v>4863897</v>
          </cell>
          <cell r="F94">
            <v>7637</v>
          </cell>
          <cell r="H94">
            <v>3217533</v>
          </cell>
          <cell r="J94">
            <v>1549</v>
          </cell>
          <cell r="L94">
            <v>6875806</v>
          </cell>
          <cell r="N94">
            <v>18020.969999999998</v>
          </cell>
          <cell r="O94">
            <v>100</v>
          </cell>
          <cell r="Q94">
            <v>114297</v>
          </cell>
          <cell r="S94">
            <v>422.93</v>
          </cell>
          <cell r="T94">
            <v>2130</v>
          </cell>
          <cell r="W94">
            <v>3373.02</v>
          </cell>
          <cell r="X94">
            <v>9.169653524492233</v>
          </cell>
          <cell r="Y94">
            <v>44</v>
          </cell>
          <cell r="AA94">
            <v>13595</v>
          </cell>
          <cell r="AC94">
            <v>43</v>
          </cell>
        </row>
        <row r="95">
          <cell r="B95">
            <v>17069905</v>
          </cell>
          <cell r="D95">
            <v>4989695</v>
          </cell>
          <cell r="F95">
            <v>7659</v>
          </cell>
          <cell r="H95">
            <v>3499748</v>
          </cell>
          <cell r="J95">
            <v>1553</v>
          </cell>
          <cell r="L95">
            <v>7376292</v>
          </cell>
          <cell r="N95">
            <v>17667.96</v>
          </cell>
          <cell r="O95">
            <v>100</v>
          </cell>
          <cell r="Q95">
            <v>120747</v>
          </cell>
          <cell r="S95">
            <v>422.93</v>
          </cell>
          <cell r="T95">
            <v>2130</v>
          </cell>
          <cell r="W95">
            <v>3383.28</v>
          </cell>
          <cell r="X95">
            <v>9.3906810035842305</v>
          </cell>
          <cell r="Y95">
            <v>45</v>
          </cell>
          <cell r="AA95">
            <v>13705</v>
          </cell>
          <cell r="AC95">
            <v>43</v>
          </cell>
        </row>
        <row r="96">
          <cell r="B96">
            <v>17698258</v>
          </cell>
          <cell r="D96">
            <v>5128548</v>
          </cell>
          <cell r="F96">
            <v>7681</v>
          </cell>
          <cell r="H96">
            <v>3589014</v>
          </cell>
          <cell r="J96">
            <v>1552</v>
          </cell>
          <cell r="L96">
            <v>7372559</v>
          </cell>
          <cell r="N96">
            <v>17799.79</v>
          </cell>
          <cell r="O96">
            <v>100</v>
          </cell>
          <cell r="Q96">
            <v>135338</v>
          </cell>
          <cell r="S96">
            <v>422.93</v>
          </cell>
          <cell r="T96">
            <v>2130</v>
          </cell>
          <cell r="W96">
            <v>3383.28</v>
          </cell>
          <cell r="X96">
            <v>9.3369175627240146</v>
          </cell>
          <cell r="Y96">
            <v>45</v>
          </cell>
          <cell r="AA96">
            <v>13588</v>
          </cell>
          <cell r="AC96">
            <v>43</v>
          </cell>
        </row>
        <row r="97">
          <cell r="B97">
            <v>16401389</v>
          </cell>
          <cell r="D97">
            <v>4951541</v>
          </cell>
          <cell r="F97">
            <v>7686</v>
          </cell>
          <cell r="H97">
            <v>3212977</v>
          </cell>
          <cell r="J97">
            <v>1554</v>
          </cell>
          <cell r="L97">
            <v>7002480</v>
          </cell>
          <cell r="N97">
            <v>18414.79</v>
          </cell>
          <cell r="O97">
            <v>100</v>
          </cell>
          <cell r="Q97">
            <v>148660</v>
          </cell>
          <cell r="S97">
            <v>422.93</v>
          </cell>
          <cell r="T97">
            <v>2130</v>
          </cell>
          <cell r="W97">
            <v>3383.28</v>
          </cell>
          <cell r="X97">
            <v>9.3369175627240146</v>
          </cell>
          <cell r="Y97">
            <v>45</v>
          </cell>
          <cell r="AA97">
            <v>13471</v>
          </cell>
          <cell r="AC97">
            <v>43</v>
          </cell>
        </row>
        <row r="98">
          <cell r="B98">
            <v>18036761</v>
          </cell>
          <cell r="D98">
            <v>6198939</v>
          </cell>
          <cell r="F98">
            <v>7693</v>
          </cell>
          <cell r="H98">
            <v>3302017</v>
          </cell>
          <cell r="J98">
            <v>1547</v>
          </cell>
          <cell r="L98">
            <v>6877714</v>
          </cell>
          <cell r="N98">
            <v>16701.349999999999</v>
          </cell>
          <cell r="O98">
            <v>101</v>
          </cell>
          <cell r="Q98">
            <v>172873</v>
          </cell>
          <cell r="S98">
            <v>422.93</v>
          </cell>
          <cell r="T98">
            <v>2130</v>
          </cell>
          <cell r="W98">
            <v>3383.28</v>
          </cell>
          <cell r="X98">
            <v>9.3369175627240146</v>
          </cell>
          <cell r="Y98">
            <v>45</v>
          </cell>
          <cell r="AA98">
            <v>13705</v>
          </cell>
          <cell r="AC98">
            <v>43</v>
          </cell>
        </row>
        <row r="99">
          <cell r="B99">
            <v>18073124</v>
          </cell>
          <cell r="D99">
            <v>6717269</v>
          </cell>
          <cell r="F99">
            <v>7697</v>
          </cell>
          <cell r="H99">
            <v>3363266</v>
          </cell>
          <cell r="J99">
            <v>1547</v>
          </cell>
          <cell r="L99">
            <v>6783876</v>
          </cell>
          <cell r="N99">
            <v>15863.66</v>
          </cell>
          <cell r="O99">
            <v>100</v>
          </cell>
          <cell r="Q99">
            <v>184398</v>
          </cell>
          <cell r="S99">
            <v>422.93</v>
          </cell>
          <cell r="T99">
            <v>2130</v>
          </cell>
          <cell r="W99">
            <v>3383.28</v>
          </cell>
          <cell r="X99">
            <v>9.3369175627240146</v>
          </cell>
          <cell r="Y99">
            <v>45</v>
          </cell>
          <cell r="AA99">
            <v>13471</v>
          </cell>
          <cell r="AC99">
            <v>43</v>
          </cell>
        </row>
        <row r="100">
          <cell r="B100">
            <v>21527001</v>
          </cell>
          <cell r="D100">
            <v>9203856</v>
          </cell>
          <cell r="F100">
            <v>7697</v>
          </cell>
          <cell r="H100">
            <v>4080764</v>
          </cell>
          <cell r="J100">
            <v>1547</v>
          </cell>
          <cell r="L100">
            <v>6420151</v>
          </cell>
          <cell r="N100">
            <v>16741.57</v>
          </cell>
          <cell r="O100">
            <v>99</v>
          </cell>
          <cell r="Q100">
            <v>199095</v>
          </cell>
          <cell r="S100">
            <v>422.93</v>
          </cell>
          <cell r="T100">
            <v>2130</v>
          </cell>
          <cell r="W100">
            <v>3383.28</v>
          </cell>
          <cell r="X100">
            <v>9.3369175627240146</v>
          </cell>
          <cell r="Y100">
            <v>45</v>
          </cell>
          <cell r="AA100">
            <v>13705</v>
          </cell>
          <cell r="AC100">
            <v>43</v>
          </cell>
        </row>
        <row r="101">
          <cell r="B101">
            <v>23172597</v>
          </cell>
          <cell r="D101">
            <v>9650649</v>
          </cell>
          <cell r="F101">
            <v>7713</v>
          </cell>
          <cell r="H101">
            <v>4312532</v>
          </cell>
          <cell r="J101">
            <v>1549</v>
          </cell>
          <cell r="L101">
            <v>7696133</v>
          </cell>
          <cell r="N101">
            <v>16473.400000000001</v>
          </cell>
          <cell r="O101">
            <v>100</v>
          </cell>
          <cell r="Q101">
            <v>193914</v>
          </cell>
          <cell r="S101">
            <v>422.93</v>
          </cell>
          <cell r="T101">
            <v>2130</v>
          </cell>
          <cell r="W101">
            <v>3383.28</v>
          </cell>
          <cell r="X101">
            <v>9.3369175627240146</v>
          </cell>
          <cell r="Y101">
            <v>45</v>
          </cell>
          <cell r="AA101">
            <v>13588</v>
          </cell>
          <cell r="AC101">
            <v>41</v>
          </cell>
        </row>
        <row r="102">
          <cell r="B102">
            <v>20395977</v>
          </cell>
          <cell r="D102">
            <v>8233322.7400000002</v>
          </cell>
          <cell r="F102">
            <v>7712</v>
          </cell>
          <cell r="H102">
            <v>3840843</v>
          </cell>
          <cell r="J102">
            <v>1549</v>
          </cell>
          <cell r="L102">
            <v>6198986</v>
          </cell>
          <cell r="N102">
            <v>16190.279999999999</v>
          </cell>
          <cell r="O102">
            <v>99</v>
          </cell>
          <cell r="Q102">
            <v>175728</v>
          </cell>
          <cell r="S102">
            <v>422.93</v>
          </cell>
          <cell r="T102">
            <v>2130</v>
          </cell>
          <cell r="W102">
            <v>3383.28</v>
          </cell>
          <cell r="X102">
            <v>9.3369175627240146</v>
          </cell>
          <cell r="Y102">
            <v>45</v>
          </cell>
          <cell r="AA102">
            <v>12377</v>
          </cell>
          <cell r="AC102">
            <v>42</v>
          </cell>
        </row>
        <row r="103">
          <cell r="B103">
            <v>18966083</v>
          </cell>
          <cell r="D103">
            <v>6942317.3099999996</v>
          </cell>
          <cell r="F103">
            <v>7723</v>
          </cell>
          <cell r="H103">
            <v>3558896</v>
          </cell>
          <cell r="J103">
            <v>1547</v>
          </cell>
          <cell r="L103">
            <v>6497245</v>
          </cell>
          <cell r="N103">
            <v>15868.349999999999</v>
          </cell>
          <cell r="O103">
            <v>99</v>
          </cell>
          <cell r="Q103">
            <v>161560</v>
          </cell>
          <cell r="S103">
            <v>422.93</v>
          </cell>
          <cell r="T103">
            <v>2130</v>
          </cell>
          <cell r="W103">
            <v>3383.28</v>
          </cell>
          <cell r="X103">
            <v>9.3369175627240146</v>
          </cell>
          <cell r="Y103">
            <v>45</v>
          </cell>
          <cell r="AA103">
            <v>12761</v>
          </cell>
          <cell r="AC103">
            <v>42</v>
          </cell>
        </row>
        <row r="104">
          <cell r="B104">
            <v>15876110</v>
          </cell>
          <cell r="D104">
            <v>5481458.8700000001</v>
          </cell>
          <cell r="F104">
            <v>7721</v>
          </cell>
          <cell r="H104">
            <v>3045834</v>
          </cell>
          <cell r="J104">
            <v>1550</v>
          </cell>
          <cell r="L104">
            <v>6046098</v>
          </cell>
          <cell r="N104">
            <v>16108.46</v>
          </cell>
          <cell r="O104">
            <v>99</v>
          </cell>
          <cell r="Q104">
            <v>137770</v>
          </cell>
          <cell r="S104">
            <v>422.93</v>
          </cell>
          <cell r="T104">
            <v>2130</v>
          </cell>
          <cell r="W104">
            <v>3383.28</v>
          </cell>
          <cell r="X104">
            <v>9.1845878136200731</v>
          </cell>
          <cell r="Y104">
            <v>45</v>
          </cell>
          <cell r="AA104">
            <v>12962</v>
          </cell>
          <cell r="AC104">
            <v>41</v>
          </cell>
        </row>
        <row r="105">
          <cell r="B105">
            <v>16780450</v>
          </cell>
          <cell r="D105">
            <v>5254446</v>
          </cell>
          <cell r="F105">
            <v>7722</v>
          </cell>
          <cell r="H105">
            <v>3221337</v>
          </cell>
          <cell r="J105">
            <v>1554</v>
          </cell>
          <cell r="L105">
            <v>6965887</v>
          </cell>
          <cell r="N105">
            <v>17592.05</v>
          </cell>
          <cell r="O105">
            <v>100</v>
          </cell>
          <cell r="Q105">
            <v>125716.53</v>
          </cell>
          <cell r="S105">
            <v>422.93</v>
          </cell>
          <cell r="T105">
            <v>2130</v>
          </cell>
          <cell r="W105">
            <v>3383.28</v>
          </cell>
          <cell r="X105">
            <v>9.4360319182751855</v>
          </cell>
          <cell r="Y105">
            <v>45</v>
          </cell>
          <cell r="AA105">
            <v>11256</v>
          </cell>
          <cell r="AC105">
            <v>41</v>
          </cell>
        </row>
        <row r="106">
          <cell r="B106">
            <v>15920655</v>
          </cell>
          <cell r="D106">
            <v>4967109</v>
          </cell>
          <cell r="F106">
            <v>7728</v>
          </cell>
          <cell r="H106">
            <v>3314646</v>
          </cell>
          <cell r="J106">
            <v>1553</v>
          </cell>
          <cell r="L106">
            <v>6770764</v>
          </cell>
          <cell r="N106">
            <v>17768.57</v>
          </cell>
          <cell r="O106">
            <v>100</v>
          </cell>
          <cell r="Q106">
            <v>114297.44</v>
          </cell>
          <cell r="S106">
            <v>422.93</v>
          </cell>
          <cell r="T106">
            <v>2130</v>
          </cell>
          <cell r="W106">
            <v>3383.28</v>
          </cell>
          <cell r="X106">
            <v>9.4036697247706424</v>
          </cell>
          <cell r="Y106">
            <v>45</v>
          </cell>
          <cell r="AA106">
            <v>11256</v>
          </cell>
          <cell r="AC106">
            <v>41</v>
          </cell>
        </row>
        <row r="107">
          <cell r="B107">
            <v>18247719</v>
          </cell>
          <cell r="D107">
            <v>5689075</v>
          </cell>
          <cell r="F107">
            <v>7750</v>
          </cell>
          <cell r="H107">
            <v>3957008</v>
          </cell>
          <cell r="J107">
            <v>1555</v>
          </cell>
          <cell r="L107">
            <v>7551793</v>
          </cell>
          <cell r="N107">
            <v>18319.420000000002</v>
          </cell>
          <cell r="O107">
            <v>100</v>
          </cell>
          <cell r="Q107">
            <v>120747.01</v>
          </cell>
          <cell r="S107">
            <v>422.93</v>
          </cell>
          <cell r="T107">
            <v>2130</v>
          </cell>
          <cell r="W107">
            <v>3383.28</v>
          </cell>
          <cell r="X107">
            <v>9.4036697247706424</v>
          </cell>
          <cell r="Y107">
            <v>45</v>
          </cell>
          <cell r="AA107">
            <v>11256</v>
          </cell>
          <cell r="AC107">
            <v>41</v>
          </cell>
        </row>
        <row r="108">
          <cell r="B108">
            <v>18196813</v>
          </cell>
          <cell r="D108">
            <v>5245990</v>
          </cell>
          <cell r="F108">
            <v>7777</v>
          </cell>
          <cell r="H108">
            <v>3483296</v>
          </cell>
          <cell r="J108">
            <v>1555</v>
          </cell>
          <cell r="L108">
            <v>7521522</v>
          </cell>
          <cell r="N108">
            <v>17658.739999999998</v>
          </cell>
          <cell r="O108">
            <v>100</v>
          </cell>
          <cell r="Q108">
            <v>135338.20000000001</v>
          </cell>
          <cell r="S108">
            <v>422.93</v>
          </cell>
          <cell r="T108">
            <v>2130</v>
          </cell>
          <cell r="W108">
            <v>3383.28</v>
          </cell>
          <cell r="X108">
            <v>9.4036697247706424</v>
          </cell>
          <cell r="Y108">
            <v>44</v>
          </cell>
          <cell r="AA108">
            <v>11256</v>
          </cell>
          <cell r="AC108">
            <v>41</v>
          </cell>
        </row>
        <row r="109">
          <cell r="B109">
            <v>16287609</v>
          </cell>
          <cell r="D109">
            <v>4851493</v>
          </cell>
          <cell r="F109">
            <v>7781</v>
          </cell>
          <cell r="H109">
            <v>3090081</v>
          </cell>
          <cell r="J109">
            <v>1555</v>
          </cell>
          <cell r="L109">
            <v>7130382</v>
          </cell>
          <cell r="N109">
            <v>18359.02</v>
          </cell>
          <cell r="O109">
            <v>100</v>
          </cell>
          <cell r="Q109">
            <v>148660.32999999999</v>
          </cell>
          <cell r="S109">
            <v>422.93</v>
          </cell>
          <cell r="T109">
            <v>2130</v>
          </cell>
          <cell r="W109">
            <v>3383.28</v>
          </cell>
          <cell r="X109">
            <v>9.4036697247706424</v>
          </cell>
          <cell r="Y109">
            <v>44</v>
          </cell>
          <cell r="AA109">
            <v>11256</v>
          </cell>
          <cell r="AC109">
            <v>41</v>
          </cell>
        </row>
        <row r="110">
          <cell r="B110">
            <v>17018502</v>
          </cell>
          <cell r="D110">
            <v>5881677</v>
          </cell>
          <cell r="F110">
            <v>7781</v>
          </cell>
          <cell r="H110">
            <v>3187753</v>
          </cell>
          <cell r="J110">
            <v>1552</v>
          </cell>
          <cell r="L110">
            <v>6790065</v>
          </cell>
          <cell r="N110">
            <v>16672.150000000001</v>
          </cell>
          <cell r="O110">
            <v>100</v>
          </cell>
          <cell r="Q110">
            <v>172873.32</v>
          </cell>
          <cell r="S110">
            <v>422.93</v>
          </cell>
          <cell r="T110">
            <v>2130</v>
          </cell>
          <cell r="W110">
            <v>3385.2</v>
          </cell>
          <cell r="X110">
            <v>9.4036697247706424</v>
          </cell>
          <cell r="Y110">
            <v>44</v>
          </cell>
          <cell r="AA110">
            <v>11256</v>
          </cell>
          <cell r="AC110">
            <v>41</v>
          </cell>
        </row>
        <row r="111">
          <cell r="B111">
            <v>18275778</v>
          </cell>
          <cell r="D111">
            <v>7129924</v>
          </cell>
          <cell r="F111">
            <v>7782</v>
          </cell>
          <cell r="H111">
            <v>3561988</v>
          </cell>
          <cell r="J111">
            <v>1556</v>
          </cell>
          <cell r="L111">
            <v>6636045</v>
          </cell>
          <cell r="N111">
            <v>16296.32</v>
          </cell>
          <cell r="O111">
            <v>101</v>
          </cell>
          <cell r="Q111">
            <v>184397.96</v>
          </cell>
          <cell r="S111">
            <v>422.93</v>
          </cell>
          <cell r="T111">
            <v>2130</v>
          </cell>
          <cell r="W111">
            <v>3468.84</v>
          </cell>
          <cell r="X111">
            <v>9.4036697247706424</v>
          </cell>
          <cell r="Y111">
            <v>45</v>
          </cell>
          <cell r="AA111">
            <v>11256</v>
          </cell>
          <cell r="AC111">
            <v>41</v>
          </cell>
        </row>
        <row r="112">
          <cell r="B112">
            <v>22070790</v>
          </cell>
          <cell r="D112">
            <v>9725660</v>
          </cell>
          <cell r="F112">
            <v>7785</v>
          </cell>
          <cell r="H112">
            <v>4413802</v>
          </cell>
          <cell r="J112">
            <v>1558</v>
          </cell>
          <cell r="L112">
            <v>6803019</v>
          </cell>
          <cell r="N112">
            <v>16278.75</v>
          </cell>
          <cell r="O112">
            <v>100</v>
          </cell>
          <cell r="Q112">
            <v>199095.16</v>
          </cell>
          <cell r="S112">
            <v>422.93</v>
          </cell>
          <cell r="T112">
            <v>2130</v>
          </cell>
          <cell r="W112">
            <v>3307.68</v>
          </cell>
          <cell r="X112">
            <v>9.1913013931362553</v>
          </cell>
          <cell r="Y112">
            <v>43</v>
          </cell>
          <cell r="AA112">
            <v>11256</v>
          </cell>
          <cell r="AC112">
            <v>41</v>
          </cell>
        </row>
        <row r="113">
          <cell r="B113">
            <v>23225566</v>
          </cell>
          <cell r="D113">
            <v>9354524</v>
          </cell>
          <cell r="F113">
            <v>7779</v>
          </cell>
          <cell r="H113">
            <v>4266523</v>
          </cell>
          <cell r="J113">
            <v>1559</v>
          </cell>
          <cell r="L113">
            <v>6743014</v>
          </cell>
          <cell r="N113">
            <v>15850.44</v>
          </cell>
          <cell r="O113">
            <v>100</v>
          </cell>
          <cell r="Q113">
            <v>193913.97</v>
          </cell>
          <cell r="S113">
            <v>422.93</v>
          </cell>
          <cell r="T113">
            <v>2130</v>
          </cell>
          <cell r="W113">
            <v>3451.32</v>
          </cell>
          <cell r="X113">
            <v>9.5820591233435266</v>
          </cell>
          <cell r="Y113">
            <v>44</v>
          </cell>
          <cell r="AA113">
            <v>10896</v>
          </cell>
          <cell r="AC113">
            <v>41</v>
          </cell>
        </row>
        <row r="114">
          <cell r="B114">
            <v>20579135</v>
          </cell>
          <cell r="D114">
            <v>8668035</v>
          </cell>
          <cell r="F114">
            <v>7859</v>
          </cell>
          <cell r="H114">
            <v>4101244</v>
          </cell>
          <cell r="J114">
            <v>1560</v>
          </cell>
          <cell r="L114">
            <v>6792956</v>
          </cell>
          <cell r="N114">
            <v>16909.34</v>
          </cell>
          <cell r="O114">
            <v>100</v>
          </cell>
          <cell r="Q114">
            <v>175727.9</v>
          </cell>
          <cell r="S114">
            <v>422.93</v>
          </cell>
          <cell r="T114">
            <v>2130</v>
          </cell>
          <cell r="W114">
            <v>3383.28</v>
          </cell>
          <cell r="X114">
            <v>9.4036697247706424</v>
          </cell>
          <cell r="Y114">
            <v>44</v>
          </cell>
          <cell r="AA114">
            <v>11016</v>
          </cell>
          <cell r="AC114">
            <v>41</v>
          </cell>
        </row>
        <row r="115">
          <cell r="B115">
            <v>20876532</v>
          </cell>
          <cell r="D115">
            <v>7989855</v>
          </cell>
          <cell r="F115">
            <v>7873</v>
          </cell>
          <cell r="H115">
            <v>3999450</v>
          </cell>
          <cell r="J115">
            <v>1560</v>
          </cell>
          <cell r="L115">
            <v>6541365.9500000002</v>
          </cell>
          <cell r="N115">
            <v>14638.720000000001</v>
          </cell>
          <cell r="O115">
            <v>100</v>
          </cell>
          <cell r="Q115">
            <v>161559.79999999999</v>
          </cell>
          <cell r="S115">
            <v>422.93</v>
          </cell>
          <cell r="T115">
            <v>2130</v>
          </cell>
          <cell r="W115">
            <v>3383.28</v>
          </cell>
          <cell r="X115">
            <v>9.4036697247706424</v>
          </cell>
          <cell r="Y115">
            <v>44</v>
          </cell>
          <cell r="AA115">
            <v>10976</v>
          </cell>
          <cell r="AC115">
            <v>40</v>
          </cell>
        </row>
        <row r="116">
          <cell r="B116">
            <v>17445769</v>
          </cell>
          <cell r="D116">
            <v>6277867</v>
          </cell>
          <cell r="F116">
            <v>7874</v>
          </cell>
          <cell r="H116">
            <v>3203926</v>
          </cell>
          <cell r="J116">
            <v>1562</v>
          </cell>
          <cell r="L116">
            <v>6650049</v>
          </cell>
          <cell r="N116">
            <v>16531.3</v>
          </cell>
          <cell r="O116">
            <v>100</v>
          </cell>
          <cell r="Q116">
            <v>137769.95000000001</v>
          </cell>
          <cell r="S116">
            <v>422.93</v>
          </cell>
          <cell r="T116">
            <v>2130</v>
          </cell>
          <cell r="W116">
            <v>3383.28</v>
          </cell>
          <cell r="X116">
            <v>9.4036697247706424</v>
          </cell>
          <cell r="Y116">
            <v>44</v>
          </cell>
          <cell r="AA116">
            <v>11216</v>
          </cell>
          <cell r="AC116">
            <v>40</v>
          </cell>
        </row>
        <row r="117">
          <cell r="B117">
            <v>16194222</v>
          </cell>
          <cell r="D117">
            <v>5107261</v>
          </cell>
          <cell r="F117">
            <v>7869</v>
          </cell>
          <cell r="H117">
            <v>3123674</v>
          </cell>
          <cell r="J117">
            <v>1568</v>
          </cell>
          <cell r="L117">
            <v>6963741</v>
          </cell>
          <cell r="N117">
            <v>17686.39</v>
          </cell>
          <cell r="O117">
            <v>101</v>
          </cell>
          <cell r="Q117">
            <v>125715.92</v>
          </cell>
          <cell r="S117">
            <v>422.93</v>
          </cell>
          <cell r="T117">
            <v>2130</v>
          </cell>
          <cell r="W117">
            <v>3383.28</v>
          </cell>
          <cell r="X117">
            <v>9.4396536427836342</v>
          </cell>
          <cell r="Y117">
            <v>45</v>
          </cell>
          <cell r="AA117">
            <v>11216</v>
          </cell>
          <cell r="AC117">
            <v>40</v>
          </cell>
        </row>
        <row r="118">
          <cell r="B118">
            <v>15886340</v>
          </cell>
          <cell r="D118">
            <v>4603337.8</v>
          </cell>
          <cell r="F118">
            <v>7880</v>
          </cell>
          <cell r="H118">
            <v>3172369.81</v>
          </cell>
          <cell r="J118">
            <v>1568</v>
          </cell>
          <cell r="L118">
            <v>6724924.5</v>
          </cell>
          <cell r="N118">
            <v>16835.239999999998</v>
          </cell>
          <cell r="O118">
            <v>101</v>
          </cell>
          <cell r="Q118">
            <v>114296.83</v>
          </cell>
          <cell r="S118">
            <v>422.93</v>
          </cell>
          <cell r="T118">
            <v>2130</v>
          </cell>
          <cell r="W118">
            <v>3383.28</v>
          </cell>
          <cell r="X118">
            <v>9.4396536427836342</v>
          </cell>
          <cell r="Y118">
            <v>45</v>
          </cell>
          <cell r="AA118">
            <v>10917</v>
          </cell>
          <cell r="AC118">
            <v>40</v>
          </cell>
        </row>
        <row r="119">
          <cell r="B119">
            <v>17258128</v>
          </cell>
          <cell r="D119">
            <v>5532918.1200000001</v>
          </cell>
          <cell r="F119">
            <v>7883</v>
          </cell>
          <cell r="H119">
            <v>3772352.37</v>
          </cell>
          <cell r="J119">
            <v>1561</v>
          </cell>
          <cell r="L119">
            <v>7711766.6400000006</v>
          </cell>
          <cell r="N119">
            <v>18397.53</v>
          </cell>
          <cell r="O119">
            <v>101</v>
          </cell>
          <cell r="Q119">
            <v>120746.45</v>
          </cell>
          <cell r="S119">
            <v>422.93</v>
          </cell>
          <cell r="T119">
            <v>2130</v>
          </cell>
          <cell r="W119">
            <v>3383.28</v>
          </cell>
          <cell r="X119">
            <v>9.4396536427836342</v>
          </cell>
          <cell r="Y119">
            <v>45</v>
          </cell>
          <cell r="AA119">
            <v>11515</v>
          </cell>
          <cell r="AC119">
            <v>39</v>
          </cell>
        </row>
        <row r="120">
          <cell r="B120">
            <v>18380514</v>
          </cell>
          <cell r="D120">
            <v>5050407.8099999996</v>
          </cell>
          <cell r="F120">
            <v>7906</v>
          </cell>
          <cell r="H120">
            <v>3507767.38</v>
          </cell>
          <cell r="J120">
            <v>1560</v>
          </cell>
          <cell r="L120">
            <v>7368943.8599999994</v>
          </cell>
          <cell r="N120">
            <v>16729.490000000002</v>
          </cell>
          <cell r="O120">
            <v>101</v>
          </cell>
          <cell r="Q120">
            <v>135337.5</v>
          </cell>
          <cell r="S120">
            <v>422.93</v>
          </cell>
          <cell r="T120">
            <v>2130</v>
          </cell>
          <cell r="W120">
            <v>3383.28</v>
          </cell>
          <cell r="X120">
            <v>9.4396536427836342</v>
          </cell>
          <cell r="Y120">
            <v>45</v>
          </cell>
          <cell r="AA120">
            <v>11147</v>
          </cell>
          <cell r="AC120">
            <v>39</v>
          </cell>
        </row>
        <row r="121">
          <cell r="B121">
            <v>16097698</v>
          </cell>
          <cell r="D121">
            <v>4697885</v>
          </cell>
          <cell r="F121">
            <v>7912</v>
          </cell>
          <cell r="H121">
            <v>3061047.88</v>
          </cell>
          <cell r="J121">
            <v>1561</v>
          </cell>
          <cell r="L121">
            <v>7187659</v>
          </cell>
          <cell r="N121">
            <v>18140.440000000002</v>
          </cell>
          <cell r="O121">
            <v>101</v>
          </cell>
          <cell r="Q121">
            <v>148659.87</v>
          </cell>
          <cell r="S121">
            <v>422.93</v>
          </cell>
          <cell r="T121">
            <v>2130</v>
          </cell>
          <cell r="W121">
            <v>3383.28</v>
          </cell>
          <cell r="X121">
            <v>9.4396536427836342</v>
          </cell>
          <cell r="Y121">
            <v>45</v>
          </cell>
          <cell r="AA121">
            <v>11147</v>
          </cell>
          <cell r="AC121">
            <v>39</v>
          </cell>
        </row>
        <row r="122">
          <cell r="B122">
            <v>16772439</v>
          </cell>
          <cell r="D122">
            <v>5603120.9500000002</v>
          </cell>
          <cell r="F122">
            <v>7924</v>
          </cell>
          <cell r="H122">
            <v>3145807.11</v>
          </cell>
          <cell r="J122">
            <v>1564</v>
          </cell>
          <cell r="L122">
            <v>7019453.25</v>
          </cell>
          <cell r="N122">
            <v>17193.919999999998</v>
          </cell>
          <cell r="O122">
            <v>101</v>
          </cell>
          <cell r="Q122">
            <v>172872.55</v>
          </cell>
          <cell r="S122">
            <v>422.93</v>
          </cell>
          <cell r="T122">
            <v>2130</v>
          </cell>
          <cell r="W122">
            <v>3383.28</v>
          </cell>
          <cell r="X122">
            <v>9.4396536427836342</v>
          </cell>
          <cell r="Y122">
            <v>45</v>
          </cell>
          <cell r="AA122">
            <v>10355</v>
          </cell>
          <cell r="AC122">
            <v>39</v>
          </cell>
        </row>
        <row r="123">
          <cell r="B123">
            <v>18043769</v>
          </cell>
          <cell r="D123">
            <v>6479516.2599999998</v>
          </cell>
          <cell r="F123">
            <v>7930</v>
          </cell>
          <cell r="H123">
            <v>3347026.4</v>
          </cell>
          <cell r="J123">
            <v>1567</v>
          </cell>
          <cell r="L123">
            <v>7176663.2599999998</v>
          </cell>
          <cell r="N123">
            <v>17239.28</v>
          </cell>
          <cell r="O123">
            <v>101</v>
          </cell>
          <cell r="Q123">
            <v>184397.32</v>
          </cell>
          <cell r="S123">
            <v>422.93</v>
          </cell>
          <cell r="T123">
            <v>2130</v>
          </cell>
          <cell r="W123">
            <v>3383.28</v>
          </cell>
          <cell r="X123">
            <v>9.4396536427836342</v>
          </cell>
          <cell r="Y123">
            <v>45</v>
          </cell>
          <cell r="AA123">
            <v>11147</v>
          </cell>
          <cell r="AC123">
            <v>38</v>
          </cell>
        </row>
        <row r="124">
          <cell r="B124">
            <v>20999780</v>
          </cell>
          <cell r="D124">
            <v>8279862.6699999999</v>
          </cell>
          <cell r="F124">
            <v>7933</v>
          </cell>
          <cell r="H124">
            <v>4033576.36</v>
          </cell>
          <cell r="J124">
            <v>1569</v>
          </cell>
          <cell r="L124">
            <v>6716087.4899999993</v>
          </cell>
          <cell r="N124">
            <v>16509.98</v>
          </cell>
          <cell r="O124">
            <v>101</v>
          </cell>
          <cell r="Q124">
            <v>199094.17</v>
          </cell>
          <cell r="S124">
            <v>422.93</v>
          </cell>
          <cell r="T124">
            <v>2130</v>
          </cell>
          <cell r="W124">
            <v>3383.2579999999998</v>
          </cell>
          <cell r="X124">
            <v>9.3979388888888877</v>
          </cell>
          <cell r="Y124">
            <v>45</v>
          </cell>
          <cell r="AA124">
            <v>10355</v>
          </cell>
          <cell r="AC124">
            <v>38</v>
          </cell>
        </row>
        <row r="125">
          <cell r="B125">
            <v>22123496</v>
          </cell>
          <cell r="D125">
            <v>9051632.7899999991</v>
          </cell>
          <cell r="F125">
            <v>7933</v>
          </cell>
          <cell r="H125">
            <v>4268163.7433333332</v>
          </cell>
          <cell r="J125">
            <v>1569</v>
          </cell>
          <cell r="L125">
            <v>7202885.4499999993</v>
          </cell>
          <cell r="N125">
            <v>16391.239999999998</v>
          </cell>
          <cell r="O125">
            <v>101</v>
          </cell>
          <cell r="Q125">
            <v>194262.23</v>
          </cell>
          <cell r="S125">
            <v>423.93</v>
          </cell>
          <cell r="T125">
            <v>2130</v>
          </cell>
          <cell r="W125">
            <v>3327.84</v>
          </cell>
          <cell r="X125">
            <v>9.2439999999999998</v>
          </cell>
          <cell r="Y125">
            <v>44</v>
          </cell>
          <cell r="AA125">
            <v>10355</v>
          </cell>
          <cell r="AC125">
            <v>38</v>
          </cell>
        </row>
        <row r="126">
          <cell r="B126">
            <v>20242351</v>
          </cell>
          <cell r="D126">
            <v>7828812.8300000001</v>
          </cell>
          <cell r="F126">
            <v>7934</v>
          </cell>
          <cell r="H126">
            <v>3895143.5933333333</v>
          </cell>
          <cell r="J126">
            <v>1571</v>
          </cell>
          <cell r="L126">
            <v>7142704.1799999997</v>
          </cell>
          <cell r="N126">
            <v>17060.98</v>
          </cell>
          <cell r="O126">
            <v>101</v>
          </cell>
          <cell r="Q126">
            <v>182208.45</v>
          </cell>
          <cell r="S126">
            <v>423.93</v>
          </cell>
          <cell r="T126">
            <v>2130</v>
          </cell>
          <cell r="W126">
            <v>3307.68</v>
          </cell>
          <cell r="X126">
            <v>9.1879999999999988</v>
          </cell>
          <cell r="Y126">
            <v>44</v>
          </cell>
          <cell r="AA126">
            <v>10355</v>
          </cell>
          <cell r="AC126">
            <v>38</v>
          </cell>
        </row>
        <row r="127">
          <cell r="B127">
            <v>19084013</v>
          </cell>
          <cell r="D127">
            <v>6808245.96</v>
          </cell>
          <cell r="F127">
            <v>7933</v>
          </cell>
          <cell r="H127">
            <v>3633811.5933333333</v>
          </cell>
          <cell r="J127">
            <v>1568</v>
          </cell>
          <cell r="L127">
            <v>7319416.0899999999</v>
          </cell>
          <cell r="N127">
            <v>17818.21</v>
          </cell>
          <cell r="O127">
            <v>101</v>
          </cell>
          <cell r="Q127">
            <v>140244.69</v>
          </cell>
          <cell r="S127">
            <v>409.75</v>
          </cell>
          <cell r="T127">
            <v>2044</v>
          </cell>
          <cell r="W127">
            <v>3307.68</v>
          </cell>
          <cell r="X127">
            <v>9.1879999999999988</v>
          </cell>
          <cell r="Y127">
            <v>44</v>
          </cell>
          <cell r="AA127">
            <v>10355</v>
          </cell>
          <cell r="AC127">
            <v>38</v>
          </cell>
        </row>
        <row r="128">
          <cell r="B128">
            <v>17209601</v>
          </cell>
          <cell r="D128">
            <v>6075287.6100000003</v>
          </cell>
          <cell r="F128">
            <v>7932</v>
          </cell>
          <cell r="H128">
            <v>3171207.1133333333</v>
          </cell>
          <cell r="J128">
            <v>1568</v>
          </cell>
          <cell r="L128">
            <v>6666611</v>
          </cell>
          <cell r="N128">
            <v>16972.88</v>
          </cell>
          <cell r="O128">
            <v>101</v>
          </cell>
          <cell r="Q128">
            <v>119644.62</v>
          </cell>
          <cell r="S128">
            <v>367.22</v>
          </cell>
          <cell r="T128">
            <v>2044</v>
          </cell>
          <cell r="W128">
            <v>3307.68</v>
          </cell>
          <cell r="X128">
            <v>9.1879999999999988</v>
          </cell>
          <cell r="Y128">
            <v>44</v>
          </cell>
          <cell r="AA128">
            <v>10355</v>
          </cell>
          <cell r="AC128">
            <v>38</v>
          </cell>
        </row>
        <row r="129">
          <cell r="B129">
            <v>16687678</v>
          </cell>
          <cell r="D129">
            <v>4938384.59</v>
          </cell>
          <cell r="F129">
            <v>7942</v>
          </cell>
          <cell r="H129">
            <v>3152250.0733333337</v>
          </cell>
          <cell r="J129">
            <v>1568</v>
          </cell>
          <cell r="L129">
            <v>7355846.9500000002</v>
          </cell>
          <cell r="N129">
            <v>18383.809999999998</v>
          </cell>
          <cell r="O129">
            <v>101</v>
          </cell>
          <cell r="Q129">
            <v>109207.5</v>
          </cell>
          <cell r="S129">
            <v>367.22</v>
          </cell>
          <cell r="T129">
            <v>2044</v>
          </cell>
          <cell r="W129">
            <v>3307.68</v>
          </cell>
          <cell r="X129">
            <v>9.1879999999999988</v>
          </cell>
          <cell r="Y129">
            <v>44</v>
          </cell>
          <cell r="AA129">
            <v>10355</v>
          </cell>
          <cell r="AC129">
            <v>38</v>
          </cell>
        </row>
        <row r="130">
          <cell r="B130">
            <v>16873748</v>
          </cell>
          <cell r="D130">
            <v>4977422.67</v>
          </cell>
          <cell r="F130">
            <v>7950</v>
          </cell>
          <cell r="H130">
            <v>3263955.8033333337</v>
          </cell>
          <cell r="J130">
            <v>1567</v>
          </cell>
          <cell r="L130">
            <v>7274045.6099999994</v>
          </cell>
          <cell r="N130">
            <v>18219.28</v>
          </cell>
          <cell r="O130">
            <v>101</v>
          </cell>
          <cell r="Q130">
            <v>98949.21</v>
          </cell>
          <cell r="S130">
            <v>366.88</v>
          </cell>
          <cell r="T130">
            <v>2032</v>
          </cell>
          <cell r="W130">
            <v>3307.68</v>
          </cell>
          <cell r="X130">
            <v>9.1879999999999988</v>
          </cell>
          <cell r="Y130">
            <v>47</v>
          </cell>
          <cell r="AA130">
            <v>10355</v>
          </cell>
          <cell r="AC130">
            <v>38</v>
          </cell>
        </row>
        <row r="131">
          <cell r="B131">
            <v>18602181</v>
          </cell>
          <cell r="D131">
            <v>5593234.1600000001</v>
          </cell>
          <cell r="F131">
            <v>7965</v>
          </cell>
          <cell r="H131">
            <v>3751774.8133333335</v>
          </cell>
          <cell r="J131">
            <v>1574</v>
          </cell>
          <cell r="L131">
            <v>7648577.3499999996</v>
          </cell>
          <cell r="N131">
            <v>17810.52</v>
          </cell>
          <cell r="O131">
            <v>100</v>
          </cell>
          <cell r="Q131">
            <v>104262.43</v>
          </cell>
          <cell r="S131">
            <v>365.85</v>
          </cell>
          <cell r="T131">
            <v>2032</v>
          </cell>
          <cell r="W131">
            <v>3307.68</v>
          </cell>
          <cell r="X131">
            <v>9.1879999999999988</v>
          </cell>
          <cell r="Y131">
            <v>47</v>
          </cell>
          <cell r="AA131">
            <v>10355</v>
          </cell>
          <cell r="AC131">
            <v>38</v>
          </cell>
        </row>
        <row r="132">
          <cell r="B132">
            <v>17842083</v>
          </cell>
          <cell r="D132">
            <v>5148704.55</v>
          </cell>
          <cell r="F132">
            <v>7984</v>
          </cell>
          <cell r="H132">
            <v>3575904.8233333337</v>
          </cell>
          <cell r="J132">
            <v>1574</v>
          </cell>
          <cell r="L132">
            <v>7577219.3200000003</v>
          </cell>
          <cell r="N132">
            <v>17908.29</v>
          </cell>
          <cell r="O132">
            <v>100</v>
          </cell>
          <cell r="Q132">
            <v>116834.73</v>
          </cell>
          <cell r="S132">
            <v>365.02</v>
          </cell>
          <cell r="T132">
            <v>1798</v>
          </cell>
          <cell r="W132">
            <v>3307.68</v>
          </cell>
          <cell r="X132">
            <v>9.1879999999999988</v>
          </cell>
          <cell r="Y132">
            <v>47</v>
          </cell>
          <cell r="AA132">
            <v>10355</v>
          </cell>
          <cell r="AC132">
            <v>38</v>
          </cell>
        </row>
        <row r="133">
          <cell r="B133">
            <v>16388268</v>
          </cell>
          <cell r="D133">
            <v>4877514.0199999996</v>
          </cell>
          <cell r="F133">
            <v>7987</v>
          </cell>
          <cell r="H133">
            <v>3026113.7333333334</v>
          </cell>
          <cell r="J133">
            <v>1574</v>
          </cell>
          <cell r="L133">
            <v>6913508.4000000004</v>
          </cell>
          <cell r="N133">
            <v>16322.579999999998</v>
          </cell>
          <cell r="O133">
            <v>100</v>
          </cell>
          <cell r="Q133">
            <v>125651.22</v>
          </cell>
          <cell r="S133">
            <v>363.13</v>
          </cell>
          <cell r="T133">
            <v>1798</v>
          </cell>
          <cell r="W133">
            <v>3307.68</v>
          </cell>
          <cell r="X133">
            <v>9.1879999999999988</v>
          </cell>
          <cell r="Y133">
            <v>47</v>
          </cell>
          <cell r="AA133">
            <v>10355</v>
          </cell>
          <cell r="AC133">
            <v>38</v>
          </cell>
        </row>
        <row r="134">
          <cell r="B134">
            <v>17559665</v>
          </cell>
          <cell r="D134">
            <v>5772485.1500000004</v>
          </cell>
          <cell r="F134">
            <v>7994</v>
          </cell>
          <cell r="H134">
            <v>3190363.8133333335</v>
          </cell>
          <cell r="J134">
            <v>1579</v>
          </cell>
          <cell r="L134">
            <v>7332458.9299999997</v>
          </cell>
          <cell r="N134">
            <v>17142.760000000002</v>
          </cell>
          <cell r="O134">
            <v>100</v>
          </cell>
          <cell r="Q134">
            <v>146059.70000000001</v>
          </cell>
          <cell r="S134">
            <v>357.48</v>
          </cell>
          <cell r="T134">
            <v>1798</v>
          </cell>
          <cell r="W134">
            <v>3308</v>
          </cell>
          <cell r="X134">
            <v>9.1888888888888882</v>
          </cell>
          <cell r="Y134">
            <v>47</v>
          </cell>
          <cell r="AA134">
            <v>10355</v>
          </cell>
          <cell r="AC134">
            <v>38</v>
          </cell>
        </row>
        <row r="135">
          <cell r="B135">
            <v>18898878</v>
          </cell>
          <cell r="D135">
            <v>7005441.9000000004</v>
          </cell>
          <cell r="F135">
            <v>7993</v>
          </cell>
          <cell r="H135">
            <v>3567176.4933333336</v>
          </cell>
          <cell r="J135">
            <v>1579</v>
          </cell>
          <cell r="L135">
            <v>6897621.1099999994</v>
          </cell>
          <cell r="N135">
            <v>16356.119999999999</v>
          </cell>
          <cell r="O135">
            <v>100</v>
          </cell>
          <cell r="Q135">
            <v>155773.78</v>
          </cell>
          <cell r="S135">
            <v>357.48</v>
          </cell>
          <cell r="T135">
            <v>1798</v>
          </cell>
          <cell r="W135">
            <v>3331.8</v>
          </cell>
          <cell r="X135">
            <v>9.2550000000000008</v>
          </cell>
          <cell r="Y135">
            <v>48</v>
          </cell>
          <cell r="AA135">
            <v>10355</v>
          </cell>
          <cell r="AC135">
            <v>38</v>
          </cell>
        </row>
        <row r="136">
          <cell r="B136">
            <v>20523380</v>
          </cell>
          <cell r="D136">
            <v>8618217</v>
          </cell>
          <cell r="F136">
            <v>8003</v>
          </cell>
          <cell r="H136">
            <v>4034846.7533333334</v>
          </cell>
          <cell r="J136">
            <v>1582</v>
          </cell>
          <cell r="L136">
            <v>6438118.4000000004</v>
          </cell>
          <cell r="N136">
            <v>15745.2</v>
          </cell>
          <cell r="O136">
            <v>100</v>
          </cell>
          <cell r="Q136">
            <v>168161.46</v>
          </cell>
          <cell r="S136">
            <v>357.48</v>
          </cell>
          <cell r="T136">
            <v>1798</v>
          </cell>
          <cell r="W136">
            <v>3291.6</v>
          </cell>
          <cell r="X136">
            <v>9.1433333333333326</v>
          </cell>
          <cell r="Y136">
            <v>47</v>
          </cell>
          <cell r="AA136">
            <v>10355</v>
          </cell>
          <cell r="AC136">
            <v>38</v>
          </cell>
        </row>
        <row r="137">
          <cell r="B137">
            <v>22739411</v>
          </cell>
          <cell r="D137">
            <v>9393320.2333333343</v>
          </cell>
          <cell r="F137">
            <v>8005</v>
          </cell>
          <cell r="H137">
            <v>4388358.32</v>
          </cell>
          <cell r="J137">
            <v>1580</v>
          </cell>
          <cell r="L137">
            <v>7306197.9800000004</v>
          </cell>
          <cell r="N137">
            <v>16386.059999999998</v>
          </cell>
          <cell r="O137">
            <v>100</v>
          </cell>
          <cell r="Q137">
            <v>163904.62</v>
          </cell>
          <cell r="S137">
            <v>357.72</v>
          </cell>
          <cell r="T137">
            <v>1801</v>
          </cell>
          <cell r="W137">
            <v>3307.68</v>
          </cell>
          <cell r="X137">
            <v>9.1879999999999988</v>
          </cell>
          <cell r="Y137">
            <v>47</v>
          </cell>
          <cell r="AA137">
            <v>10355</v>
          </cell>
          <cell r="AC137">
            <v>38</v>
          </cell>
        </row>
        <row r="138">
          <cell r="B138">
            <v>20819235</v>
          </cell>
          <cell r="D138">
            <v>8460832.5433333348</v>
          </cell>
          <cell r="F138">
            <v>8004</v>
          </cell>
          <cell r="H138">
            <v>3999649.74</v>
          </cell>
          <cell r="J138">
            <v>1580</v>
          </cell>
          <cell r="L138">
            <v>6847993.1299999999</v>
          </cell>
          <cell r="N138">
            <v>16196.75</v>
          </cell>
          <cell r="O138">
            <v>100</v>
          </cell>
          <cell r="Q138">
            <v>148565.66</v>
          </cell>
          <cell r="S138">
            <v>357.72</v>
          </cell>
          <cell r="T138">
            <v>1801</v>
          </cell>
          <cell r="W138">
            <v>3307.68</v>
          </cell>
          <cell r="X138">
            <v>9.1879999999999988</v>
          </cell>
          <cell r="Y138">
            <v>47</v>
          </cell>
          <cell r="AA138">
            <v>10355</v>
          </cell>
          <cell r="AC138">
            <v>38</v>
          </cell>
        </row>
        <row r="139">
          <cell r="B139">
            <v>20325108</v>
          </cell>
          <cell r="D139">
            <v>7837205.3533333326</v>
          </cell>
          <cell r="F139">
            <v>8006</v>
          </cell>
          <cell r="H139">
            <v>3853748.71</v>
          </cell>
          <cell r="J139">
            <v>1576</v>
          </cell>
          <cell r="L139">
            <v>7216968.4900000002</v>
          </cell>
          <cell r="N139">
            <v>16159.34</v>
          </cell>
          <cell r="O139">
            <v>102</v>
          </cell>
          <cell r="Q139">
            <v>136615.54</v>
          </cell>
          <cell r="S139">
            <v>357.72</v>
          </cell>
          <cell r="T139">
            <v>1801</v>
          </cell>
          <cell r="W139">
            <v>3307.68</v>
          </cell>
          <cell r="X139">
            <v>9.1879999999999988</v>
          </cell>
          <cell r="Y139">
            <v>47</v>
          </cell>
          <cell r="AA139">
            <v>10355</v>
          </cell>
          <cell r="AC139">
            <v>38</v>
          </cell>
        </row>
        <row r="140">
          <cell r="B140">
            <v>17951953</v>
          </cell>
          <cell r="D140">
            <v>6588072.9833333334</v>
          </cell>
          <cell r="F140">
            <v>8009</v>
          </cell>
          <cell r="H140">
            <v>3360511.54</v>
          </cell>
          <cell r="J140">
            <v>1577</v>
          </cell>
          <cell r="L140">
            <v>6733532.5499999998</v>
          </cell>
          <cell r="N140">
            <v>16500.760000000002</v>
          </cell>
          <cell r="O140">
            <v>102</v>
          </cell>
          <cell r="Q140">
            <v>116550.04</v>
          </cell>
          <cell r="S140">
            <v>357.72</v>
          </cell>
          <cell r="T140">
            <v>1801</v>
          </cell>
          <cell r="W140">
            <v>3307.68</v>
          </cell>
          <cell r="X140">
            <v>9.1879999999999988</v>
          </cell>
          <cell r="Y140">
            <v>47</v>
          </cell>
          <cell r="AA140">
            <v>10355</v>
          </cell>
          <cell r="AC140">
            <v>38</v>
          </cell>
        </row>
        <row r="141">
          <cell r="B141">
            <v>16456802</v>
          </cell>
          <cell r="D141">
            <v>5140135.2633333337</v>
          </cell>
          <cell r="F141">
            <v>8008</v>
          </cell>
          <cell r="H141">
            <v>3130584.9400000004</v>
          </cell>
          <cell r="J141">
            <v>1580</v>
          </cell>
          <cell r="L141">
            <v>6864764.1600000001</v>
          </cell>
          <cell r="N141">
            <v>17082.310000000001</v>
          </cell>
          <cell r="O141">
            <v>102</v>
          </cell>
          <cell r="Q141">
            <v>106383.52</v>
          </cell>
          <cell r="S141">
            <v>357.72</v>
          </cell>
          <cell r="T141">
            <v>1801</v>
          </cell>
          <cell r="W141">
            <v>3307.68</v>
          </cell>
          <cell r="X141">
            <v>9.1879999999999988</v>
          </cell>
          <cell r="Y141">
            <v>44</v>
          </cell>
          <cell r="AA141">
            <v>10355</v>
          </cell>
          <cell r="AC141">
            <v>38</v>
          </cell>
        </row>
        <row r="142">
          <cell r="B142">
            <v>16410166</v>
          </cell>
          <cell r="D142">
            <v>4923967.8233333332</v>
          </cell>
          <cell r="F142">
            <v>8012</v>
          </cell>
          <cell r="H142">
            <v>3144932.72</v>
          </cell>
          <cell r="J142">
            <v>1579</v>
          </cell>
          <cell r="L142">
            <v>7036792.9399999995</v>
          </cell>
          <cell r="N142">
            <v>17708.669999999998</v>
          </cell>
          <cell r="O142">
            <v>102</v>
          </cell>
          <cell r="Q142">
            <v>96911.53</v>
          </cell>
          <cell r="S142">
            <v>358.31</v>
          </cell>
          <cell r="T142">
            <v>1801</v>
          </cell>
          <cell r="W142">
            <v>3307.68</v>
          </cell>
          <cell r="X142">
            <v>9.1879999999999988</v>
          </cell>
          <cell r="Y142">
            <v>44</v>
          </cell>
          <cell r="AA142">
            <v>10355</v>
          </cell>
          <cell r="AC142">
            <v>38</v>
          </cell>
        </row>
        <row r="143">
          <cell r="B143">
            <v>18483150</v>
          </cell>
          <cell r="D143">
            <v>5537887.2733333334</v>
          </cell>
          <cell r="F143">
            <v>8010</v>
          </cell>
          <cell r="H143">
            <v>3709141.13</v>
          </cell>
          <cell r="J143">
            <v>1580</v>
          </cell>
          <cell r="L143">
            <v>7568574.9800000004</v>
          </cell>
          <cell r="N143">
            <v>18010.400000000001</v>
          </cell>
          <cell r="O143">
            <v>102</v>
          </cell>
          <cell r="Q143">
            <v>102360.57</v>
          </cell>
          <cell r="S143">
            <v>358.31</v>
          </cell>
          <cell r="T143">
            <v>1803</v>
          </cell>
          <cell r="W143">
            <v>3307.68</v>
          </cell>
          <cell r="X143">
            <v>9.1879999999999988</v>
          </cell>
          <cell r="Y143">
            <v>44</v>
          </cell>
          <cell r="AA143">
            <v>10355</v>
          </cell>
          <cell r="AC143">
            <v>38</v>
          </cell>
        </row>
        <row r="144">
          <cell r="B144">
            <v>17284158</v>
          </cell>
          <cell r="D144">
            <v>5062902.2333333334</v>
          </cell>
          <cell r="F144">
            <v>8056</v>
          </cell>
          <cell r="H144">
            <v>3481983.63</v>
          </cell>
          <cell r="J144">
            <v>1582</v>
          </cell>
          <cell r="L144">
            <v>7226892</v>
          </cell>
          <cell r="N144">
            <v>16901.440000000002</v>
          </cell>
          <cell r="O144">
            <v>101</v>
          </cell>
          <cell r="Q144">
            <v>114687.8</v>
          </cell>
          <cell r="S144">
            <v>358.61</v>
          </cell>
          <cell r="T144">
            <v>1803</v>
          </cell>
          <cell r="W144">
            <v>3307.68</v>
          </cell>
          <cell r="X144">
            <v>9.1879999999999988</v>
          </cell>
          <cell r="Y144">
            <v>44</v>
          </cell>
          <cell r="AA144">
            <v>10355</v>
          </cell>
          <cell r="AC144">
            <v>38</v>
          </cell>
        </row>
        <row r="145">
          <cell r="B145">
            <v>16063986</v>
          </cell>
          <cell r="D145">
            <v>4833121.1033333326</v>
          </cell>
          <cell r="F145">
            <v>8061</v>
          </cell>
          <cell r="H145">
            <v>2997382.79</v>
          </cell>
          <cell r="J145">
            <v>1583</v>
          </cell>
          <cell r="L145">
            <v>6933103.71</v>
          </cell>
          <cell r="N145">
            <v>17455.36</v>
          </cell>
          <cell r="O145">
            <v>101</v>
          </cell>
          <cell r="Q145">
            <v>125942.99</v>
          </cell>
          <cell r="S145">
            <v>358.31</v>
          </cell>
          <cell r="T145">
            <v>1803</v>
          </cell>
          <cell r="W145">
            <v>3307.68</v>
          </cell>
          <cell r="X145">
            <v>9.1879999999999988</v>
          </cell>
          <cell r="Y145">
            <v>44</v>
          </cell>
          <cell r="AA145">
            <v>10355</v>
          </cell>
          <cell r="AC145">
            <v>38</v>
          </cell>
        </row>
        <row r="146">
          <cell r="B146">
            <v>17106819</v>
          </cell>
          <cell r="D146">
            <v>5671356.4833333334</v>
          </cell>
          <cell r="F146">
            <v>8064</v>
          </cell>
          <cell r="H146">
            <v>3139396.93</v>
          </cell>
          <cell r="J146">
            <v>1586</v>
          </cell>
          <cell r="L146">
            <v>6922674.6600000001</v>
          </cell>
          <cell r="N146">
            <v>16915.13</v>
          </cell>
          <cell r="O146">
            <v>101</v>
          </cell>
          <cell r="Q146">
            <v>143354.16</v>
          </cell>
          <cell r="S146">
            <v>356.45</v>
          </cell>
          <cell r="T146">
            <v>1806</v>
          </cell>
          <cell r="W146">
            <v>3273.48</v>
          </cell>
          <cell r="X146">
            <v>9.093</v>
          </cell>
          <cell r="Y146">
            <v>43</v>
          </cell>
          <cell r="AA146">
            <v>10355</v>
          </cell>
          <cell r="AC146">
            <v>38</v>
          </cell>
        </row>
        <row r="147">
          <cell r="B147">
            <v>19475327</v>
          </cell>
          <cell r="D147">
            <v>7480763.8133333335</v>
          </cell>
          <cell r="F147">
            <v>8066</v>
          </cell>
          <cell r="H147">
            <v>3634230.71</v>
          </cell>
          <cell r="J147">
            <v>1591</v>
          </cell>
          <cell r="L147">
            <v>6916205.8600000003</v>
          </cell>
          <cell r="N147">
            <v>16614.919999999998</v>
          </cell>
          <cell r="O147">
            <v>102</v>
          </cell>
          <cell r="Q147">
            <v>152887.78</v>
          </cell>
          <cell r="S147">
            <v>350.86</v>
          </cell>
          <cell r="T147">
            <v>1806</v>
          </cell>
          <cell r="W147">
            <v>3343.02</v>
          </cell>
          <cell r="X147">
            <v>9.2861666666666665</v>
          </cell>
          <cell r="Y147">
            <v>45</v>
          </cell>
          <cell r="AA147">
            <v>10355</v>
          </cell>
          <cell r="AC147">
            <v>38</v>
          </cell>
        </row>
        <row r="148">
          <cell r="B148">
            <v>22460503</v>
          </cell>
          <cell r="D148">
            <v>9755525.7133333348</v>
          </cell>
          <cell r="F148">
            <v>8073</v>
          </cell>
          <cell r="H148">
            <v>4323416.9800000004</v>
          </cell>
          <cell r="J148">
            <v>1591</v>
          </cell>
          <cell r="L148">
            <v>6539232.9400000004</v>
          </cell>
          <cell r="N148">
            <v>16194.94</v>
          </cell>
          <cell r="O148">
            <v>101</v>
          </cell>
          <cell r="Q148">
            <v>165045.59</v>
          </cell>
          <cell r="S148">
            <v>350.86</v>
          </cell>
          <cell r="T148">
            <v>1806</v>
          </cell>
          <cell r="W148">
            <v>3307.68</v>
          </cell>
          <cell r="X148">
            <v>9.1879999999999988</v>
          </cell>
          <cell r="Y148">
            <v>44</v>
          </cell>
          <cell r="AA148">
            <v>10355</v>
          </cell>
          <cell r="AC148">
            <v>38</v>
          </cell>
        </row>
        <row r="149">
          <cell r="B149">
            <v>24334317</v>
          </cell>
          <cell r="D149">
            <v>10439501.060000001</v>
          </cell>
          <cell r="F149">
            <v>8078</v>
          </cell>
          <cell r="H149">
            <v>4635659.5599999996</v>
          </cell>
          <cell r="J149">
            <v>1591</v>
          </cell>
          <cell r="L149">
            <v>7282767.9199999999</v>
          </cell>
          <cell r="N149">
            <v>16814.47</v>
          </cell>
          <cell r="O149">
            <v>101</v>
          </cell>
          <cell r="Q149">
            <v>160759.57</v>
          </cell>
          <cell r="S149">
            <v>350.86</v>
          </cell>
          <cell r="T149">
            <v>1806</v>
          </cell>
          <cell r="W149">
            <v>3307.68</v>
          </cell>
          <cell r="X149">
            <v>9.1879999999999988</v>
          </cell>
          <cell r="Y149">
            <v>44</v>
          </cell>
          <cell r="AA149">
            <v>10355</v>
          </cell>
          <cell r="AC149">
            <v>38</v>
          </cell>
        </row>
        <row r="150">
          <cell r="B150">
            <v>21638242</v>
          </cell>
          <cell r="D150">
            <v>8862889.9800000004</v>
          </cell>
          <cell r="F150">
            <v>8077</v>
          </cell>
          <cell r="H150">
            <v>4116161.59</v>
          </cell>
          <cell r="J150">
            <v>1590</v>
          </cell>
          <cell r="L150">
            <v>6919954.2000000002</v>
          </cell>
          <cell r="N150">
            <v>16739.080000000002</v>
          </cell>
          <cell r="O150">
            <v>101</v>
          </cell>
          <cell r="Q150">
            <v>145715.54999999999</v>
          </cell>
          <cell r="S150">
            <v>350.86</v>
          </cell>
          <cell r="T150">
            <v>1806</v>
          </cell>
          <cell r="W150">
            <v>3307.68</v>
          </cell>
          <cell r="X150">
            <v>9.1879999999999988</v>
          </cell>
          <cell r="Y150">
            <v>44</v>
          </cell>
          <cell r="AA150">
            <v>10355</v>
          </cell>
          <cell r="AC150">
            <v>38</v>
          </cell>
        </row>
        <row r="151">
          <cell r="B151">
            <v>22645364</v>
          </cell>
          <cell r="D151">
            <v>8887826.2400000002</v>
          </cell>
          <cell r="F151">
            <v>8081</v>
          </cell>
          <cell r="H151">
            <v>4295215.62</v>
          </cell>
          <cell r="J151">
            <v>1589</v>
          </cell>
          <cell r="L151">
            <v>7653734.4400000004</v>
          </cell>
          <cell r="N151">
            <v>16475.77</v>
          </cell>
          <cell r="O151">
            <v>101</v>
          </cell>
          <cell r="Q151">
            <v>133995.31</v>
          </cell>
          <cell r="S151">
            <v>350.86</v>
          </cell>
          <cell r="T151">
            <v>1806</v>
          </cell>
          <cell r="W151">
            <v>3307.68</v>
          </cell>
          <cell r="X151">
            <v>9.1879999999999988</v>
          </cell>
          <cell r="Y151">
            <v>44</v>
          </cell>
          <cell r="AA151">
            <v>10355</v>
          </cell>
          <cell r="AC151">
            <v>38</v>
          </cell>
        </row>
        <row r="152">
          <cell r="B152">
            <v>18269759</v>
          </cell>
          <cell r="D152">
            <v>6664388.1900000004</v>
          </cell>
          <cell r="F152">
            <v>8083</v>
          </cell>
          <cell r="H152">
            <v>3483228.4499999997</v>
          </cell>
          <cell r="J152">
            <v>1590</v>
          </cell>
          <cell r="L152">
            <v>6914179.4299999997</v>
          </cell>
          <cell r="N152">
            <v>15970.53</v>
          </cell>
          <cell r="O152">
            <v>101</v>
          </cell>
          <cell r="Q152">
            <v>114315.7</v>
          </cell>
          <cell r="S152">
            <v>350.86</v>
          </cell>
          <cell r="T152">
            <v>1806</v>
          </cell>
          <cell r="W152">
            <v>3307.68</v>
          </cell>
          <cell r="X152">
            <v>9.1879999999999988</v>
          </cell>
          <cell r="Y152">
            <v>44</v>
          </cell>
          <cell r="AA152">
            <v>10355</v>
          </cell>
          <cell r="AC152">
            <v>38</v>
          </cell>
        </row>
        <row r="153">
          <cell r="B153">
            <v>16601363</v>
          </cell>
          <cell r="D153">
            <v>5208464.1399999997</v>
          </cell>
          <cell r="F153">
            <v>8083</v>
          </cell>
          <cell r="H153">
            <v>3104971.98</v>
          </cell>
          <cell r="J153">
            <v>1590</v>
          </cell>
          <cell r="L153">
            <v>7139734.7999999998</v>
          </cell>
          <cell r="N153">
            <v>17053.34</v>
          </cell>
          <cell r="O153">
            <v>101</v>
          </cell>
          <cell r="Q153">
            <v>104344.69</v>
          </cell>
          <cell r="S153">
            <v>350.86</v>
          </cell>
          <cell r="T153">
            <v>1806</v>
          </cell>
          <cell r="W153">
            <v>3307.68</v>
          </cell>
          <cell r="X153">
            <v>9.1879999999999988</v>
          </cell>
          <cell r="Y153">
            <v>44</v>
          </cell>
          <cell r="AA153">
            <v>10355</v>
          </cell>
          <cell r="AC153">
            <v>38</v>
          </cell>
        </row>
        <row r="154">
          <cell r="B154">
            <v>16530706</v>
          </cell>
          <cell r="D154">
            <v>4800750.82</v>
          </cell>
          <cell r="F154">
            <v>8083</v>
          </cell>
          <cell r="H154">
            <v>3211720.47</v>
          </cell>
          <cell r="J154">
            <v>1590</v>
          </cell>
          <cell r="L154">
            <v>7242841.6999999993</v>
          </cell>
          <cell r="N154">
            <v>17983.46</v>
          </cell>
          <cell r="O154">
            <v>101</v>
          </cell>
          <cell r="Q154">
            <v>93812.06</v>
          </cell>
          <cell r="S154">
            <v>349.86</v>
          </cell>
          <cell r="T154">
            <v>1790</v>
          </cell>
          <cell r="W154">
            <v>3242.4</v>
          </cell>
          <cell r="X154">
            <v>9.0066666666666677</v>
          </cell>
          <cell r="Y154">
            <v>43</v>
          </cell>
          <cell r="AA154">
            <v>10355</v>
          </cell>
          <cell r="AC154">
            <v>38</v>
          </cell>
        </row>
        <row r="155">
          <cell r="B155">
            <v>17054505</v>
          </cell>
          <cell r="D155">
            <v>4990317.47</v>
          </cell>
          <cell r="F155">
            <v>8079</v>
          </cell>
          <cell r="H155">
            <v>3357047.92</v>
          </cell>
          <cell r="J155">
            <v>1593</v>
          </cell>
          <cell r="L155">
            <v>7518452.3900000006</v>
          </cell>
          <cell r="N155">
            <v>17324.09</v>
          </cell>
          <cell r="O155">
            <v>101</v>
          </cell>
          <cell r="Q155">
            <v>99134.7</v>
          </cell>
          <cell r="S155">
            <v>347.01</v>
          </cell>
          <cell r="T155">
            <v>1792</v>
          </cell>
          <cell r="W155">
            <v>3375.24</v>
          </cell>
          <cell r="X155">
            <v>9.3756666666666657</v>
          </cell>
          <cell r="Y155">
            <v>45</v>
          </cell>
          <cell r="AA155">
            <v>10355</v>
          </cell>
          <cell r="AC155">
            <v>38</v>
          </cell>
        </row>
        <row r="156">
          <cell r="B156">
            <v>17300814</v>
          </cell>
          <cell r="D156">
            <v>5059195.96</v>
          </cell>
          <cell r="F156">
            <v>8081</v>
          </cell>
          <cell r="H156">
            <v>3307128.53</v>
          </cell>
          <cell r="J156">
            <v>1595</v>
          </cell>
          <cell r="L156">
            <v>7535559.0500000007</v>
          </cell>
          <cell r="N156">
            <v>17189.400000000001</v>
          </cell>
          <cell r="O156">
            <v>100</v>
          </cell>
          <cell r="Q156">
            <v>111072.15</v>
          </cell>
          <cell r="S156">
            <v>347.01</v>
          </cell>
          <cell r="T156">
            <v>1792</v>
          </cell>
          <cell r="W156">
            <v>3307.68</v>
          </cell>
          <cell r="X156">
            <v>9.1879999999999988</v>
          </cell>
          <cell r="Y156">
            <v>44</v>
          </cell>
          <cell r="AA156">
            <v>10355</v>
          </cell>
          <cell r="AC156">
            <v>38</v>
          </cell>
        </row>
        <row r="157">
          <cell r="B157">
            <v>16322363</v>
          </cell>
          <cell r="D157">
            <v>4849069.72</v>
          </cell>
          <cell r="F157">
            <v>8085</v>
          </cell>
          <cell r="H157">
            <v>2986197.28</v>
          </cell>
          <cell r="J157">
            <v>1594</v>
          </cell>
          <cell r="L157">
            <v>7321139.0299999993</v>
          </cell>
          <cell r="N157">
            <v>17621.439999999999</v>
          </cell>
          <cell r="O157">
            <v>101</v>
          </cell>
          <cell r="Q157">
            <v>121971.27</v>
          </cell>
          <cell r="S157">
            <v>347.01</v>
          </cell>
          <cell r="T157">
            <v>1792</v>
          </cell>
          <cell r="W157">
            <v>3273.48</v>
          </cell>
          <cell r="X157">
            <v>9.093</v>
          </cell>
          <cell r="Y157">
            <v>43</v>
          </cell>
          <cell r="AA157">
            <v>10099</v>
          </cell>
          <cell r="AC157">
            <v>35</v>
          </cell>
        </row>
        <row r="158">
          <cell r="B158">
            <v>17362276</v>
          </cell>
          <cell r="D158">
            <v>5691275.1799999997</v>
          </cell>
          <cell r="F158">
            <v>8100</v>
          </cell>
          <cell r="H158">
            <v>3134974.67</v>
          </cell>
          <cell r="J158">
            <v>1597</v>
          </cell>
          <cell r="L158">
            <v>7201640.3599999994</v>
          </cell>
          <cell r="N158">
            <v>16788.34</v>
          </cell>
          <cell r="O158">
            <v>101</v>
          </cell>
          <cell r="Q158">
            <v>141780.56</v>
          </cell>
          <cell r="S158">
            <v>347.01</v>
          </cell>
          <cell r="T158">
            <v>1792</v>
          </cell>
          <cell r="W158">
            <v>3343.02</v>
          </cell>
          <cell r="X158">
            <v>9.2861666666666665</v>
          </cell>
          <cell r="Y158">
            <v>45</v>
          </cell>
          <cell r="AA158">
            <v>10099</v>
          </cell>
          <cell r="AC158">
            <v>35</v>
          </cell>
        </row>
        <row r="159">
          <cell r="B159">
            <v>19662671</v>
          </cell>
          <cell r="D159">
            <v>7337056.5999999996</v>
          </cell>
          <cell r="F159">
            <v>8100</v>
          </cell>
          <cell r="H159">
            <v>3658089.55</v>
          </cell>
          <cell r="J159">
            <v>1597</v>
          </cell>
          <cell r="L159">
            <v>7151163.4699999997</v>
          </cell>
          <cell r="N159">
            <v>16640.150000000001</v>
          </cell>
          <cell r="O159">
            <v>101</v>
          </cell>
          <cell r="Q159">
            <v>151209.34</v>
          </cell>
          <cell r="S159">
            <v>347.01</v>
          </cell>
          <cell r="T159">
            <v>1792</v>
          </cell>
          <cell r="W159">
            <v>3232.08</v>
          </cell>
          <cell r="X159">
            <v>8.9779999999999998</v>
          </cell>
          <cell r="Y159">
            <v>43</v>
          </cell>
          <cell r="AA159">
            <v>10099</v>
          </cell>
          <cell r="AC159">
            <v>35</v>
          </cell>
        </row>
        <row r="160">
          <cell r="B160">
            <v>20922896</v>
          </cell>
          <cell r="D160">
            <v>8523432.4900000002</v>
          </cell>
          <cell r="F160">
            <v>8100</v>
          </cell>
          <cell r="H160">
            <v>4082254.05</v>
          </cell>
          <cell r="J160">
            <v>1598</v>
          </cell>
          <cell r="L160">
            <v>6711079.9299999997</v>
          </cell>
          <cell r="N160">
            <v>16289.14</v>
          </cell>
          <cell r="O160">
            <v>101</v>
          </cell>
          <cell r="Q160">
            <v>163233.32999999999</v>
          </cell>
          <cell r="S160">
            <v>347.01</v>
          </cell>
          <cell r="T160">
            <v>1792</v>
          </cell>
          <cell r="W160">
            <v>3385.8</v>
          </cell>
          <cell r="X160">
            <v>9.4050000000000011</v>
          </cell>
          <cell r="Y160">
            <v>45</v>
          </cell>
          <cell r="AA160">
            <v>10099</v>
          </cell>
          <cell r="AC160">
            <v>35</v>
          </cell>
        </row>
        <row r="161">
          <cell r="B161">
            <v>23695289</v>
          </cell>
          <cell r="D161">
            <v>9952761.5199999996</v>
          </cell>
          <cell r="F161">
            <v>8122</v>
          </cell>
          <cell r="H161">
            <v>4587277.62</v>
          </cell>
          <cell r="J161">
            <v>1591</v>
          </cell>
          <cell r="L161">
            <v>7298716.5200000005</v>
          </cell>
          <cell r="N161">
            <v>16757.12</v>
          </cell>
          <cell r="O161">
            <v>101</v>
          </cell>
          <cell r="Q161">
            <v>158994.29999999999</v>
          </cell>
          <cell r="S161">
            <v>347.01</v>
          </cell>
          <cell r="T161">
            <v>1792</v>
          </cell>
          <cell r="W161">
            <v>3277.44</v>
          </cell>
          <cell r="X161">
            <v>9.104000000000001</v>
          </cell>
          <cell r="Y161">
            <v>44</v>
          </cell>
          <cell r="AA161">
            <v>10099</v>
          </cell>
          <cell r="AC161">
            <v>38</v>
          </cell>
        </row>
        <row r="162">
          <cell r="B162">
            <v>22743798</v>
          </cell>
          <cell r="D162">
            <v>9618523.1899999995</v>
          </cell>
          <cell r="F162">
            <v>8115</v>
          </cell>
          <cell r="H162">
            <v>4399607.8499999996</v>
          </cell>
          <cell r="J162">
            <v>1590</v>
          </cell>
          <cell r="L162">
            <v>6992568.7300000004</v>
          </cell>
          <cell r="N162">
            <v>16988.48</v>
          </cell>
          <cell r="O162">
            <v>101</v>
          </cell>
          <cell r="Q162">
            <v>144115.82999999999</v>
          </cell>
          <cell r="S162">
            <v>347.01</v>
          </cell>
          <cell r="T162">
            <v>1792</v>
          </cell>
          <cell r="W162">
            <v>3335.4</v>
          </cell>
          <cell r="X162">
            <v>9.2650000000000006</v>
          </cell>
          <cell r="Y162">
            <v>44</v>
          </cell>
          <cell r="AA162">
            <v>10099</v>
          </cell>
          <cell r="AC162">
            <v>38</v>
          </cell>
        </row>
        <row r="163">
          <cell r="B163">
            <v>21472822</v>
          </cell>
          <cell r="D163">
            <v>8180334.4900000002</v>
          </cell>
          <cell r="F163">
            <v>8104</v>
          </cell>
          <cell r="H163">
            <v>4154939.44</v>
          </cell>
          <cell r="J163">
            <v>1597</v>
          </cell>
          <cell r="L163">
            <v>7633635.3599999994</v>
          </cell>
          <cell r="N163">
            <v>16815.489999999998</v>
          </cell>
          <cell r="O163">
            <v>101</v>
          </cell>
          <cell r="Q163">
            <v>131763.92000000001</v>
          </cell>
          <cell r="S163">
            <v>347.01</v>
          </cell>
          <cell r="T163">
            <v>1792</v>
          </cell>
          <cell r="W163">
            <v>3307.68</v>
          </cell>
          <cell r="X163">
            <v>9.1879999999999988</v>
          </cell>
          <cell r="Y163">
            <v>44</v>
          </cell>
          <cell r="AA163">
            <v>10099</v>
          </cell>
          <cell r="AC163">
            <v>35</v>
          </cell>
        </row>
        <row r="164">
          <cell r="B164">
            <v>17521459</v>
          </cell>
          <cell r="D164">
            <v>6147755.25</v>
          </cell>
          <cell r="F164">
            <v>8102</v>
          </cell>
          <cell r="H164">
            <v>3277467.82</v>
          </cell>
          <cell r="J164">
            <v>1596</v>
          </cell>
          <cell r="L164">
            <v>6985701.2200000007</v>
          </cell>
          <cell r="N164">
            <v>16777.29</v>
          </cell>
          <cell r="O164">
            <v>101</v>
          </cell>
          <cell r="Q164">
            <v>113822.39999999999</v>
          </cell>
          <cell r="S164">
            <v>347.01</v>
          </cell>
          <cell r="T164">
            <v>1792</v>
          </cell>
          <cell r="W164">
            <v>3307.68</v>
          </cell>
          <cell r="X164">
            <v>9.1879999999999988</v>
          </cell>
          <cell r="Y164">
            <v>44</v>
          </cell>
          <cell r="AA164">
            <v>10099</v>
          </cell>
          <cell r="AC164">
            <v>35</v>
          </cell>
        </row>
        <row r="165">
          <cell r="B165">
            <v>16136560</v>
          </cell>
          <cell r="D165">
            <v>4937261.12</v>
          </cell>
          <cell r="F165">
            <v>8104</v>
          </cell>
          <cell r="H165">
            <v>3010877.89</v>
          </cell>
          <cell r="J165">
            <v>1595</v>
          </cell>
          <cell r="L165">
            <v>7225643.3200000003</v>
          </cell>
          <cell r="N165">
            <v>17689.04</v>
          </cell>
          <cell r="O165">
            <v>101</v>
          </cell>
          <cell r="Q165">
            <v>102843.6</v>
          </cell>
          <cell r="S165">
            <v>346.71</v>
          </cell>
          <cell r="T165">
            <v>1792</v>
          </cell>
          <cell r="W165">
            <v>3307.68</v>
          </cell>
          <cell r="X165">
            <v>9.1879999999999988</v>
          </cell>
          <cell r="Y165">
            <v>44</v>
          </cell>
          <cell r="AA165">
            <v>10099</v>
          </cell>
          <cell r="AC165">
            <v>35</v>
          </cell>
        </row>
        <row r="166">
          <cell r="B166">
            <v>15978260</v>
          </cell>
          <cell r="D166">
            <v>4598236.07</v>
          </cell>
          <cell r="F166">
            <v>8107</v>
          </cell>
          <cell r="H166">
            <v>3027870.87</v>
          </cell>
          <cell r="J166">
            <v>1599</v>
          </cell>
          <cell r="L166">
            <v>7345783.0600000005</v>
          </cell>
          <cell r="N166">
            <v>17365.41</v>
          </cell>
          <cell r="O166">
            <v>101</v>
          </cell>
          <cell r="Q166">
            <v>93533.71</v>
          </cell>
          <cell r="S166">
            <v>345.81</v>
          </cell>
          <cell r="T166">
            <v>1792</v>
          </cell>
          <cell r="W166">
            <v>3307.68</v>
          </cell>
          <cell r="X166">
            <v>9.1879999999999988</v>
          </cell>
          <cell r="Y166">
            <v>44</v>
          </cell>
          <cell r="AA166">
            <v>10099</v>
          </cell>
          <cell r="AC166">
            <v>35</v>
          </cell>
        </row>
        <row r="167">
          <cell r="B167">
            <v>17514674</v>
          </cell>
          <cell r="D167">
            <v>5168273.9000000004</v>
          </cell>
          <cell r="F167">
            <v>8140</v>
          </cell>
          <cell r="H167">
            <v>3485087.64</v>
          </cell>
          <cell r="J167">
            <v>1596</v>
          </cell>
          <cell r="L167">
            <v>7527972.0300000012</v>
          </cell>
          <cell r="N167">
            <v>17189.11</v>
          </cell>
          <cell r="O167">
            <v>101</v>
          </cell>
          <cell r="Q167">
            <v>98792.1</v>
          </cell>
          <cell r="S167">
            <v>345.81</v>
          </cell>
          <cell r="T167">
            <v>1792</v>
          </cell>
          <cell r="W167">
            <v>3307.68</v>
          </cell>
          <cell r="X167">
            <v>9.1879999999999988</v>
          </cell>
          <cell r="Y167">
            <v>44</v>
          </cell>
          <cell r="AA167">
            <v>10099</v>
          </cell>
          <cell r="AC167">
            <v>35</v>
          </cell>
        </row>
        <row r="168">
          <cell r="B168">
            <v>17535773</v>
          </cell>
          <cell r="D168">
            <v>5081326.24</v>
          </cell>
          <cell r="F168">
            <v>8125</v>
          </cell>
          <cell r="H168">
            <v>3333888.5</v>
          </cell>
          <cell r="J168">
            <v>1596</v>
          </cell>
          <cell r="L168">
            <v>7602006.9400000004</v>
          </cell>
          <cell r="N168">
            <v>17823.149999999998</v>
          </cell>
          <cell r="O168">
            <v>101</v>
          </cell>
          <cell r="Q168">
            <v>110688.15</v>
          </cell>
          <cell r="S168">
            <v>345.81</v>
          </cell>
          <cell r="T168">
            <v>1786</v>
          </cell>
          <cell r="W168">
            <v>3307.68</v>
          </cell>
          <cell r="X168">
            <v>9.1879999999999988</v>
          </cell>
          <cell r="Y168">
            <v>44</v>
          </cell>
          <cell r="AA168">
            <v>10099</v>
          </cell>
          <cell r="AC168">
            <v>35</v>
          </cell>
        </row>
        <row r="169">
          <cell r="B169">
            <v>15565173</v>
          </cell>
          <cell r="D169">
            <v>4862274.3</v>
          </cell>
          <cell r="F169">
            <v>8130</v>
          </cell>
          <cell r="H169">
            <v>3123786.03</v>
          </cell>
          <cell r="J169">
            <v>1595</v>
          </cell>
          <cell r="L169">
            <v>7429420.6699999999</v>
          </cell>
          <cell r="N169">
            <v>17941.88</v>
          </cell>
          <cell r="O169">
            <v>101</v>
          </cell>
          <cell r="Q169">
            <v>111208.19</v>
          </cell>
          <cell r="S169">
            <v>338.45</v>
          </cell>
          <cell r="T169">
            <v>1786</v>
          </cell>
          <cell r="W169">
            <v>3307.68</v>
          </cell>
          <cell r="X169">
            <v>9.1879999999999988</v>
          </cell>
          <cell r="Y169">
            <v>44</v>
          </cell>
          <cell r="AA169">
            <v>9163</v>
          </cell>
          <cell r="AC169">
            <v>34</v>
          </cell>
        </row>
        <row r="170">
          <cell r="B170">
            <v>17635059</v>
          </cell>
          <cell r="D170">
            <v>5389699.46</v>
          </cell>
          <cell r="F170">
            <v>8142</v>
          </cell>
          <cell r="H170">
            <v>2456983.83</v>
          </cell>
          <cell r="J170">
            <v>1594</v>
          </cell>
          <cell r="L170">
            <v>6291643.3099999996</v>
          </cell>
          <cell r="N170">
            <v>14431.94</v>
          </cell>
          <cell r="O170">
            <v>100</v>
          </cell>
          <cell r="Q170">
            <v>126225.57</v>
          </cell>
          <cell r="S170">
            <v>338.24</v>
          </cell>
          <cell r="T170">
            <v>1786</v>
          </cell>
          <cell r="W170">
            <v>2936.88</v>
          </cell>
          <cell r="X170">
            <v>8.1579999999999995</v>
          </cell>
          <cell r="Y170">
            <v>40</v>
          </cell>
          <cell r="AA170">
            <v>9113</v>
          </cell>
          <cell r="AC170">
            <v>34</v>
          </cell>
        </row>
        <row r="171">
          <cell r="B171">
            <v>17740386</v>
          </cell>
          <cell r="D171">
            <v>6409952.6699999999</v>
          </cell>
          <cell r="F171">
            <v>8158</v>
          </cell>
          <cell r="H171">
            <v>3811569.42</v>
          </cell>
          <cell r="J171">
            <v>1597</v>
          </cell>
          <cell r="L171">
            <v>7974656.1899999995</v>
          </cell>
          <cell r="N171">
            <v>19899.02</v>
          </cell>
          <cell r="O171">
            <v>100</v>
          </cell>
          <cell r="Q171">
            <v>140897.79</v>
          </cell>
          <cell r="S171">
            <v>294.54000000000002</v>
          </cell>
          <cell r="T171">
            <v>1786</v>
          </cell>
          <cell r="W171">
            <v>3307.68</v>
          </cell>
          <cell r="X171">
            <v>9.1879999999999988</v>
          </cell>
          <cell r="Y171">
            <v>48</v>
          </cell>
          <cell r="AA171">
            <v>9213</v>
          </cell>
          <cell r="AC171">
            <v>34</v>
          </cell>
        </row>
        <row r="172">
          <cell r="B172">
            <v>18592673</v>
          </cell>
          <cell r="D172">
            <v>7244321</v>
          </cell>
          <cell r="F172">
            <v>8161</v>
          </cell>
          <cell r="H172">
            <v>3568618.82</v>
          </cell>
          <cell r="J172">
            <v>1596</v>
          </cell>
          <cell r="L172">
            <v>6529443.8399999999</v>
          </cell>
          <cell r="N172">
            <v>16318.759999999998</v>
          </cell>
          <cell r="O172">
            <v>100</v>
          </cell>
          <cell r="Q172">
            <v>86082.719999999972</v>
          </cell>
          <cell r="S172">
            <v>269.10000000000002</v>
          </cell>
          <cell r="T172">
            <v>1778</v>
          </cell>
          <cell r="W172">
            <v>3307.68</v>
          </cell>
          <cell r="X172">
            <v>9.1879999999999988</v>
          </cell>
          <cell r="Y172">
            <v>44</v>
          </cell>
          <cell r="AA172">
            <v>9163</v>
          </cell>
          <cell r="AC172">
            <v>34</v>
          </cell>
        </row>
        <row r="173">
          <cell r="B173">
            <v>21522309</v>
          </cell>
          <cell r="D173">
            <v>8826187.4299999997</v>
          </cell>
          <cell r="F173">
            <v>8165</v>
          </cell>
          <cell r="H173">
            <v>4220409.7</v>
          </cell>
          <cell r="J173">
            <v>1595</v>
          </cell>
          <cell r="L173">
            <v>7170325.25</v>
          </cell>
          <cell r="N173">
            <v>16975.550000000003</v>
          </cell>
          <cell r="O173">
            <v>100</v>
          </cell>
          <cell r="Q173">
            <v>84157.47</v>
          </cell>
          <cell r="S173">
            <v>182.64000000000001</v>
          </cell>
          <cell r="T173">
            <v>1778</v>
          </cell>
          <cell r="W173">
            <v>3307.68</v>
          </cell>
          <cell r="X173">
            <v>9.1879999999999988</v>
          </cell>
          <cell r="Y173">
            <v>44</v>
          </cell>
          <cell r="AA173">
            <v>9163</v>
          </cell>
          <cell r="AC173">
            <v>34</v>
          </cell>
        </row>
        <row r="174">
          <cell r="B174">
            <v>20682597</v>
          </cell>
          <cell r="D174">
            <v>8131677.8200000003</v>
          </cell>
          <cell r="F174">
            <v>8168</v>
          </cell>
          <cell r="H174">
            <v>3974495.59</v>
          </cell>
          <cell r="J174">
            <v>1597</v>
          </cell>
          <cell r="L174">
            <v>6977788.4900000002</v>
          </cell>
          <cell r="N174">
            <v>17076.27</v>
          </cell>
          <cell r="O174">
            <v>99</v>
          </cell>
          <cell r="Q174">
            <v>79340.950000000012</v>
          </cell>
          <cell r="S174">
            <v>182.64000000000001</v>
          </cell>
          <cell r="T174">
            <v>1778</v>
          </cell>
          <cell r="W174">
            <v>3307.68</v>
          </cell>
          <cell r="X174">
            <v>9.1879999999999988</v>
          </cell>
          <cell r="Y174">
            <v>44</v>
          </cell>
          <cell r="AA174">
            <v>9163</v>
          </cell>
          <cell r="AC174">
            <v>34</v>
          </cell>
        </row>
        <row r="175">
          <cell r="B175">
            <v>19882487</v>
          </cell>
          <cell r="D175">
            <v>7318621.6500000004</v>
          </cell>
          <cell r="F175">
            <v>8169</v>
          </cell>
          <cell r="H175">
            <v>3768776.99</v>
          </cell>
          <cell r="J175">
            <v>1597</v>
          </cell>
          <cell r="L175">
            <v>7160852.9500000002</v>
          </cell>
          <cell r="N175">
            <v>16634.079999999998</v>
          </cell>
          <cell r="O175">
            <v>99</v>
          </cell>
          <cell r="Q175">
            <v>70774.710000000021</v>
          </cell>
          <cell r="S175">
            <v>182.64000000000001</v>
          </cell>
          <cell r="T175">
            <v>1778</v>
          </cell>
          <cell r="W175">
            <v>3307.68</v>
          </cell>
          <cell r="X175">
            <v>9.1879999999999988</v>
          </cell>
          <cell r="Y175">
            <v>44</v>
          </cell>
          <cell r="AA175">
            <v>9163</v>
          </cell>
          <cell r="AC175">
            <v>34</v>
          </cell>
        </row>
        <row r="176">
          <cell r="B176">
            <v>17680434</v>
          </cell>
          <cell r="D176">
            <v>6260517.0700000003</v>
          </cell>
          <cell r="F176">
            <v>8170</v>
          </cell>
          <cell r="H176">
            <v>3348444.85</v>
          </cell>
          <cell r="J176">
            <v>1595</v>
          </cell>
          <cell r="L176">
            <v>6801021.4600000009</v>
          </cell>
          <cell r="N176">
            <v>16565.37</v>
          </cell>
          <cell r="O176">
            <v>99</v>
          </cell>
          <cell r="Q176">
            <v>60044.840000000004</v>
          </cell>
          <cell r="S176">
            <v>182.64000000000001</v>
          </cell>
          <cell r="T176">
            <v>1778</v>
          </cell>
          <cell r="W176">
            <v>3307.68</v>
          </cell>
          <cell r="X176">
            <v>9.1879999999999988</v>
          </cell>
          <cell r="Y176">
            <v>44</v>
          </cell>
          <cell r="AA176">
            <v>9163</v>
          </cell>
          <cell r="AC176">
            <v>34</v>
          </cell>
        </row>
        <row r="177">
          <cell r="B177">
            <v>15916779</v>
          </cell>
          <cell r="D177">
            <v>5080718.51</v>
          </cell>
          <cell r="F177">
            <v>8169</v>
          </cell>
          <cell r="H177">
            <v>3060807.26</v>
          </cell>
          <cell r="J177">
            <v>1594</v>
          </cell>
          <cell r="L177">
            <v>6783403.8200000003</v>
          </cell>
          <cell r="N177">
            <v>17261.830000000002</v>
          </cell>
          <cell r="O177">
            <v>99</v>
          </cell>
          <cell r="Q177">
            <v>54840.399999999994</v>
          </cell>
          <cell r="S177">
            <v>182.64000000000001</v>
          </cell>
          <cell r="T177">
            <v>1778</v>
          </cell>
          <cell r="W177">
            <v>3307.68</v>
          </cell>
          <cell r="X177">
            <v>9.1879999999999988</v>
          </cell>
          <cell r="Y177">
            <v>44</v>
          </cell>
          <cell r="AA177">
            <v>9163</v>
          </cell>
          <cell r="AC177">
            <v>34</v>
          </cell>
        </row>
        <row r="178">
          <cell r="B178">
            <v>16328955</v>
          </cell>
          <cell r="D178">
            <v>4714455.8899999997</v>
          </cell>
          <cell r="F178">
            <v>8179</v>
          </cell>
          <cell r="H178">
            <v>3106350.12</v>
          </cell>
          <cell r="J178">
            <v>1593</v>
          </cell>
          <cell r="L178">
            <v>7353206.370000001</v>
          </cell>
          <cell r="N178">
            <v>17935.07</v>
          </cell>
          <cell r="O178">
            <v>99</v>
          </cell>
          <cell r="Q178">
            <v>49155.049999999996</v>
          </cell>
          <cell r="S178">
            <v>182.63999999999996</v>
          </cell>
          <cell r="T178">
            <v>1778</v>
          </cell>
          <cell r="W178">
            <v>3307.68</v>
          </cell>
          <cell r="X178">
            <v>9.1879999999999988</v>
          </cell>
          <cell r="Y178">
            <v>44</v>
          </cell>
          <cell r="AA178">
            <v>9163</v>
          </cell>
          <cell r="AC178">
            <v>34</v>
          </cell>
        </row>
        <row r="179">
          <cell r="B179">
            <v>18071286</v>
          </cell>
          <cell r="D179">
            <v>5411830.4000000004</v>
          </cell>
          <cell r="F179">
            <v>8178</v>
          </cell>
          <cell r="H179">
            <v>3457723.81</v>
          </cell>
          <cell r="J179">
            <v>1594</v>
          </cell>
          <cell r="L179">
            <v>7567857.1100000003</v>
          </cell>
          <cell r="N179">
            <v>17621.45</v>
          </cell>
          <cell r="O179">
            <v>99</v>
          </cell>
          <cell r="Q179">
            <v>51476.79</v>
          </cell>
          <cell r="S179">
            <v>182.64000000000001</v>
          </cell>
          <cell r="T179">
            <v>1788</v>
          </cell>
          <cell r="W179">
            <v>3312.69</v>
          </cell>
          <cell r="X179">
            <v>9.2019166666666674</v>
          </cell>
          <cell r="Y179">
            <v>44</v>
          </cell>
          <cell r="AA179">
            <v>9163</v>
          </cell>
          <cell r="AC179">
            <v>34</v>
          </cell>
        </row>
        <row r="180">
          <cell r="B180">
            <v>18545874</v>
          </cell>
          <cell r="D180">
            <v>5605522.71</v>
          </cell>
          <cell r="F180">
            <v>8179</v>
          </cell>
          <cell r="H180">
            <v>3558869.38</v>
          </cell>
          <cell r="J180">
            <v>1593</v>
          </cell>
          <cell r="L180">
            <v>7742035.3399999999</v>
          </cell>
          <cell r="N180">
            <v>18152.13</v>
          </cell>
          <cell r="O180">
            <v>99</v>
          </cell>
          <cell r="Q180">
            <v>57891.380000000005</v>
          </cell>
          <cell r="S180">
            <v>182.64000000000001</v>
          </cell>
          <cell r="T180">
            <v>1788</v>
          </cell>
          <cell r="W180">
            <v>3312.7</v>
          </cell>
          <cell r="X180">
            <v>9.2019444444444431</v>
          </cell>
          <cell r="Y180">
            <v>44</v>
          </cell>
          <cell r="AA180">
            <v>9163</v>
          </cell>
          <cell r="AC180">
            <v>34</v>
          </cell>
        </row>
        <row r="181">
          <cell r="B181">
            <v>15885668</v>
          </cell>
          <cell r="D181">
            <v>4667339.84</v>
          </cell>
          <cell r="F181">
            <v>8187</v>
          </cell>
          <cell r="H181">
            <v>2949527.67</v>
          </cell>
          <cell r="J181">
            <v>1591</v>
          </cell>
          <cell r="L181">
            <v>7082991.1099999994</v>
          </cell>
          <cell r="N181">
            <v>17737.259999999998</v>
          </cell>
          <cell r="O181">
            <v>99</v>
          </cell>
          <cell r="Q181">
            <v>63137.119999999995</v>
          </cell>
          <cell r="S181">
            <v>182.64000000000001</v>
          </cell>
          <cell r="T181">
            <v>1788</v>
          </cell>
          <cell r="W181">
            <v>3088.08</v>
          </cell>
          <cell r="X181">
            <v>8.5779999999999994</v>
          </cell>
          <cell r="Y181">
            <v>44</v>
          </cell>
          <cell r="AA181">
            <v>9163</v>
          </cell>
          <cell r="AC181">
            <v>34</v>
          </cell>
        </row>
        <row r="182">
          <cell r="B182">
            <v>16827580</v>
          </cell>
          <cell r="D182">
            <v>5452681.5599999996</v>
          </cell>
          <cell r="F182">
            <v>8191</v>
          </cell>
          <cell r="H182">
            <v>2976529.12</v>
          </cell>
          <cell r="J182">
            <v>1586</v>
          </cell>
          <cell r="L182">
            <v>7016489.5800000001</v>
          </cell>
          <cell r="N182">
            <v>16811.98</v>
          </cell>
          <cell r="O182">
            <v>98</v>
          </cell>
          <cell r="Q182">
            <v>75441.5</v>
          </cell>
          <cell r="S182">
            <v>182.64</v>
          </cell>
          <cell r="T182">
            <v>1788</v>
          </cell>
          <cell r="W182">
            <v>3307.68</v>
          </cell>
          <cell r="X182">
            <v>9.1879999999999988</v>
          </cell>
          <cell r="Y182">
            <v>44</v>
          </cell>
          <cell r="AA182">
            <v>9163</v>
          </cell>
          <cell r="AC182">
            <v>34</v>
          </cell>
        </row>
        <row r="183">
          <cell r="B183">
            <v>17464725</v>
          </cell>
          <cell r="D183">
            <v>6051958.7800000003</v>
          </cell>
          <cell r="F183">
            <v>8215</v>
          </cell>
          <cell r="H183">
            <v>3189412.57</v>
          </cell>
          <cell r="J183">
            <v>1587</v>
          </cell>
          <cell r="L183">
            <v>6733745.1699999999</v>
          </cell>
          <cell r="N183">
            <v>15893.71</v>
          </cell>
          <cell r="O183">
            <v>98</v>
          </cell>
          <cell r="Q183">
            <v>86249.82</v>
          </cell>
          <cell r="S183">
            <v>182.63999999999996</v>
          </cell>
          <cell r="T183">
            <v>1788</v>
          </cell>
          <cell r="W183">
            <v>3307.68</v>
          </cell>
          <cell r="X183">
            <v>9.1879999999999988</v>
          </cell>
          <cell r="Y183">
            <v>44</v>
          </cell>
          <cell r="AA183">
            <v>9163</v>
          </cell>
          <cell r="AC183">
            <v>34</v>
          </cell>
        </row>
        <row r="184">
          <cell r="B184">
            <v>20033626</v>
          </cell>
          <cell r="D184">
            <v>8213906.5</v>
          </cell>
          <cell r="F184">
            <v>8220</v>
          </cell>
          <cell r="H184">
            <v>3859488.5</v>
          </cell>
          <cell r="J184">
            <v>1593</v>
          </cell>
          <cell r="L184">
            <v>6883636</v>
          </cell>
          <cell r="N184">
            <v>17428</v>
          </cell>
          <cell r="O184">
            <v>98</v>
          </cell>
          <cell r="Q184">
            <v>86659.891642930263</v>
          </cell>
          <cell r="S184">
            <v>182.64000000000001</v>
          </cell>
          <cell r="T184">
            <v>1788</v>
          </cell>
          <cell r="W184">
            <v>3211</v>
          </cell>
          <cell r="X184">
            <v>8.9194444444444443</v>
          </cell>
          <cell r="Y184">
            <v>42</v>
          </cell>
          <cell r="AA184">
            <v>9163</v>
          </cell>
          <cell r="AC184">
            <v>34</v>
          </cell>
        </row>
        <row r="185">
          <cell r="B185">
            <v>20894714</v>
          </cell>
          <cell r="D185">
            <v>8134720.666666667</v>
          </cell>
          <cell r="F185">
            <v>8231</v>
          </cell>
          <cell r="H185">
            <v>4061320.5</v>
          </cell>
          <cell r="J185">
            <v>1593</v>
          </cell>
          <cell r="L185">
            <v>7352148</v>
          </cell>
          <cell r="N185">
            <v>16695</v>
          </cell>
          <cell r="O185">
            <v>98</v>
          </cell>
          <cell r="Q185">
            <v>83630.5</v>
          </cell>
          <cell r="S185">
            <v>183</v>
          </cell>
          <cell r="T185">
            <v>1788</v>
          </cell>
          <cell r="W185">
            <v>3137</v>
          </cell>
          <cell r="X185">
            <v>8.7138888888888886</v>
          </cell>
          <cell r="Y185">
            <v>40</v>
          </cell>
          <cell r="AA185">
            <v>9163</v>
          </cell>
          <cell r="AC185">
            <v>34</v>
          </cell>
        </row>
        <row r="186">
          <cell r="B186">
            <v>18595192</v>
          </cell>
          <cell r="D186">
            <v>7184677.666666667</v>
          </cell>
          <cell r="F186">
            <v>8234</v>
          </cell>
          <cell r="H186">
            <v>3455563.5</v>
          </cell>
          <cell r="J186">
            <v>1596</v>
          </cell>
          <cell r="L186">
            <v>6778490</v>
          </cell>
          <cell r="N186">
            <v>16246</v>
          </cell>
          <cell r="O186">
            <v>94</v>
          </cell>
          <cell r="Q186">
            <v>75637.5</v>
          </cell>
          <cell r="S186">
            <v>184</v>
          </cell>
          <cell r="T186">
            <v>1784</v>
          </cell>
          <cell r="W186">
            <v>3137</v>
          </cell>
          <cell r="X186">
            <v>8.7138888888888886</v>
          </cell>
          <cell r="Y186">
            <v>40</v>
          </cell>
          <cell r="AA186">
            <v>9163</v>
          </cell>
          <cell r="AC186">
            <v>34</v>
          </cell>
        </row>
        <row r="187">
          <cell r="B187">
            <v>20563148</v>
          </cell>
          <cell r="D187">
            <v>7886902.666666667</v>
          </cell>
          <cell r="F187">
            <v>8235</v>
          </cell>
          <cell r="H187">
            <v>3954426.5</v>
          </cell>
          <cell r="J187">
            <v>1595</v>
          </cell>
          <cell r="L187">
            <v>7509783</v>
          </cell>
          <cell r="N187">
            <v>16802</v>
          </cell>
          <cell r="O187">
            <v>95</v>
          </cell>
          <cell r="Q187">
            <v>69567.5</v>
          </cell>
          <cell r="S187">
            <v>182</v>
          </cell>
          <cell r="T187">
            <v>1784</v>
          </cell>
          <cell r="W187">
            <v>3134</v>
          </cell>
          <cell r="X187">
            <v>8.7055555555555557</v>
          </cell>
          <cell r="Y187">
            <v>40</v>
          </cell>
          <cell r="AA187">
            <v>9163</v>
          </cell>
          <cell r="AC187">
            <v>34</v>
          </cell>
        </row>
        <row r="188">
          <cell r="B188">
            <v>16445725</v>
          </cell>
          <cell r="D188">
            <v>5711424.666666667</v>
          </cell>
          <cell r="F188">
            <v>8236</v>
          </cell>
          <cell r="H188">
            <v>3009882.5</v>
          </cell>
          <cell r="J188">
            <v>1595</v>
          </cell>
          <cell r="L188">
            <v>6732903</v>
          </cell>
          <cell r="N188">
            <v>16981</v>
          </cell>
          <cell r="O188">
            <v>95</v>
          </cell>
          <cell r="Q188">
            <v>59374.5</v>
          </cell>
          <cell r="S188">
            <v>182</v>
          </cell>
          <cell r="T188">
            <v>1784</v>
          </cell>
          <cell r="W188">
            <v>3137</v>
          </cell>
          <cell r="X188">
            <v>8.7138888888888886</v>
          </cell>
          <cell r="Y188">
            <v>40</v>
          </cell>
          <cell r="AA188">
            <v>9163</v>
          </cell>
          <cell r="AC188">
            <v>34</v>
          </cell>
        </row>
        <row r="189">
          <cell r="B189">
            <v>16243959</v>
          </cell>
          <cell r="D189">
            <v>5211010.666666667</v>
          </cell>
          <cell r="F189">
            <v>8238</v>
          </cell>
          <cell r="H189">
            <v>2960162.5</v>
          </cell>
          <cell r="J189">
            <v>1599</v>
          </cell>
          <cell r="L189">
            <v>7061710</v>
          </cell>
          <cell r="N189">
            <v>17194</v>
          </cell>
          <cell r="O189">
            <v>95</v>
          </cell>
          <cell r="Q189">
            <v>54210.5</v>
          </cell>
          <cell r="S189">
            <v>182</v>
          </cell>
          <cell r="T189">
            <v>1784</v>
          </cell>
          <cell r="W189">
            <v>3137</v>
          </cell>
          <cell r="X189">
            <v>8.7138888888888886</v>
          </cell>
          <cell r="Y189">
            <v>40</v>
          </cell>
          <cell r="AA189">
            <v>9163</v>
          </cell>
          <cell r="AC189">
            <v>34</v>
          </cell>
        </row>
        <row r="190">
          <cell r="B190">
            <v>15767118</v>
          </cell>
          <cell r="D190">
            <v>4712143.666666667</v>
          </cell>
          <cell r="F190">
            <v>8241</v>
          </cell>
          <cell r="H190">
            <v>2946151.5</v>
          </cell>
          <cell r="J190">
            <v>1601</v>
          </cell>
          <cell r="L190">
            <v>7214046</v>
          </cell>
          <cell r="N190">
            <v>17674</v>
          </cell>
          <cell r="O190">
            <v>95</v>
          </cell>
          <cell r="Q190">
            <v>49317.5</v>
          </cell>
          <cell r="S190">
            <v>182</v>
          </cell>
          <cell r="T190">
            <v>1784</v>
          </cell>
          <cell r="W190">
            <v>3137</v>
          </cell>
          <cell r="X190">
            <v>8.7138888888888886</v>
          </cell>
          <cell r="Y190">
            <v>40</v>
          </cell>
          <cell r="AA190">
            <v>9163</v>
          </cell>
          <cell r="AC190">
            <v>34</v>
          </cell>
        </row>
        <row r="191">
          <cell r="B191">
            <v>16946040</v>
          </cell>
          <cell r="D191">
            <v>5141179.666666667</v>
          </cell>
          <cell r="F191">
            <v>8243</v>
          </cell>
          <cell r="H191">
            <v>3248085.5</v>
          </cell>
          <cell r="J191">
            <v>1597</v>
          </cell>
          <cell r="L191">
            <v>7460306</v>
          </cell>
          <cell r="N191">
            <v>17528</v>
          </cell>
          <cell r="O191">
            <v>95</v>
          </cell>
          <cell r="Q191">
            <v>52092.5</v>
          </cell>
          <cell r="S191">
            <v>182</v>
          </cell>
          <cell r="T191">
            <v>1786</v>
          </cell>
          <cell r="W191">
            <v>3137</v>
          </cell>
          <cell r="X191">
            <v>8.7138888888888886</v>
          </cell>
          <cell r="Y191">
            <v>40</v>
          </cell>
          <cell r="AA191">
            <v>9163</v>
          </cell>
          <cell r="AC191">
            <v>34</v>
          </cell>
        </row>
        <row r="192">
          <cell r="B192">
            <v>16990529</v>
          </cell>
          <cell r="D192">
            <v>5033095.666666667</v>
          </cell>
          <cell r="F192">
            <v>8247</v>
          </cell>
          <cell r="H192">
            <v>3340462.5</v>
          </cell>
          <cell r="J192">
            <v>1597</v>
          </cell>
          <cell r="L192">
            <v>7706106</v>
          </cell>
          <cell r="N192">
            <v>18266</v>
          </cell>
          <cell r="O192">
            <v>95</v>
          </cell>
          <cell r="Q192">
            <v>58345.5</v>
          </cell>
          <cell r="S192">
            <v>182</v>
          </cell>
          <cell r="T192">
            <v>1786</v>
          </cell>
          <cell r="W192">
            <v>3061</v>
          </cell>
          <cell r="X192">
            <v>8.5027777777777782</v>
          </cell>
          <cell r="Y192">
            <v>39</v>
          </cell>
          <cell r="AA192">
            <v>9163</v>
          </cell>
          <cell r="AC192">
            <v>34</v>
          </cell>
        </row>
        <row r="193">
          <cell r="B193">
            <v>16119744</v>
          </cell>
          <cell r="D193">
            <v>4851085.666666667</v>
          </cell>
          <cell r="F193">
            <v>8246</v>
          </cell>
          <cell r="H193">
            <v>2946077.5</v>
          </cell>
          <cell r="J193">
            <v>1592</v>
          </cell>
          <cell r="L193">
            <v>7255093</v>
          </cell>
          <cell r="N193">
            <v>18355</v>
          </cell>
          <cell r="O193">
            <v>95</v>
          </cell>
          <cell r="Q193">
            <v>64054.5</v>
          </cell>
          <cell r="S193">
            <v>182</v>
          </cell>
          <cell r="T193">
            <v>1786</v>
          </cell>
          <cell r="W193">
            <v>3037</v>
          </cell>
          <cell r="X193">
            <v>8.4361111111111118</v>
          </cell>
          <cell r="Y193">
            <v>39</v>
          </cell>
          <cell r="AA193">
            <v>9163</v>
          </cell>
          <cell r="AC193">
            <v>34</v>
          </cell>
        </row>
        <row r="194">
          <cell r="B194">
            <v>16551189</v>
          </cell>
          <cell r="D194">
            <v>5123214.666666667</v>
          </cell>
          <cell r="F194">
            <v>8249</v>
          </cell>
          <cell r="H194">
            <v>2895557.5</v>
          </cell>
          <cell r="J194">
            <v>1596</v>
          </cell>
          <cell r="L194">
            <v>7329597</v>
          </cell>
          <cell r="N194">
            <v>17414</v>
          </cell>
          <cell r="O194">
            <v>93</v>
          </cell>
          <cell r="Q194">
            <v>74430.5</v>
          </cell>
          <cell r="S194">
            <v>182</v>
          </cell>
          <cell r="T194">
            <v>1786</v>
          </cell>
          <cell r="W194">
            <v>3034</v>
          </cell>
          <cell r="X194">
            <v>8.4277777777777771</v>
          </cell>
          <cell r="Y194">
            <v>39</v>
          </cell>
          <cell r="AA194">
            <v>9163</v>
          </cell>
          <cell r="AC194">
            <v>34</v>
          </cell>
        </row>
        <row r="195">
          <cell r="B195">
            <v>18850254</v>
          </cell>
          <cell r="D195">
            <v>6734234.666666667</v>
          </cell>
          <cell r="F195">
            <v>8257</v>
          </cell>
          <cell r="H195">
            <v>3500035.5</v>
          </cell>
          <cell r="J195">
            <v>1597</v>
          </cell>
          <cell r="L195">
            <v>7248422</v>
          </cell>
          <cell r="N195">
            <v>17280</v>
          </cell>
          <cell r="O195">
            <v>93</v>
          </cell>
          <cell r="Q195">
            <v>79369.5</v>
          </cell>
          <cell r="S195">
            <v>182</v>
          </cell>
          <cell r="T195">
            <v>1786</v>
          </cell>
          <cell r="W195">
            <v>3042</v>
          </cell>
          <cell r="X195">
            <v>8.4499999999999993</v>
          </cell>
          <cell r="Y195">
            <v>39</v>
          </cell>
          <cell r="AA195">
            <v>9163</v>
          </cell>
          <cell r="AC195">
            <v>34</v>
          </cell>
        </row>
        <row r="196">
          <cell r="B196">
            <v>21540227</v>
          </cell>
          <cell r="D196">
            <v>9039576.666666666</v>
          </cell>
          <cell r="F196">
            <v>8257</v>
          </cell>
          <cell r="H196">
            <v>4196271.5</v>
          </cell>
          <cell r="J196">
            <v>1596</v>
          </cell>
          <cell r="L196">
            <v>7096109.4984641159</v>
          </cell>
          <cell r="N196">
            <v>17769</v>
          </cell>
          <cell r="O196">
            <v>93</v>
          </cell>
          <cell r="Q196">
            <v>85667.312249837094</v>
          </cell>
          <cell r="S196">
            <v>182</v>
          </cell>
          <cell r="T196">
            <v>1786</v>
          </cell>
          <cell r="W196">
            <v>2969</v>
          </cell>
          <cell r="X196">
            <v>8.2472222222222218</v>
          </cell>
          <cell r="Y196">
            <v>38</v>
          </cell>
          <cell r="AA196">
            <v>9163</v>
          </cell>
          <cell r="AC196">
            <v>34</v>
          </cell>
        </row>
        <row r="224">
          <cell r="D224">
            <v>74763266.999999985</v>
          </cell>
          <cell r="H224">
            <v>40513997</v>
          </cell>
          <cell r="L224">
            <v>86744713.498464122</v>
          </cell>
          <cell r="Q224">
            <v>805697.81224983709</v>
          </cell>
          <cell r="V224">
            <v>37099</v>
          </cell>
          <cell r="AA224">
            <v>109956</v>
          </cell>
        </row>
      </sheetData>
      <sheetData sheetId="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Purchased Power Model "/>
      <sheetName val="Purchased Power Model  15 Year"/>
      <sheetName val="Rate Class Energy Model"/>
      <sheetName val="Rate Class Customer Model"/>
      <sheetName val="Rate Class Load Model"/>
      <sheetName val="Weather Analysis"/>
      <sheetName val="CDM Activity"/>
    </sheetNames>
    <sheetDataSet>
      <sheetData sheetId="0" refreshError="1"/>
      <sheetData sheetId="1">
        <row r="123">
          <cell r="C123">
            <v>802.01</v>
          </cell>
        </row>
      </sheetData>
      <sheetData sheetId="2" refreshError="1"/>
      <sheetData sheetId="3" refreshError="1">
        <row r="8">
          <cell r="H8">
            <v>34709665.718873978</v>
          </cell>
          <cell r="I8">
            <v>17104385.849234831</v>
          </cell>
          <cell r="J8">
            <v>36469789.845078401</v>
          </cell>
          <cell r="K8">
            <v>15088.191951634233</v>
          </cell>
          <cell r="L8">
            <v>870724.37181182695</v>
          </cell>
          <cell r="M8">
            <v>59578.282637445678</v>
          </cell>
        </row>
        <row r="9">
          <cell r="H9">
            <v>34307485.991141111</v>
          </cell>
          <cell r="I9">
            <v>16285878.212038541</v>
          </cell>
          <cell r="J9">
            <v>37203370.716040052</v>
          </cell>
          <cell r="K9">
            <v>12745.000054789343</v>
          </cell>
          <cell r="L9">
            <v>867845.86245985259</v>
          </cell>
          <cell r="M9">
            <v>59286.009824296241</v>
          </cell>
        </row>
        <row r="10">
          <cell r="H10">
            <v>32087425.902134918</v>
          </cell>
          <cell r="I10">
            <v>15577192.650670696</v>
          </cell>
          <cell r="J10">
            <v>35288048.592480637</v>
          </cell>
          <cell r="K10">
            <v>12320.42320045343</v>
          </cell>
          <cell r="L10">
            <v>915732.82999999984</v>
          </cell>
          <cell r="M10">
            <v>56186.67107500472</v>
          </cell>
        </row>
        <row r="11">
          <cell r="H11">
            <v>32495032.851650625</v>
          </cell>
          <cell r="I11">
            <v>16100165.20979318</v>
          </cell>
          <cell r="J11">
            <v>34916048.268261276</v>
          </cell>
          <cell r="K11">
            <v>11992.599712015148</v>
          </cell>
          <cell r="L11">
            <v>864772.08237752493</v>
          </cell>
          <cell r="M11">
            <v>57999.708509766933</v>
          </cell>
        </row>
        <row r="12">
          <cell r="H12">
            <v>31022599.306133766</v>
          </cell>
          <cell r="I12">
            <v>14963752.530298829</v>
          </cell>
          <cell r="J12">
            <v>34359905.745212317</v>
          </cell>
          <cell r="K12">
            <v>11836.91368304191</v>
          </cell>
          <cell r="L12">
            <v>870724.35007863829</v>
          </cell>
          <cell r="M12">
            <v>57732.112128781584</v>
          </cell>
        </row>
        <row r="13">
          <cell r="H13">
            <v>32835458.904616527</v>
          </cell>
          <cell r="I13">
            <v>14688905.661948374</v>
          </cell>
          <cell r="J13">
            <v>35103776.857686184</v>
          </cell>
          <cell r="K13">
            <v>11688.222777315197</v>
          </cell>
          <cell r="L13">
            <v>867845.85067998897</v>
          </cell>
          <cell r="M13">
            <v>57420.094365806282</v>
          </cell>
        </row>
        <row r="14">
          <cell r="H14">
            <v>33119214.374991208</v>
          </cell>
          <cell r="I14">
            <v>15070832.429599425</v>
          </cell>
          <cell r="J14">
            <v>35293482.507375799</v>
          </cell>
          <cell r="K14">
            <v>10305.762623739478</v>
          </cell>
          <cell r="L14">
            <v>864290.53192154691</v>
          </cell>
          <cell r="M14">
            <v>56929.066888703863</v>
          </cell>
        </row>
        <row r="15">
          <cell r="H15">
            <v>30653237.230000004</v>
          </cell>
          <cell r="I15">
            <v>16254135.709999997</v>
          </cell>
          <cell r="J15">
            <v>32926646.330000002</v>
          </cell>
          <cell r="K15">
            <v>9789.6</v>
          </cell>
          <cell r="L15">
            <v>610716.62</v>
          </cell>
          <cell r="M15">
            <v>56112</v>
          </cell>
        </row>
        <row r="16">
          <cell r="H16">
            <v>28612743.149999999</v>
          </cell>
          <cell r="I16">
            <v>16697865.769999998</v>
          </cell>
          <cell r="J16">
            <v>31363756.609265432</v>
          </cell>
          <cell r="K16">
            <v>9395.08</v>
          </cell>
          <cell r="L16">
            <v>317115.33197150519</v>
          </cell>
          <cell r="M16">
            <v>56112</v>
          </cell>
        </row>
      </sheetData>
      <sheetData sheetId="4" refreshError="1">
        <row r="4">
          <cell r="B4">
            <v>2704.25</v>
          </cell>
          <cell r="C4">
            <v>508.33333333333331</v>
          </cell>
          <cell r="D4">
            <v>65.583333333333329</v>
          </cell>
          <cell r="E4">
            <v>12.5</v>
          </cell>
          <cell r="F4">
            <v>1061</v>
          </cell>
          <cell r="G4">
            <v>17.416666666666668</v>
          </cell>
        </row>
        <row r="5">
          <cell r="B5">
            <v>2744.0833333333335</v>
          </cell>
          <cell r="C5">
            <v>497.91666666666669</v>
          </cell>
          <cell r="D5">
            <v>66.333333333333329</v>
          </cell>
          <cell r="E5">
            <v>12</v>
          </cell>
          <cell r="F5">
            <v>1061</v>
          </cell>
          <cell r="G5">
            <v>18</v>
          </cell>
        </row>
        <row r="6">
          <cell r="B6">
            <v>2757</v>
          </cell>
          <cell r="C6">
            <v>495.58333333333331</v>
          </cell>
          <cell r="D6">
            <v>66.083333333333329</v>
          </cell>
          <cell r="E6">
            <v>11.5</v>
          </cell>
          <cell r="F6">
            <v>1061</v>
          </cell>
          <cell r="G6">
            <v>18</v>
          </cell>
        </row>
        <row r="7">
          <cell r="B7">
            <v>2794.0833333333335</v>
          </cell>
          <cell r="C7">
            <v>503.91666666666669</v>
          </cell>
          <cell r="D7">
            <v>64.5</v>
          </cell>
          <cell r="E7">
            <v>11</v>
          </cell>
          <cell r="F7">
            <v>1004</v>
          </cell>
          <cell r="G7">
            <v>18</v>
          </cell>
        </row>
        <row r="8">
          <cell r="B8">
            <v>2838</v>
          </cell>
          <cell r="C8">
            <v>494.41666666666669</v>
          </cell>
          <cell r="D8">
            <v>66.583333333333329</v>
          </cell>
          <cell r="E8">
            <v>11</v>
          </cell>
          <cell r="F8">
            <v>1004</v>
          </cell>
          <cell r="G8">
            <v>18</v>
          </cell>
        </row>
        <row r="9">
          <cell r="B9">
            <v>2858.5</v>
          </cell>
          <cell r="C9">
            <v>492.75</v>
          </cell>
          <cell r="D9">
            <v>70</v>
          </cell>
          <cell r="E9">
            <v>14</v>
          </cell>
          <cell r="F9">
            <v>1040.5</v>
          </cell>
          <cell r="G9">
            <v>18.25</v>
          </cell>
        </row>
        <row r="10">
          <cell r="B10">
            <v>2878.25</v>
          </cell>
          <cell r="C10">
            <v>513.16666666666663</v>
          </cell>
          <cell r="D10">
            <v>71.083333333333329</v>
          </cell>
          <cell r="E10">
            <v>12.666666666666666</v>
          </cell>
          <cell r="F10">
            <v>1046</v>
          </cell>
          <cell r="G10">
            <v>17.75</v>
          </cell>
        </row>
        <row r="11">
          <cell r="B11">
            <v>2895.0833333333335</v>
          </cell>
          <cell r="C11">
            <v>537.41666666666663</v>
          </cell>
          <cell r="D11">
            <v>55.083333333333336</v>
          </cell>
          <cell r="E11">
            <v>9</v>
          </cell>
          <cell r="F11">
            <v>977.25</v>
          </cell>
          <cell r="G11">
            <v>17</v>
          </cell>
        </row>
        <row r="12">
          <cell r="B12">
            <v>2895.9166666666665</v>
          </cell>
          <cell r="C12">
            <v>544.75</v>
          </cell>
          <cell r="D12">
            <v>50.5</v>
          </cell>
          <cell r="E12">
            <v>8.5</v>
          </cell>
          <cell r="F12">
            <v>896.16666666666663</v>
          </cell>
          <cell r="G12">
            <v>17</v>
          </cell>
        </row>
      </sheetData>
      <sheetData sheetId="5" refreshError="1"/>
      <sheetData sheetId="6" refreshError="1"/>
      <sheetData sheetId="7"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SP less Loss factor"/>
      <sheetName val="Notes"/>
      <sheetName val="Sheet1"/>
      <sheetName val="Sheet2"/>
      <sheetName val="Sheet3"/>
    </sheetNames>
    <sheetDataSet>
      <sheetData sheetId="0">
        <row r="86">
          <cell r="B86">
            <v>10049158.249729559</v>
          </cell>
          <cell r="D86">
            <v>4271439.4199886713</v>
          </cell>
          <cell r="E86">
            <v>2688</v>
          </cell>
          <cell r="G86">
            <v>1822272.5958813524</v>
          </cell>
          <cell r="H86">
            <v>506</v>
          </cell>
          <cell r="J86">
            <v>3368786.2459852635</v>
          </cell>
          <cell r="K86">
            <v>8014.1099999999988</v>
          </cell>
          <cell r="L86">
            <v>65</v>
          </cell>
          <cell r="N86">
            <v>95091.602116002265</v>
          </cell>
          <cell r="O86">
            <v>202.45</v>
          </cell>
          <cell r="P86">
            <v>1061</v>
          </cell>
          <cell r="R86">
            <v>1341.7910447761194</v>
          </cell>
          <cell r="S86">
            <v>2.5299999999999998</v>
          </cell>
          <cell r="T86">
            <v>13</v>
          </cell>
          <cell r="V86">
            <v>9037.7196296996008</v>
          </cell>
          <cell r="W86">
            <v>17</v>
          </cell>
          <cell r="AA86">
            <v>3259</v>
          </cell>
        </row>
        <row r="87">
          <cell r="B87">
            <v>9858421.7634187583</v>
          </cell>
          <cell r="D87">
            <v>4183961.6380124632</v>
          </cell>
          <cell r="E87">
            <v>2696</v>
          </cell>
          <cell r="G87">
            <v>1781697.7706404659</v>
          </cell>
          <cell r="H87">
            <v>501</v>
          </cell>
          <cell r="J87">
            <v>3242863.0738711506</v>
          </cell>
          <cell r="K87">
            <v>7456.1799999999994</v>
          </cell>
          <cell r="L87">
            <v>63</v>
          </cell>
          <cell r="N87">
            <v>83190.33629321745</v>
          </cell>
          <cell r="O87">
            <v>201.55</v>
          </cell>
          <cell r="P87">
            <v>1061</v>
          </cell>
          <cell r="R87">
            <v>1256.5747213300583</v>
          </cell>
          <cell r="S87">
            <v>2.5299999999999998</v>
          </cell>
          <cell r="T87">
            <v>13</v>
          </cell>
          <cell r="V87">
            <v>4119.0062346495361</v>
          </cell>
          <cell r="W87">
            <v>17</v>
          </cell>
          <cell r="AA87">
            <v>3260</v>
          </cell>
        </row>
        <row r="88">
          <cell r="B88">
            <v>9518498.2339055445</v>
          </cell>
          <cell r="D88">
            <v>3989554.1186472643</v>
          </cell>
          <cell r="E88">
            <v>2689</v>
          </cell>
          <cell r="G88">
            <v>1738686.9166824108</v>
          </cell>
          <cell r="H88">
            <v>499</v>
          </cell>
          <cell r="J88">
            <v>3261137.5873795585</v>
          </cell>
          <cell r="K88">
            <v>7755.2299999999987</v>
          </cell>
          <cell r="L88">
            <v>64</v>
          </cell>
          <cell r="N88">
            <v>80029.227281314947</v>
          </cell>
          <cell r="O88">
            <v>202.22</v>
          </cell>
          <cell r="P88">
            <v>1061</v>
          </cell>
          <cell r="R88">
            <v>1384.6023049310409</v>
          </cell>
          <cell r="S88">
            <v>2.5299999999999998</v>
          </cell>
          <cell r="T88">
            <v>13</v>
          </cell>
          <cell r="V88">
            <v>4703.7691290383527</v>
          </cell>
          <cell r="W88">
            <v>17</v>
          </cell>
          <cell r="AA88">
            <v>3252</v>
          </cell>
        </row>
        <row r="89">
          <cell r="B89">
            <v>7065981.2621990005</v>
          </cell>
          <cell r="D89">
            <v>2712058.2845267267</v>
          </cell>
          <cell r="E89">
            <v>2691</v>
          </cell>
          <cell r="G89">
            <v>1304143.6142074428</v>
          </cell>
          <cell r="H89">
            <v>501</v>
          </cell>
          <cell r="J89">
            <v>2756847.1849612696</v>
          </cell>
          <cell r="K89">
            <v>7521.7699999999995</v>
          </cell>
          <cell r="L89">
            <v>65</v>
          </cell>
          <cell r="N89">
            <v>67467.891554883798</v>
          </cell>
          <cell r="O89">
            <v>201.78</v>
          </cell>
          <cell r="P89">
            <v>1061</v>
          </cell>
          <cell r="R89">
            <v>1304.3548082372947</v>
          </cell>
          <cell r="S89">
            <v>2.5299999999999998</v>
          </cell>
          <cell r="T89">
            <v>13</v>
          </cell>
          <cell r="V89">
            <v>4074.8630266389569</v>
          </cell>
          <cell r="W89">
            <v>17</v>
          </cell>
          <cell r="AA89">
            <v>3257</v>
          </cell>
        </row>
        <row r="90">
          <cell r="B90">
            <v>6436800.6511819456</v>
          </cell>
          <cell r="D90">
            <v>2235801.4547515609</v>
          </cell>
          <cell r="E90">
            <v>2699</v>
          </cell>
          <cell r="G90">
            <v>1193511.4112979404</v>
          </cell>
          <cell r="H90">
            <v>510</v>
          </cell>
          <cell r="J90">
            <v>2651395.2106555831</v>
          </cell>
          <cell r="K90">
            <v>6982.3299999999981</v>
          </cell>
          <cell r="L90">
            <v>65</v>
          </cell>
          <cell r="N90">
            <v>60411.35461930852</v>
          </cell>
          <cell r="O90">
            <v>202.22</v>
          </cell>
          <cell r="P90">
            <v>1061</v>
          </cell>
          <cell r="R90">
            <v>1353.1645569620252</v>
          </cell>
          <cell r="S90">
            <v>2.5299999999999998</v>
          </cell>
          <cell r="T90">
            <v>13</v>
          </cell>
          <cell r="V90">
            <v>4755.3277914226328</v>
          </cell>
          <cell r="W90">
            <v>17</v>
          </cell>
          <cell r="AA90">
            <v>3274</v>
          </cell>
        </row>
        <row r="91">
          <cell r="B91">
            <v>6040678.1190407136</v>
          </cell>
          <cell r="D91">
            <v>1805231.1638012452</v>
          </cell>
          <cell r="E91">
            <v>2675</v>
          </cell>
          <cell r="G91">
            <v>1159366.5029283948</v>
          </cell>
          <cell r="H91">
            <v>504</v>
          </cell>
          <cell r="J91">
            <v>2775426.3083317601</v>
          </cell>
          <cell r="K91">
            <v>7349.93</v>
          </cell>
          <cell r="L91">
            <v>67</v>
          </cell>
          <cell r="N91">
            <v>51880.143585868129</v>
          </cell>
          <cell r="O91">
            <v>201.78</v>
          </cell>
          <cell r="P91">
            <v>1061</v>
          </cell>
          <cell r="R91">
            <v>1347.1282826374459</v>
          </cell>
          <cell r="S91">
            <v>2.5299999999999998</v>
          </cell>
          <cell r="T91">
            <v>13</v>
          </cell>
          <cell r="V91">
            <v>4508.9268845645183</v>
          </cell>
          <cell r="W91">
            <v>17</v>
          </cell>
          <cell r="AA91">
            <v>3246</v>
          </cell>
        </row>
        <row r="92">
          <cell r="B92">
            <v>6470679.2345368024</v>
          </cell>
          <cell r="D92">
            <v>1799681.0882297372</v>
          </cell>
          <cell r="E92">
            <v>2685</v>
          </cell>
          <cell r="G92">
            <v>1254257.0092575101</v>
          </cell>
          <cell r="H92">
            <v>514</v>
          </cell>
          <cell r="J92">
            <v>3027141.8666162849</v>
          </cell>
          <cell r="K92">
            <v>7177.5000000000036</v>
          </cell>
          <cell r="L92">
            <v>66</v>
          </cell>
          <cell r="N92">
            <v>52782.599659928208</v>
          </cell>
          <cell r="O92">
            <v>202</v>
          </cell>
          <cell r="P92">
            <v>1061</v>
          </cell>
          <cell r="R92">
            <v>1312.1197808426223</v>
          </cell>
          <cell r="S92">
            <v>2.5299999999999998</v>
          </cell>
          <cell r="T92">
            <v>13</v>
          </cell>
          <cell r="V92">
            <v>4672.9831853391279</v>
          </cell>
          <cell r="W92">
            <v>17</v>
          </cell>
          <cell r="AA92">
            <v>3265</v>
          </cell>
        </row>
        <row r="93">
          <cell r="B93">
            <v>6324753.7375270678</v>
          </cell>
          <cell r="D93">
            <v>1771700.8785188016</v>
          </cell>
          <cell r="E93">
            <v>2714</v>
          </cell>
          <cell r="G93">
            <v>1230305.4128093706</v>
          </cell>
          <cell r="H93">
            <v>520</v>
          </cell>
          <cell r="J93">
            <v>2986991.8288305304</v>
          </cell>
          <cell r="K93">
            <v>7076.4899999999989</v>
          </cell>
          <cell r="L93">
            <v>66</v>
          </cell>
          <cell r="N93">
            <v>58529.491781598335</v>
          </cell>
          <cell r="O93">
            <v>202.22</v>
          </cell>
          <cell r="P93">
            <v>1061</v>
          </cell>
          <cell r="R93">
            <v>1281.4471944077086</v>
          </cell>
          <cell r="S93">
            <v>2.5299999999999998</v>
          </cell>
          <cell r="T93">
            <v>12</v>
          </cell>
          <cell r="V93">
            <v>4483.7993576421695</v>
          </cell>
          <cell r="W93">
            <v>18</v>
          </cell>
          <cell r="AA93">
            <v>3300</v>
          </cell>
        </row>
        <row r="94">
          <cell r="B94">
            <v>5903831.0127619514</v>
          </cell>
          <cell r="D94">
            <v>1772519.1668241071</v>
          </cell>
          <cell r="E94">
            <v>2705</v>
          </cell>
          <cell r="G94">
            <v>1096619.8564141316</v>
          </cell>
          <cell r="H94">
            <v>515</v>
          </cell>
          <cell r="J94">
            <v>2805966.8807859435</v>
          </cell>
          <cell r="K94">
            <v>7392.6299999999983</v>
          </cell>
          <cell r="L94">
            <v>66</v>
          </cell>
          <cell r="N94">
            <v>65461.477423011529</v>
          </cell>
          <cell r="O94">
            <v>201.78</v>
          </cell>
          <cell r="P94">
            <v>1061</v>
          </cell>
          <cell r="R94">
            <v>1251.9837521254487</v>
          </cell>
          <cell r="S94">
            <v>2.5299999999999998</v>
          </cell>
          <cell r="T94">
            <v>12</v>
          </cell>
          <cell r="V94">
            <v>4907.8688834309469</v>
          </cell>
          <cell r="W94">
            <v>18</v>
          </cell>
          <cell r="AA94">
            <v>3286</v>
          </cell>
        </row>
        <row r="95">
          <cell r="B95">
            <v>6964900.733395095</v>
          </cell>
          <cell r="D95">
            <v>2379646.8921216703</v>
          </cell>
          <cell r="E95">
            <v>2731</v>
          </cell>
          <cell r="G95">
            <v>1211168.3733232564</v>
          </cell>
          <cell r="H95">
            <v>517</v>
          </cell>
          <cell r="J95">
            <v>2950114.3963725683</v>
          </cell>
          <cell r="K95">
            <v>7670.1500000000005</v>
          </cell>
          <cell r="L95">
            <v>66</v>
          </cell>
          <cell r="N95">
            <v>77443.529189495559</v>
          </cell>
          <cell r="O95">
            <v>202.22</v>
          </cell>
          <cell r="P95">
            <v>1061</v>
          </cell>
          <cell r="R95">
            <v>1270.3948611373517</v>
          </cell>
          <cell r="S95">
            <v>2.5299999999999998</v>
          </cell>
          <cell r="T95">
            <v>12</v>
          </cell>
          <cell r="V95">
            <v>4719.2235027394672</v>
          </cell>
          <cell r="W95">
            <v>18</v>
          </cell>
          <cell r="AA95">
            <v>3314</v>
          </cell>
        </row>
        <row r="96">
          <cell r="B96">
            <v>8182680.0845844205</v>
          </cell>
          <cell r="D96">
            <v>3329800.1889287713</v>
          </cell>
          <cell r="E96">
            <v>2732</v>
          </cell>
          <cell r="G96">
            <v>1481001.1335726418</v>
          </cell>
          <cell r="H96">
            <v>514</v>
          </cell>
          <cell r="J96">
            <v>3088285.3202342726</v>
          </cell>
          <cell r="K96">
            <v>7654.1699999999992</v>
          </cell>
          <cell r="L96">
            <v>68</v>
          </cell>
          <cell r="N96">
            <v>84361.845834120541</v>
          </cell>
          <cell r="O96">
            <v>201.78</v>
          </cell>
          <cell r="P96">
            <v>1061</v>
          </cell>
          <cell r="R96">
            <v>1002.0782165123748</v>
          </cell>
          <cell r="S96">
            <v>2.5299999999999998</v>
          </cell>
          <cell r="T96">
            <v>12</v>
          </cell>
          <cell r="V96">
            <v>4822.7375779331187</v>
          </cell>
          <cell r="W96">
            <v>18</v>
          </cell>
          <cell r="AA96">
            <v>3314</v>
          </cell>
        </row>
        <row r="97">
          <cell r="B97">
            <v>10400576.940400122</v>
          </cell>
          <cell r="D97">
            <v>4458271.4245229596</v>
          </cell>
          <cell r="E97">
            <v>2746</v>
          </cell>
          <cell r="G97">
            <v>1831355.2522199121</v>
          </cell>
          <cell r="H97">
            <v>499</v>
          </cell>
          <cell r="J97">
            <v>3554833.9410542208</v>
          </cell>
          <cell r="K97">
            <v>7851.5800000000017</v>
          </cell>
          <cell r="L97">
            <v>66</v>
          </cell>
          <cell r="N97">
            <v>94074.872473077659</v>
          </cell>
          <cell r="O97">
            <v>202</v>
          </cell>
          <cell r="P97">
            <v>1061</v>
          </cell>
          <cell r="R97">
            <v>982.55242773474413</v>
          </cell>
          <cell r="S97">
            <v>2.5299999999999998</v>
          </cell>
          <cell r="T97">
            <v>11</v>
          </cell>
          <cell r="V97">
            <v>4772.0574343472517</v>
          </cell>
          <cell r="W97">
            <v>18</v>
          </cell>
          <cell r="AA97">
            <v>3311</v>
          </cell>
        </row>
        <row r="98">
          <cell r="B98">
            <v>11465127.048732899</v>
          </cell>
          <cell r="D98">
            <v>4948559.1441526487</v>
          </cell>
          <cell r="E98">
            <v>2740</v>
          </cell>
          <cell r="G98">
            <v>1970844.7477800883</v>
          </cell>
          <cell r="H98">
            <v>495</v>
          </cell>
          <cell r="J98">
            <v>3705503.2117891558</v>
          </cell>
          <cell r="K98">
            <v>8128.42</v>
          </cell>
          <cell r="L98">
            <v>67</v>
          </cell>
          <cell r="N98">
            <v>95091.602116002265</v>
          </cell>
          <cell r="O98">
            <v>202.7</v>
          </cell>
          <cell r="P98">
            <v>1061</v>
          </cell>
          <cell r="R98">
            <v>1040.2796145853013</v>
          </cell>
          <cell r="S98">
            <v>2.5299999999999998</v>
          </cell>
          <cell r="T98">
            <v>12</v>
          </cell>
          <cell r="V98">
            <v>5060.5800113357263</v>
          </cell>
          <cell r="W98">
            <v>18</v>
          </cell>
          <cell r="AA98">
            <v>3302</v>
          </cell>
        </row>
        <row r="99">
          <cell r="B99">
            <v>9362543.8230083641</v>
          </cell>
          <cell r="D99">
            <v>4076058.9268845622</v>
          </cell>
          <cell r="E99">
            <v>2733</v>
          </cell>
          <cell r="G99">
            <v>1682412.6771207266</v>
          </cell>
          <cell r="H99">
            <v>495</v>
          </cell>
          <cell r="J99">
            <v>3257742.8490459095</v>
          </cell>
          <cell r="K99">
            <v>7657.48</v>
          </cell>
          <cell r="L99">
            <v>67</v>
          </cell>
          <cell r="N99">
            <v>80311.836387681848</v>
          </cell>
          <cell r="O99">
            <v>201.3</v>
          </cell>
          <cell r="P99">
            <v>1061</v>
          </cell>
          <cell r="R99">
            <v>994.4454940487434</v>
          </cell>
          <cell r="S99">
            <v>2.5299999999999998</v>
          </cell>
          <cell r="T99">
            <v>12</v>
          </cell>
          <cell r="V99">
            <v>4740.1379180049116</v>
          </cell>
          <cell r="W99">
            <v>18</v>
          </cell>
          <cell r="AA99">
            <v>3295</v>
          </cell>
        </row>
        <row r="100">
          <cell r="B100">
            <v>9287582.2570780814</v>
          </cell>
          <cell r="D100">
            <v>3747456.0646136431</v>
          </cell>
          <cell r="E100">
            <v>2733</v>
          </cell>
          <cell r="G100">
            <v>1612594.7194407694</v>
          </cell>
          <cell r="H100">
            <v>490</v>
          </cell>
          <cell r="J100">
            <v>3383792.5656527486</v>
          </cell>
          <cell r="K100">
            <v>8177.5000000000009</v>
          </cell>
          <cell r="L100">
            <v>67</v>
          </cell>
          <cell r="N100">
            <v>80029.227281314947</v>
          </cell>
          <cell r="O100">
            <v>202.22</v>
          </cell>
          <cell r="P100">
            <v>1061</v>
          </cell>
          <cell r="R100">
            <v>1129.7562818817307</v>
          </cell>
          <cell r="S100">
            <v>2.5299999999999998</v>
          </cell>
          <cell r="T100">
            <v>12</v>
          </cell>
          <cell r="V100">
            <v>5379.3311921405639</v>
          </cell>
          <cell r="W100">
            <v>18</v>
          </cell>
          <cell r="AA100">
            <v>3290</v>
          </cell>
        </row>
        <row r="101">
          <cell r="B101">
            <v>7379447.9314065296</v>
          </cell>
          <cell r="D101">
            <v>2798291.3754014689</v>
          </cell>
          <cell r="E101">
            <v>2726</v>
          </cell>
          <cell r="G101">
            <v>1265719.2707349334</v>
          </cell>
          <cell r="H101">
            <v>497</v>
          </cell>
          <cell r="J101">
            <v>2893608.1900623464</v>
          </cell>
          <cell r="K101">
            <v>7857.5399999999991</v>
          </cell>
          <cell r="L101">
            <v>66</v>
          </cell>
          <cell r="N101">
            <v>67467.891554883798</v>
          </cell>
          <cell r="O101">
            <v>201.79000000000002</v>
          </cell>
          <cell r="P101">
            <v>1061</v>
          </cell>
          <cell r="R101">
            <v>1027.772529756282</v>
          </cell>
          <cell r="S101">
            <v>2.5299999999999998</v>
          </cell>
          <cell r="T101">
            <v>12</v>
          </cell>
          <cell r="V101">
            <v>5030.2852824485171</v>
          </cell>
          <cell r="W101">
            <v>18</v>
          </cell>
          <cell r="AA101">
            <v>3289</v>
          </cell>
        </row>
        <row r="102">
          <cell r="B102">
            <v>6413518.9919946399</v>
          </cell>
          <cell r="D102">
            <v>2134761.7513697287</v>
          </cell>
          <cell r="E102">
            <v>2740</v>
          </cell>
          <cell r="G102">
            <v>1127987.9841299823</v>
          </cell>
          <cell r="H102">
            <v>518</v>
          </cell>
          <cell r="J102">
            <v>2852070.7727186852</v>
          </cell>
          <cell r="K102">
            <v>7947.7899999999991</v>
          </cell>
          <cell r="L102">
            <v>68</v>
          </cell>
          <cell r="N102">
            <v>60411.35461930852</v>
          </cell>
          <cell r="O102">
            <v>202.22</v>
          </cell>
          <cell r="P102">
            <v>1061</v>
          </cell>
          <cell r="R102">
            <v>1064.0090685811449</v>
          </cell>
          <cell r="S102">
            <v>2.5299999999999998</v>
          </cell>
          <cell r="T102">
            <v>12</v>
          </cell>
          <cell r="V102">
            <v>5531.4660872850936</v>
          </cell>
          <cell r="W102">
            <v>18</v>
          </cell>
          <cell r="AA102">
            <v>3326</v>
          </cell>
        </row>
        <row r="103">
          <cell r="B103">
            <v>6176624.8979346165</v>
          </cell>
          <cell r="D103">
            <v>1809618.779520117</v>
          </cell>
          <cell r="E103">
            <v>2747</v>
          </cell>
          <cell r="G103">
            <v>1110425.174759116</v>
          </cell>
          <cell r="H103">
            <v>496</v>
          </cell>
          <cell r="J103">
            <v>2892170.1114679771</v>
          </cell>
          <cell r="K103">
            <v>7415.6900000000005</v>
          </cell>
          <cell r="L103">
            <v>66</v>
          </cell>
          <cell r="N103">
            <v>51880.143585868129</v>
          </cell>
          <cell r="O103">
            <v>201.78</v>
          </cell>
          <cell r="P103">
            <v>1061</v>
          </cell>
          <cell r="R103">
            <v>1053.7124504061969</v>
          </cell>
          <cell r="S103">
            <v>2.5299999999999998</v>
          </cell>
          <cell r="T103">
            <v>12</v>
          </cell>
          <cell r="V103">
            <v>4203.4762894388814</v>
          </cell>
          <cell r="W103">
            <v>18</v>
          </cell>
          <cell r="AA103">
            <v>3309</v>
          </cell>
        </row>
        <row r="104">
          <cell r="B104">
            <v>6286283.0430342443</v>
          </cell>
          <cell r="D104">
            <v>1742294.3132439039</v>
          </cell>
          <cell r="E104">
            <v>2757</v>
          </cell>
          <cell r="G104">
            <v>1166253.7691290381</v>
          </cell>
          <cell r="H104">
            <v>502</v>
          </cell>
          <cell r="J104">
            <v>3054601.3319478557</v>
          </cell>
          <cell r="K104">
            <v>7512.0700000000006</v>
          </cell>
          <cell r="L104">
            <v>66</v>
          </cell>
          <cell r="N104">
            <v>52782.599659928208</v>
          </cell>
          <cell r="O104">
            <v>202</v>
          </cell>
          <cell r="P104">
            <v>1061</v>
          </cell>
          <cell r="R104">
            <v>1103.9958435669753</v>
          </cell>
          <cell r="S104">
            <v>2.5299999999999998</v>
          </cell>
          <cell r="T104">
            <v>12</v>
          </cell>
          <cell r="V104">
            <v>4823.3704893255244</v>
          </cell>
          <cell r="W104">
            <v>18</v>
          </cell>
          <cell r="AA104">
            <v>3325</v>
          </cell>
        </row>
        <row r="105">
          <cell r="B105">
            <v>6461056.9707369013</v>
          </cell>
          <cell r="D105">
            <v>1759359.6920461033</v>
          </cell>
          <cell r="E105">
            <v>2732</v>
          </cell>
          <cell r="G105">
            <v>1174821.6606839225</v>
          </cell>
          <cell r="H105">
            <v>503</v>
          </cell>
          <cell r="J105">
            <v>3167019.6013602875</v>
          </cell>
          <cell r="K105">
            <v>7390.77</v>
          </cell>
          <cell r="L105">
            <v>66</v>
          </cell>
          <cell r="N105">
            <v>58529.491781598335</v>
          </cell>
          <cell r="O105">
            <v>202.22</v>
          </cell>
          <cell r="P105">
            <v>1061</v>
          </cell>
          <cell r="R105">
            <v>1079.5106744757227</v>
          </cell>
          <cell r="S105">
            <v>2.5299999999999998</v>
          </cell>
          <cell r="T105">
            <v>12</v>
          </cell>
          <cell r="V105">
            <v>5045.9569242395619</v>
          </cell>
          <cell r="W105">
            <v>18</v>
          </cell>
          <cell r="AA105">
            <v>3301</v>
          </cell>
        </row>
        <row r="106">
          <cell r="B106">
            <v>6002783.2650192622</v>
          </cell>
          <cell r="D106">
            <v>1767431.6739089331</v>
          </cell>
          <cell r="E106">
            <v>2756</v>
          </cell>
          <cell r="G106">
            <v>1069403.674664651</v>
          </cell>
          <cell r="H106">
            <v>503</v>
          </cell>
          <cell r="J106">
            <v>2896425.1369733615</v>
          </cell>
          <cell r="K106">
            <v>7301.4900000000007</v>
          </cell>
          <cell r="L106">
            <v>66</v>
          </cell>
          <cell r="N106">
            <v>65461.477423011529</v>
          </cell>
          <cell r="O106">
            <v>201.78</v>
          </cell>
          <cell r="P106">
            <v>1061</v>
          </cell>
          <cell r="R106">
            <v>1047.5911581333835</v>
          </cell>
          <cell r="S106">
            <v>2.5299999999999998</v>
          </cell>
          <cell r="T106">
            <v>12</v>
          </cell>
          <cell r="V106">
            <v>4956.6030606461363</v>
          </cell>
          <cell r="W106">
            <v>18</v>
          </cell>
          <cell r="AA106">
            <v>3325</v>
          </cell>
        </row>
        <row r="107">
          <cell r="B107">
            <v>7089096.5899999999</v>
          </cell>
          <cell r="D107">
            <v>2555044.39</v>
          </cell>
          <cell r="E107">
            <v>2756</v>
          </cell>
          <cell r="G107">
            <v>1203062.4598526354</v>
          </cell>
          <cell r="H107">
            <v>500</v>
          </cell>
          <cell r="J107">
            <v>2921117.6081617232</v>
          </cell>
          <cell r="K107">
            <v>7100.98</v>
          </cell>
          <cell r="L107">
            <v>65</v>
          </cell>
          <cell r="N107">
            <v>77443.538635934252</v>
          </cell>
          <cell r="O107">
            <v>202.22</v>
          </cell>
          <cell r="P107">
            <v>1061</v>
          </cell>
          <cell r="R107">
            <v>1093.3969393538637</v>
          </cell>
          <cell r="S107">
            <v>2.5299999999999998</v>
          </cell>
          <cell r="T107">
            <v>12</v>
          </cell>
          <cell r="V107">
            <v>4935.6319667485368</v>
          </cell>
          <cell r="W107">
            <v>18</v>
          </cell>
          <cell r="AA107">
            <v>3321</v>
          </cell>
        </row>
        <row r="108">
          <cell r="B108">
            <v>7233992.159929703</v>
          </cell>
          <cell r="D108">
            <v>2871353.52</v>
          </cell>
          <cell r="E108">
            <v>2762</v>
          </cell>
          <cell r="G108">
            <v>1271259.8337426789</v>
          </cell>
          <cell r="H108">
            <v>489</v>
          </cell>
          <cell r="J108">
            <v>2876206.6125070849</v>
          </cell>
          <cell r="K108">
            <v>6944.01</v>
          </cell>
          <cell r="L108">
            <v>66</v>
          </cell>
          <cell r="N108">
            <v>84361.921405630084</v>
          </cell>
          <cell r="O108">
            <v>201.78</v>
          </cell>
          <cell r="P108">
            <v>1061</v>
          </cell>
          <cell r="R108">
            <v>1043.6500000000001</v>
          </cell>
          <cell r="S108">
            <v>2.5299999999999998</v>
          </cell>
          <cell r="T108">
            <v>12</v>
          </cell>
          <cell r="V108">
            <v>4890.8464009068584</v>
          </cell>
          <cell r="W108">
            <v>18</v>
          </cell>
          <cell r="AA108">
            <v>3317</v>
          </cell>
        </row>
        <row r="109">
          <cell r="B109">
            <v>9605520.6899999995</v>
          </cell>
          <cell r="D109">
            <v>4097256.36</v>
          </cell>
          <cell r="E109">
            <v>2747</v>
          </cell>
          <cell r="G109">
            <v>1631092.24</v>
          </cell>
          <cell r="H109">
            <v>487</v>
          </cell>
          <cell r="J109">
            <v>3303112.724352919</v>
          </cell>
          <cell r="K109">
            <v>7563.22</v>
          </cell>
          <cell r="L109">
            <v>66</v>
          </cell>
          <cell r="N109">
            <v>94074.77800869073</v>
          </cell>
          <cell r="O109">
            <v>202</v>
          </cell>
          <cell r="P109">
            <v>1061</v>
          </cell>
          <cell r="R109">
            <v>1066.8800000000001</v>
          </cell>
          <cell r="S109">
            <v>2.5299999999999998</v>
          </cell>
          <cell r="T109">
            <v>12</v>
          </cell>
          <cell r="V109">
            <v>4688.3242017759312</v>
          </cell>
          <cell r="W109">
            <v>18</v>
          </cell>
          <cell r="AA109">
            <v>3300</v>
          </cell>
        </row>
        <row r="110">
          <cell r="B110">
            <v>10580928.890000001</v>
          </cell>
          <cell r="D110">
            <v>4440169.2235027421</v>
          </cell>
          <cell r="E110">
            <v>2752</v>
          </cell>
          <cell r="G110">
            <v>1758369.620253166</v>
          </cell>
          <cell r="H110">
            <v>490</v>
          </cell>
          <cell r="J110">
            <v>3443226.4216890233</v>
          </cell>
          <cell r="K110">
            <v>7307.6421689023246</v>
          </cell>
          <cell r="L110">
            <v>66</v>
          </cell>
          <cell r="N110">
            <v>100663.87</v>
          </cell>
          <cell r="O110">
            <v>202.7</v>
          </cell>
          <cell r="P110">
            <v>1061</v>
          </cell>
          <cell r="R110">
            <v>1087.2000755715098</v>
          </cell>
          <cell r="S110">
            <v>3.29</v>
          </cell>
          <cell r="T110">
            <v>12</v>
          </cell>
          <cell r="V110">
            <v>5082.1367844322685</v>
          </cell>
          <cell r="W110">
            <v>18</v>
          </cell>
          <cell r="AA110">
            <v>3308</v>
          </cell>
        </row>
        <row r="111">
          <cell r="B111">
            <v>9196282.5199999996</v>
          </cell>
          <cell r="D111">
            <v>3763748.6113735181</v>
          </cell>
          <cell r="E111">
            <v>2736</v>
          </cell>
          <cell r="G111">
            <v>1537213.9901757038</v>
          </cell>
          <cell r="H111">
            <v>485</v>
          </cell>
          <cell r="J111">
            <v>3047663.9901757035</v>
          </cell>
          <cell r="K111">
            <v>6759.1535990931425</v>
          </cell>
          <cell r="L111">
            <v>66</v>
          </cell>
          <cell r="N111">
            <v>85018.1</v>
          </cell>
          <cell r="O111">
            <v>201.3</v>
          </cell>
          <cell r="P111">
            <v>1061</v>
          </cell>
          <cell r="R111">
            <v>971.3867372000758</v>
          </cell>
          <cell r="S111">
            <v>3.29</v>
          </cell>
          <cell r="T111">
            <v>12</v>
          </cell>
          <cell r="V111">
            <v>4489.4388815416587</v>
          </cell>
          <cell r="W111">
            <v>18</v>
          </cell>
          <cell r="AA111">
            <v>3287</v>
          </cell>
        </row>
        <row r="112">
          <cell r="B112">
            <v>8107533.9299999997</v>
          </cell>
          <cell r="D112">
            <v>3072072.1424522907</v>
          </cell>
          <cell r="E112">
            <v>2766</v>
          </cell>
          <cell r="G112">
            <v>1354232.5146419806</v>
          </cell>
          <cell r="H112">
            <v>492</v>
          </cell>
          <cell r="J112">
            <v>2991452.2010202156</v>
          </cell>
          <cell r="K112">
            <v>6749.3954279236732</v>
          </cell>
          <cell r="L112">
            <v>67</v>
          </cell>
          <cell r="N112">
            <v>84718.75</v>
          </cell>
          <cell r="O112">
            <v>202.22</v>
          </cell>
          <cell r="P112">
            <v>1061</v>
          </cell>
          <cell r="R112">
            <v>1094.9178159833741</v>
          </cell>
          <cell r="S112">
            <v>3.29</v>
          </cell>
          <cell r="T112">
            <v>12</v>
          </cell>
          <cell r="V112">
            <v>3435.254109200831</v>
          </cell>
          <cell r="W112">
            <v>18</v>
          </cell>
          <cell r="AA112">
            <v>3325</v>
          </cell>
        </row>
        <row r="113">
          <cell r="B113">
            <v>6522516.54</v>
          </cell>
          <cell r="D113">
            <v>2305792.8962781075</v>
          </cell>
          <cell r="E113">
            <v>2761</v>
          </cell>
          <cell r="G113">
            <v>1121411.5529945206</v>
          </cell>
          <cell r="H113">
            <v>494</v>
          </cell>
          <cell r="J113">
            <v>2647711.9497449459</v>
          </cell>
          <cell r="K113">
            <v>6736.1987530700926</v>
          </cell>
          <cell r="L113">
            <v>66</v>
          </cell>
          <cell r="N113">
            <v>71421.61</v>
          </cell>
          <cell r="O113">
            <v>201.78</v>
          </cell>
          <cell r="P113">
            <v>1061</v>
          </cell>
          <cell r="R113">
            <v>1062.7526922350276</v>
          </cell>
          <cell r="S113">
            <v>3.29</v>
          </cell>
          <cell r="T113">
            <v>12</v>
          </cell>
          <cell r="V113">
            <v>4536.7372000755722</v>
          </cell>
          <cell r="W113">
            <v>18</v>
          </cell>
          <cell r="AA113">
            <v>3321</v>
          </cell>
        </row>
        <row r="114">
          <cell r="B114">
            <v>6468646.8899999997</v>
          </cell>
          <cell r="D114">
            <v>2007282.6846778754</v>
          </cell>
          <cell r="E114">
            <v>2760</v>
          </cell>
          <cell r="G114">
            <v>1124779.7846211982</v>
          </cell>
          <cell r="H114">
            <v>500</v>
          </cell>
          <cell r="J114">
            <v>2821031.702248252</v>
          </cell>
          <cell r="K114">
            <v>7055.60173814472</v>
          </cell>
          <cell r="L114">
            <v>66</v>
          </cell>
          <cell r="N114">
            <v>63951.56</v>
          </cell>
          <cell r="O114">
            <v>202.22</v>
          </cell>
          <cell r="P114">
            <v>1061</v>
          </cell>
          <cell r="R114">
            <v>1098.2901945966369</v>
          </cell>
          <cell r="S114">
            <v>3.29</v>
          </cell>
          <cell r="T114">
            <v>12</v>
          </cell>
          <cell r="V114">
            <v>5069.4407708293975</v>
          </cell>
          <cell r="W114">
            <v>18</v>
          </cell>
          <cell r="AA114">
            <v>3326</v>
          </cell>
        </row>
        <row r="115">
          <cell r="B115">
            <v>6019822.29</v>
          </cell>
          <cell r="D115">
            <v>1725889.5333459303</v>
          </cell>
          <cell r="E115">
            <v>2765</v>
          </cell>
          <cell r="G115">
            <v>1101635.972038541</v>
          </cell>
          <cell r="H115">
            <v>494</v>
          </cell>
          <cell r="J115">
            <v>2764288.9665596071</v>
          </cell>
          <cell r="K115">
            <v>6592.4239561685245</v>
          </cell>
          <cell r="L115">
            <v>67</v>
          </cell>
          <cell r="N115">
            <v>54920.5</v>
          </cell>
          <cell r="O115">
            <v>201.78</v>
          </cell>
          <cell r="P115">
            <v>1061</v>
          </cell>
          <cell r="R115">
            <v>978.57547704515389</v>
          </cell>
          <cell r="S115">
            <v>3.29</v>
          </cell>
          <cell r="T115">
            <v>12</v>
          </cell>
          <cell r="V115">
            <v>4560.0793500850186</v>
          </cell>
          <cell r="W115">
            <v>18</v>
          </cell>
          <cell r="AA115">
            <v>3326</v>
          </cell>
        </row>
        <row r="116">
          <cell r="B116">
            <v>6912497.04</v>
          </cell>
          <cell r="D116">
            <v>1875311.647458907</v>
          </cell>
          <cell r="E116">
            <v>2750</v>
          </cell>
          <cell r="G116">
            <v>1261458.5490270166</v>
          </cell>
          <cell r="H116">
            <v>493</v>
          </cell>
          <cell r="J116">
            <v>3176812.6865671645</v>
          </cell>
          <cell r="K116">
            <v>7261.1845834120531</v>
          </cell>
          <cell r="L116">
            <v>66</v>
          </cell>
          <cell r="N116">
            <v>55875.66</v>
          </cell>
          <cell r="O116">
            <v>202</v>
          </cell>
          <cell r="P116">
            <v>1061</v>
          </cell>
          <cell r="R116">
            <v>1009.6164745890799</v>
          </cell>
          <cell r="S116">
            <v>3.29</v>
          </cell>
          <cell r="T116">
            <v>11</v>
          </cell>
          <cell r="V116">
            <v>4942.102777252976</v>
          </cell>
          <cell r="W116">
            <v>18</v>
          </cell>
          <cell r="AA116">
            <v>3309</v>
          </cell>
        </row>
        <row r="117">
          <cell r="B117">
            <v>6660937.4299999997</v>
          </cell>
          <cell r="D117">
            <v>1822965.2937842493</v>
          </cell>
          <cell r="E117">
            <v>2757</v>
          </cell>
          <cell r="G117">
            <v>1212943.651993199</v>
          </cell>
          <cell r="H117">
            <v>494</v>
          </cell>
          <cell r="J117">
            <v>3056819.8469676934</v>
          </cell>
          <cell r="K117">
            <v>7144.8044587190625</v>
          </cell>
          <cell r="L117">
            <v>66</v>
          </cell>
          <cell r="N117">
            <v>61959.32</v>
          </cell>
          <cell r="O117">
            <v>202.22</v>
          </cell>
          <cell r="P117">
            <v>1061</v>
          </cell>
          <cell r="R117">
            <v>1019.45021726809</v>
          </cell>
          <cell r="S117">
            <v>3.29</v>
          </cell>
          <cell r="T117">
            <v>11</v>
          </cell>
          <cell r="V117">
            <v>5089.3538635934256</v>
          </cell>
          <cell r="W117">
            <v>18</v>
          </cell>
          <cell r="AA117">
            <v>3317</v>
          </cell>
        </row>
        <row r="118">
          <cell r="B118">
            <v>5898215.71</v>
          </cell>
          <cell r="D118">
            <v>1773702.1160022651</v>
          </cell>
          <cell r="E118">
            <v>2752</v>
          </cell>
          <cell r="G118">
            <v>1036012.4598526348</v>
          </cell>
          <cell r="H118">
            <v>502</v>
          </cell>
          <cell r="J118">
            <v>2621239.1932741357</v>
          </cell>
          <cell r="K118">
            <v>6872.6620064235794</v>
          </cell>
          <cell r="L118">
            <v>66</v>
          </cell>
          <cell r="N118">
            <v>69297.509999999995</v>
          </cell>
          <cell r="O118">
            <v>201.78</v>
          </cell>
          <cell r="P118">
            <v>1061</v>
          </cell>
          <cell r="R118">
            <v>962.75269223502733</v>
          </cell>
          <cell r="S118">
            <v>3.29</v>
          </cell>
          <cell r="T118">
            <v>11</v>
          </cell>
          <cell r="V118">
            <v>4555.4789344417159</v>
          </cell>
          <cell r="W118">
            <v>18</v>
          </cell>
          <cell r="AA118">
            <v>3320</v>
          </cell>
        </row>
        <row r="119">
          <cell r="B119">
            <v>6508134.0700000003</v>
          </cell>
          <cell r="D119">
            <v>2229130.6348006823</v>
          </cell>
          <cell r="E119">
            <v>2752</v>
          </cell>
          <cell r="G119">
            <v>1106477.5174759114</v>
          </cell>
          <cell r="H119">
            <v>501</v>
          </cell>
          <cell r="J119">
            <v>2677902.3899489888</v>
          </cell>
          <cell r="K119">
            <v>4661.8363876818448</v>
          </cell>
          <cell r="L119">
            <v>66</v>
          </cell>
          <cell r="N119">
            <v>79012.86</v>
          </cell>
          <cell r="O119">
            <v>195.48</v>
          </cell>
          <cell r="P119">
            <v>1061</v>
          </cell>
          <cell r="R119">
            <v>1007.9822406952578</v>
          </cell>
          <cell r="S119">
            <v>3.29</v>
          </cell>
          <cell r="T119">
            <v>11</v>
          </cell>
          <cell r="V119">
            <v>4941.6304553183454</v>
          </cell>
          <cell r="W119">
            <v>18</v>
          </cell>
          <cell r="AA119">
            <v>3319</v>
          </cell>
        </row>
        <row r="120">
          <cell r="B120">
            <v>7633460.9100000001</v>
          </cell>
          <cell r="D120">
            <v>2958614.6136406627</v>
          </cell>
          <cell r="E120">
            <v>2777</v>
          </cell>
          <cell r="G120">
            <v>1307289.5616852436</v>
          </cell>
          <cell r="H120">
            <v>501</v>
          </cell>
          <cell r="J120">
            <v>2823928.5376912905</v>
          </cell>
          <cell r="K120">
            <v>6898.1484980162477</v>
          </cell>
          <cell r="L120">
            <v>65</v>
          </cell>
          <cell r="N120">
            <v>89305.53</v>
          </cell>
          <cell r="O120">
            <v>201.78</v>
          </cell>
          <cell r="P120">
            <v>1061</v>
          </cell>
          <cell r="R120">
            <v>1037.1150576232762</v>
          </cell>
          <cell r="S120">
            <v>3.29</v>
          </cell>
          <cell r="T120">
            <v>11</v>
          </cell>
          <cell r="V120">
            <v>4904.2603438503684</v>
          </cell>
          <cell r="W120">
            <v>18</v>
          </cell>
          <cell r="AA120">
            <v>3343</v>
          </cell>
        </row>
        <row r="121">
          <cell r="B121">
            <v>9874442.0099999998</v>
          </cell>
          <cell r="D121">
            <v>4112746.5048176884</v>
          </cell>
          <cell r="E121">
            <v>2756</v>
          </cell>
          <cell r="G121">
            <v>1655367.4759115826</v>
          </cell>
          <cell r="H121">
            <v>501</v>
          </cell>
          <cell r="J121">
            <v>3215970.7065936145</v>
          </cell>
          <cell r="K121">
            <v>7067.4097865104868</v>
          </cell>
          <cell r="L121">
            <v>66</v>
          </cell>
          <cell r="N121">
            <v>99587.56</v>
          </cell>
          <cell r="O121">
            <v>202</v>
          </cell>
          <cell r="P121">
            <v>1061</v>
          </cell>
          <cell r="R121">
            <v>990.38352541092013</v>
          </cell>
          <cell r="S121">
            <v>3.29</v>
          </cell>
          <cell r="T121">
            <v>11</v>
          </cell>
          <cell r="V121">
            <v>4580.7576043831477</v>
          </cell>
          <cell r="W121">
            <v>18</v>
          </cell>
          <cell r="AA121">
            <v>3323</v>
          </cell>
        </row>
        <row r="122">
          <cell r="B122">
            <v>10652053.130000001</v>
          </cell>
          <cell r="D122">
            <v>4618494.1904401937</v>
          </cell>
          <cell r="E122">
            <v>2760</v>
          </cell>
          <cell r="G122">
            <v>1867820.0264500296</v>
          </cell>
          <cell r="H122">
            <v>507</v>
          </cell>
          <cell r="J122">
            <v>3331962.6298885318</v>
          </cell>
          <cell r="K122">
            <v>7474.0899999999992</v>
          </cell>
          <cell r="L122">
            <v>64</v>
          </cell>
          <cell r="N122">
            <v>95091.507651615335</v>
          </cell>
          <cell r="O122">
            <v>202.7</v>
          </cell>
          <cell r="P122">
            <v>1004</v>
          </cell>
          <cell r="R122">
            <v>992.26336671075012</v>
          </cell>
          <cell r="S122">
            <v>3.29</v>
          </cell>
          <cell r="T122">
            <v>11</v>
          </cell>
          <cell r="V122">
            <v>4918.3733232571321</v>
          </cell>
          <cell r="W122">
            <v>18</v>
          </cell>
          <cell r="AA122">
            <v>3331</v>
          </cell>
        </row>
        <row r="123">
          <cell r="B123">
            <v>9203491.3900000006</v>
          </cell>
          <cell r="D123">
            <v>3913606.206310228</v>
          </cell>
          <cell r="E123">
            <v>2754</v>
          </cell>
          <cell r="G123">
            <v>1626994.2187795208</v>
          </cell>
          <cell r="H123">
            <v>503</v>
          </cell>
          <cell r="J123">
            <v>2944210.3249574909</v>
          </cell>
          <cell r="K123">
            <v>6878.21</v>
          </cell>
          <cell r="L123">
            <v>58</v>
          </cell>
          <cell r="N123">
            <v>80311.826941243155</v>
          </cell>
          <cell r="O123">
            <v>201.3</v>
          </cell>
          <cell r="P123">
            <v>1004</v>
          </cell>
          <cell r="R123">
            <v>890.51577555261656</v>
          </cell>
          <cell r="S123">
            <v>3.29</v>
          </cell>
          <cell r="T123">
            <v>11</v>
          </cell>
          <cell r="V123">
            <v>4360.26827885887</v>
          </cell>
          <cell r="W123">
            <v>18</v>
          </cell>
          <cell r="AA123">
            <v>3315</v>
          </cell>
        </row>
        <row r="124">
          <cell r="B124">
            <v>9110228.9299999997</v>
          </cell>
          <cell r="D124">
            <v>3657949.0836954494</v>
          </cell>
          <cell r="E124">
            <v>2761</v>
          </cell>
          <cell r="G124">
            <v>1573913.9429435104</v>
          </cell>
          <cell r="H124">
            <v>505</v>
          </cell>
          <cell r="J124">
            <v>3048878.698280748</v>
          </cell>
          <cell r="K124">
            <v>7141.57</v>
          </cell>
          <cell r="L124">
            <v>65</v>
          </cell>
          <cell r="N124">
            <v>80029.04779897978</v>
          </cell>
          <cell r="O124">
            <v>202.22</v>
          </cell>
          <cell r="P124">
            <v>1004</v>
          </cell>
          <cell r="R124">
            <v>1016.7768751180804</v>
          </cell>
          <cell r="S124">
            <v>3.29</v>
          </cell>
          <cell r="T124">
            <v>11</v>
          </cell>
          <cell r="V124">
            <v>5023.2098998677502</v>
          </cell>
          <cell r="W124">
            <v>18</v>
          </cell>
          <cell r="AA124">
            <v>3331</v>
          </cell>
        </row>
        <row r="125">
          <cell r="B125">
            <v>7251187.6799999997</v>
          </cell>
          <cell r="D125">
            <v>2785938.8343094606</v>
          </cell>
          <cell r="E125">
            <v>2777</v>
          </cell>
          <cell r="G125">
            <v>1263096.0797279442</v>
          </cell>
          <cell r="H125">
            <v>500</v>
          </cell>
          <cell r="J125">
            <v>2649202.4277347443</v>
          </cell>
          <cell r="K125">
            <v>6961.9699999999993</v>
          </cell>
          <cell r="L125">
            <v>65</v>
          </cell>
          <cell r="N125">
            <v>67467.986019270742</v>
          </cell>
          <cell r="O125">
            <v>201.78</v>
          </cell>
          <cell r="P125">
            <v>1004</v>
          </cell>
          <cell r="R125">
            <v>1001.3602871717362</v>
          </cell>
          <cell r="S125">
            <v>3.29</v>
          </cell>
          <cell r="T125">
            <v>11</v>
          </cell>
          <cell r="V125">
            <v>4859.0402418288304</v>
          </cell>
          <cell r="W125">
            <v>18</v>
          </cell>
          <cell r="AA125">
            <v>3342</v>
          </cell>
        </row>
        <row r="126">
          <cell r="B126">
            <v>6349745.4199999999</v>
          </cell>
          <cell r="D126">
            <v>2048161.8552805586</v>
          </cell>
          <cell r="E126">
            <v>2799</v>
          </cell>
          <cell r="G126">
            <v>1139335.8397884003</v>
          </cell>
          <cell r="H126">
            <v>507</v>
          </cell>
          <cell r="J126">
            <v>2733888.0408086153</v>
          </cell>
          <cell r="K126">
            <v>7779.37</v>
          </cell>
          <cell r="L126">
            <v>66</v>
          </cell>
          <cell r="N126">
            <v>60355.630077460803</v>
          </cell>
          <cell r="O126">
            <v>202</v>
          </cell>
          <cell r="P126">
            <v>1004</v>
          </cell>
          <cell r="R126">
            <v>1026.7712072548647</v>
          </cell>
          <cell r="S126">
            <v>3.29</v>
          </cell>
          <cell r="T126">
            <v>11</v>
          </cell>
          <cell r="V126">
            <v>5102.1632344606087</v>
          </cell>
          <cell r="W126">
            <v>18</v>
          </cell>
          <cell r="AA126">
            <v>3372</v>
          </cell>
        </row>
        <row r="127">
          <cell r="B127">
            <v>6011404.9400000004</v>
          </cell>
          <cell r="D127">
            <v>1720171.6228981682</v>
          </cell>
          <cell r="E127">
            <v>2773</v>
          </cell>
          <cell r="G127">
            <v>1127179.1611562432</v>
          </cell>
          <cell r="H127">
            <v>508</v>
          </cell>
          <cell r="J127">
            <v>2666885.6414131876</v>
          </cell>
          <cell r="K127">
            <v>7348.92</v>
          </cell>
          <cell r="L127">
            <v>65</v>
          </cell>
          <cell r="N127">
            <v>50239.334970716038</v>
          </cell>
          <cell r="O127">
            <v>195.48</v>
          </cell>
          <cell r="P127">
            <v>1004</v>
          </cell>
          <cell r="R127">
            <v>1183.6954468165504</v>
          </cell>
          <cell r="S127">
            <v>3.29</v>
          </cell>
          <cell r="T127">
            <v>11</v>
          </cell>
          <cell r="V127">
            <v>5053.0039675042499</v>
          </cell>
          <cell r="W127">
            <v>18</v>
          </cell>
          <cell r="AA127">
            <v>3346</v>
          </cell>
        </row>
        <row r="128">
          <cell r="B128">
            <v>6922485.8399999999</v>
          </cell>
          <cell r="D128">
            <v>1808830.6442471193</v>
          </cell>
          <cell r="E128">
            <v>2801</v>
          </cell>
          <cell r="G128">
            <v>1279368.5905913478</v>
          </cell>
          <cell r="H128">
            <v>507</v>
          </cell>
          <cell r="J128">
            <v>3172041.8855091631</v>
          </cell>
          <cell r="K128">
            <v>7538.2300000000005</v>
          </cell>
          <cell r="L128">
            <v>65</v>
          </cell>
          <cell r="N128">
            <v>52600.802947288874</v>
          </cell>
          <cell r="O128">
            <v>202</v>
          </cell>
          <cell r="P128">
            <v>1004</v>
          </cell>
          <cell r="R128">
            <v>986.8694502172682</v>
          </cell>
          <cell r="S128">
            <v>3.29</v>
          </cell>
          <cell r="T128">
            <v>11</v>
          </cell>
          <cell r="V128">
            <v>4813.3100321178918</v>
          </cell>
          <cell r="W128">
            <v>18</v>
          </cell>
          <cell r="AA128">
            <v>3373</v>
          </cell>
        </row>
        <row r="129">
          <cell r="B129">
            <v>6637913.4400000004</v>
          </cell>
          <cell r="D129">
            <v>1758242.8254232598</v>
          </cell>
          <cell r="E129">
            <v>2805</v>
          </cell>
          <cell r="G129">
            <v>1256516.5695253953</v>
          </cell>
          <cell r="H129">
            <v>505</v>
          </cell>
          <cell r="J129">
            <v>3039584.0133222314</v>
          </cell>
          <cell r="K129">
            <v>7283.42</v>
          </cell>
          <cell r="L129">
            <v>66</v>
          </cell>
          <cell r="N129">
            <v>58236.599130354341</v>
          </cell>
          <cell r="O129">
            <v>202</v>
          </cell>
          <cell r="P129">
            <v>1004</v>
          </cell>
          <cell r="R129">
            <v>980.54399111851251</v>
          </cell>
          <cell r="S129">
            <v>3.29</v>
          </cell>
          <cell r="T129">
            <v>11</v>
          </cell>
          <cell r="V129">
            <v>4781.4969007308728</v>
          </cell>
          <cell r="W129">
            <v>18</v>
          </cell>
          <cell r="AA129">
            <v>3376</v>
          </cell>
        </row>
        <row r="130">
          <cell r="B130">
            <v>5949651.4900000002</v>
          </cell>
          <cell r="D130">
            <v>1647223.3879174779</v>
          </cell>
          <cell r="E130">
            <v>2838</v>
          </cell>
          <cell r="G130">
            <v>1083191.8771394209</v>
          </cell>
          <cell r="H130">
            <v>501</v>
          </cell>
          <cell r="J130">
            <v>2696983.0604126193</v>
          </cell>
          <cell r="K130">
            <v>7377.8099999999995</v>
          </cell>
          <cell r="L130">
            <v>65</v>
          </cell>
          <cell r="N130">
            <v>65144.999537422518</v>
          </cell>
          <cell r="O130">
            <v>202</v>
          </cell>
          <cell r="P130">
            <v>1004</v>
          </cell>
          <cell r="R130">
            <v>954.57489129429177</v>
          </cell>
          <cell r="S130">
            <v>3.29</v>
          </cell>
          <cell r="T130">
            <v>11</v>
          </cell>
          <cell r="V130">
            <v>4655.8145989453242</v>
          </cell>
          <cell r="W130">
            <v>18</v>
          </cell>
          <cell r="AA130">
            <v>3404</v>
          </cell>
        </row>
        <row r="131">
          <cell r="B131">
            <v>6625992.0599999996</v>
          </cell>
          <cell r="D131">
            <v>2182187.8619668838</v>
          </cell>
          <cell r="E131">
            <v>2828</v>
          </cell>
          <cell r="G131">
            <v>1128778.1015820149</v>
          </cell>
          <cell r="H131">
            <v>509</v>
          </cell>
          <cell r="J131">
            <v>2740547.2569155339</v>
          </cell>
          <cell r="K131">
            <v>7016.4199999999992</v>
          </cell>
          <cell r="L131">
            <v>65</v>
          </cell>
          <cell r="N131">
            <v>77126.977518734391</v>
          </cell>
          <cell r="O131">
            <v>202</v>
          </cell>
          <cell r="P131">
            <v>1004</v>
          </cell>
          <cell r="R131">
            <v>986.40947358682581</v>
          </cell>
          <cell r="S131">
            <v>3.29</v>
          </cell>
          <cell r="T131">
            <v>11</v>
          </cell>
          <cell r="V131">
            <v>4811.0093440651308</v>
          </cell>
          <cell r="W131">
            <v>18</v>
          </cell>
          <cell r="AA131">
            <v>3402</v>
          </cell>
        </row>
        <row r="132">
          <cell r="B132">
            <v>7269828.8700000001</v>
          </cell>
          <cell r="D132">
            <v>2663518.3550744811</v>
          </cell>
          <cell r="E132">
            <v>2812</v>
          </cell>
          <cell r="G132">
            <v>1244983.9578129328</v>
          </cell>
          <cell r="H132">
            <v>500</v>
          </cell>
          <cell r="J132">
            <v>2790388.2875381629</v>
          </cell>
          <cell r="K132">
            <v>6814.51</v>
          </cell>
          <cell r="L132">
            <v>65</v>
          </cell>
          <cell r="N132">
            <v>84132.99102599686</v>
          </cell>
          <cell r="O132">
            <v>202</v>
          </cell>
          <cell r="P132">
            <v>1004</v>
          </cell>
          <cell r="R132">
            <v>986.40947358682581</v>
          </cell>
          <cell r="S132">
            <v>3.29</v>
          </cell>
          <cell r="T132">
            <v>11</v>
          </cell>
          <cell r="V132">
            <v>4811.0093440651308</v>
          </cell>
          <cell r="W132">
            <v>18</v>
          </cell>
          <cell r="AA132">
            <v>3377</v>
          </cell>
        </row>
        <row r="133">
          <cell r="B133">
            <v>8996511.5199999996</v>
          </cell>
          <cell r="D133">
            <v>3690707.984087348</v>
          </cell>
          <cell r="E133">
            <v>2821</v>
          </cell>
          <cell r="G133">
            <v>1508986.8442964191</v>
          </cell>
          <cell r="H133">
            <v>495</v>
          </cell>
          <cell r="J133">
            <v>3101476.0014802483</v>
          </cell>
          <cell r="K133">
            <v>7179.7400000000007</v>
          </cell>
          <cell r="L133">
            <v>65</v>
          </cell>
          <cell r="N133">
            <v>94034.378758442035</v>
          </cell>
          <cell r="O133">
            <v>202</v>
          </cell>
          <cell r="P133">
            <v>1004</v>
          </cell>
          <cell r="R133">
            <v>986.40947358682581</v>
          </cell>
          <cell r="S133">
            <v>3.29</v>
          </cell>
          <cell r="T133">
            <v>11</v>
          </cell>
          <cell r="V133">
            <v>4811.0093440651308</v>
          </cell>
          <cell r="W133">
            <v>18</v>
          </cell>
          <cell r="AA133">
            <v>3381</v>
          </cell>
        </row>
        <row r="134">
          <cell r="B134">
            <v>9673799.6600000001</v>
          </cell>
          <cell r="D134">
            <v>4089746.0542140817</v>
          </cell>
          <cell r="E134">
            <v>2818</v>
          </cell>
          <cell r="G134">
            <v>1634662.9660468134</v>
          </cell>
          <cell r="H134">
            <v>497</v>
          </cell>
          <cell r="J134">
            <v>3201288.2135257656</v>
          </cell>
          <cell r="K134">
            <v>7521.56</v>
          </cell>
          <cell r="L134">
            <v>65</v>
          </cell>
          <cell r="N134">
            <v>95286.779535572205</v>
          </cell>
          <cell r="O134">
            <v>202</v>
          </cell>
          <cell r="P134">
            <v>1004</v>
          </cell>
          <cell r="R134">
            <v>986.40947358682581</v>
          </cell>
          <cell r="S134">
            <v>3.29</v>
          </cell>
          <cell r="T134">
            <v>11</v>
          </cell>
          <cell r="V134">
            <v>4811.0093440651308</v>
          </cell>
          <cell r="W134">
            <v>18</v>
          </cell>
          <cell r="AA134">
            <v>3380</v>
          </cell>
        </row>
        <row r="135">
          <cell r="B135">
            <v>8504148.3100000005</v>
          </cell>
          <cell r="D135">
            <v>3527610.7595522241</v>
          </cell>
          <cell r="E135">
            <v>2815</v>
          </cell>
          <cell r="G135">
            <v>1455035.7017300385</v>
          </cell>
          <cell r="H135">
            <v>488</v>
          </cell>
          <cell r="J135">
            <v>2856518.3828291236</v>
          </cell>
          <cell r="K135">
            <v>6879.5999999999995</v>
          </cell>
          <cell r="L135">
            <v>65</v>
          </cell>
          <cell r="N135">
            <v>83476.501063928212</v>
          </cell>
          <cell r="O135">
            <v>202</v>
          </cell>
          <cell r="P135">
            <v>1004</v>
          </cell>
          <cell r="R135">
            <v>986.40947358682581</v>
          </cell>
          <cell r="S135">
            <v>3.29</v>
          </cell>
          <cell r="T135">
            <v>11</v>
          </cell>
          <cell r="V135">
            <v>4811.0093440651308</v>
          </cell>
          <cell r="W135">
            <v>18</v>
          </cell>
          <cell r="AA135">
            <v>3368</v>
          </cell>
        </row>
        <row r="136">
          <cell r="B136">
            <v>7800136.8600000003</v>
          </cell>
          <cell r="D136">
            <v>2962991.3960588379</v>
          </cell>
          <cell r="E136">
            <v>2830</v>
          </cell>
          <cell r="G136">
            <v>1339609.1312794886</v>
          </cell>
          <cell r="H136">
            <v>494</v>
          </cell>
          <cell r="J136">
            <v>2894689.0554167824</v>
          </cell>
          <cell r="K136">
            <v>7690.2699999999995</v>
          </cell>
          <cell r="L136">
            <v>65</v>
          </cell>
          <cell r="N136">
            <v>80362.34619298733</v>
          </cell>
          <cell r="O136">
            <v>202</v>
          </cell>
          <cell r="P136">
            <v>1004</v>
          </cell>
          <cell r="R136">
            <v>986.40947358682581</v>
          </cell>
          <cell r="S136">
            <v>3.29</v>
          </cell>
          <cell r="T136">
            <v>11</v>
          </cell>
          <cell r="V136">
            <v>4811.0093440651308</v>
          </cell>
          <cell r="W136">
            <v>18</v>
          </cell>
          <cell r="AA136">
            <v>3389</v>
          </cell>
        </row>
        <row r="137">
          <cell r="B137">
            <v>6947936.1900000004</v>
          </cell>
          <cell r="D137">
            <v>2592244.9995374205</v>
          </cell>
          <cell r="E137">
            <v>2829</v>
          </cell>
          <cell r="G137">
            <v>1156092.0251642154</v>
          </cell>
          <cell r="H137">
            <v>494</v>
          </cell>
          <cell r="J137">
            <v>2647699.7409566101</v>
          </cell>
          <cell r="K137">
            <v>6794.0999999999985</v>
          </cell>
          <cell r="L137">
            <v>65</v>
          </cell>
          <cell r="N137">
            <v>67770.987140346013</v>
          </cell>
          <cell r="O137">
            <v>202</v>
          </cell>
          <cell r="P137">
            <v>1004</v>
          </cell>
          <cell r="R137">
            <v>986.40947358682581</v>
          </cell>
          <cell r="S137">
            <v>3.29</v>
          </cell>
          <cell r="T137">
            <v>11</v>
          </cell>
          <cell r="V137">
            <v>4811.0093440651308</v>
          </cell>
          <cell r="W137">
            <v>18</v>
          </cell>
          <cell r="AA137">
            <v>3388</v>
          </cell>
        </row>
        <row r="138">
          <cell r="B138">
            <v>6152029.1299999999</v>
          </cell>
          <cell r="D138">
            <v>1843195.5870108232</v>
          </cell>
          <cell r="E138">
            <v>2824</v>
          </cell>
          <cell r="G138">
            <v>1087599.0378388385</v>
          </cell>
          <cell r="H138">
            <v>503</v>
          </cell>
          <cell r="J138">
            <v>2714329.9935239153</v>
          </cell>
          <cell r="K138">
            <v>7399.3000000000011</v>
          </cell>
          <cell r="L138">
            <v>65</v>
          </cell>
          <cell r="N138">
            <v>60637.015450087893</v>
          </cell>
          <cell r="O138">
            <v>202</v>
          </cell>
          <cell r="P138">
            <v>1004</v>
          </cell>
          <cell r="R138">
            <v>986.40947358682581</v>
          </cell>
          <cell r="S138">
            <v>3.29</v>
          </cell>
          <cell r="T138">
            <v>11</v>
          </cell>
          <cell r="V138">
            <v>4811.0093440651308</v>
          </cell>
          <cell r="W138">
            <v>18</v>
          </cell>
          <cell r="AA138">
            <v>3392</v>
          </cell>
        </row>
        <row r="139">
          <cell r="B139">
            <v>6070428.1900000004</v>
          </cell>
          <cell r="D139">
            <v>1717075.7331853122</v>
          </cell>
          <cell r="E139">
            <v>2841</v>
          </cell>
          <cell r="G139">
            <v>1112737.5982977159</v>
          </cell>
          <cell r="H139">
            <v>496</v>
          </cell>
          <cell r="J139">
            <v>2733860.50513461</v>
          </cell>
          <cell r="K139">
            <v>7262.2800000000007</v>
          </cell>
          <cell r="L139">
            <v>66</v>
          </cell>
          <cell r="N139">
            <v>51913.979091497829</v>
          </cell>
          <cell r="O139">
            <v>202</v>
          </cell>
          <cell r="P139">
            <v>1004</v>
          </cell>
          <cell r="R139">
            <v>986.40947358682581</v>
          </cell>
          <cell r="S139">
            <v>3.29</v>
          </cell>
          <cell r="T139">
            <v>11</v>
          </cell>
          <cell r="V139">
            <v>4811.0093440651308</v>
          </cell>
          <cell r="W139">
            <v>18</v>
          </cell>
          <cell r="AA139">
            <v>3403</v>
          </cell>
        </row>
        <row r="140">
          <cell r="B140">
            <v>6743140.0499999998</v>
          </cell>
          <cell r="D140">
            <v>1886194.8283837559</v>
          </cell>
          <cell r="E140">
            <v>2850</v>
          </cell>
          <cell r="G140">
            <v>1252209.2145434367</v>
          </cell>
          <cell r="H140">
            <v>499</v>
          </cell>
          <cell r="J140">
            <v>3057426.0153575726</v>
          </cell>
          <cell r="K140">
            <v>7091.82</v>
          </cell>
          <cell r="L140">
            <v>67</v>
          </cell>
          <cell r="N140">
            <v>52600.795633268572</v>
          </cell>
          <cell r="O140">
            <v>202</v>
          </cell>
          <cell r="P140">
            <v>1004</v>
          </cell>
          <cell r="R140">
            <v>986.40947358682581</v>
          </cell>
          <cell r="S140">
            <v>3.29</v>
          </cell>
          <cell r="T140">
            <v>11</v>
          </cell>
          <cell r="V140">
            <v>4811.0093440651308</v>
          </cell>
          <cell r="W140">
            <v>18</v>
          </cell>
          <cell r="AA140">
            <v>3416</v>
          </cell>
        </row>
        <row r="141">
          <cell r="B141">
            <v>6467639.2999999998</v>
          </cell>
          <cell r="D141">
            <v>1759023.3324081758</v>
          </cell>
          <cell r="E141">
            <v>2842</v>
          </cell>
          <cell r="G141">
            <v>1172563.0215561108</v>
          </cell>
          <cell r="H141">
            <v>497</v>
          </cell>
          <cell r="J141">
            <v>2984058.3217688962</v>
          </cell>
          <cell r="K141">
            <v>7431.2300000000005</v>
          </cell>
          <cell r="L141">
            <v>67</v>
          </cell>
          <cell r="N141">
            <v>58236.599130354341</v>
          </cell>
          <cell r="O141">
            <v>202</v>
          </cell>
          <cell r="P141">
            <v>1004</v>
          </cell>
          <cell r="R141">
            <v>986.40947358682581</v>
          </cell>
          <cell r="S141">
            <v>3.29</v>
          </cell>
          <cell r="T141">
            <v>11</v>
          </cell>
          <cell r="V141">
            <v>4811.0093440651308</v>
          </cell>
          <cell r="W141">
            <v>18</v>
          </cell>
          <cell r="AA141">
            <v>3406</v>
          </cell>
        </row>
        <row r="142">
          <cell r="B142">
            <v>5871910.4900000002</v>
          </cell>
          <cell r="D142">
            <v>1707202.8587288398</v>
          </cell>
          <cell r="E142">
            <v>2849</v>
          </cell>
          <cell r="G142">
            <v>1011827.0977888795</v>
          </cell>
          <cell r="H142">
            <v>498</v>
          </cell>
          <cell r="J142">
            <v>2638001.9983347212</v>
          </cell>
          <cell r="K142">
            <v>7190.7999999999993</v>
          </cell>
          <cell r="L142">
            <v>67</v>
          </cell>
          <cell r="N142">
            <v>65144.999537422518</v>
          </cell>
          <cell r="O142">
            <v>202</v>
          </cell>
          <cell r="P142">
            <v>1004</v>
          </cell>
          <cell r="R142">
            <v>986.40947358682581</v>
          </cell>
          <cell r="S142">
            <v>3.29</v>
          </cell>
          <cell r="T142">
            <v>11</v>
          </cell>
          <cell r="V142">
            <v>4811.0093440651308</v>
          </cell>
          <cell r="W142">
            <v>18</v>
          </cell>
          <cell r="AA142">
            <v>3414</v>
          </cell>
        </row>
        <row r="143">
          <cell r="B143">
            <v>6583661.0899999999</v>
          </cell>
          <cell r="D143">
            <v>2237426.0986215221</v>
          </cell>
          <cell r="E143">
            <v>2860</v>
          </cell>
          <cell r="G143">
            <v>1082781.9872328625</v>
          </cell>
          <cell r="H143">
            <v>498</v>
          </cell>
          <cell r="J143">
            <v>2705203.6543621058</v>
          </cell>
          <cell r="K143">
            <v>6895.6299999999992</v>
          </cell>
          <cell r="L143">
            <v>68</v>
          </cell>
          <cell r="N143">
            <v>77126.977518734391</v>
          </cell>
          <cell r="O143">
            <v>202</v>
          </cell>
          <cell r="P143">
            <v>1004</v>
          </cell>
          <cell r="R143">
            <v>986.40947358682581</v>
          </cell>
          <cell r="S143">
            <v>3.29</v>
          </cell>
          <cell r="T143">
            <v>11</v>
          </cell>
          <cell r="V143">
            <v>4811.0093440651308</v>
          </cell>
          <cell r="W143">
            <v>18</v>
          </cell>
          <cell r="AA143">
            <v>3426</v>
          </cell>
        </row>
        <row r="144">
          <cell r="B144">
            <v>7665558.5499999998</v>
          </cell>
          <cell r="D144">
            <v>2960926.5519474456</v>
          </cell>
          <cell r="E144">
            <v>2859</v>
          </cell>
          <cell r="G144">
            <v>1260056.4252012225</v>
          </cell>
          <cell r="H144">
            <v>487</v>
          </cell>
          <cell r="J144">
            <v>2832438.8657600144</v>
          </cell>
          <cell r="K144">
            <v>6739.2199999999993</v>
          </cell>
          <cell r="L144">
            <v>69</v>
          </cell>
          <cell r="N144">
            <v>84132.99102599686</v>
          </cell>
          <cell r="O144">
            <v>202</v>
          </cell>
          <cell r="P144">
            <v>1004</v>
          </cell>
          <cell r="R144">
            <v>986.40947358682581</v>
          </cell>
          <cell r="S144">
            <v>3.29</v>
          </cell>
          <cell r="T144">
            <v>11</v>
          </cell>
          <cell r="V144">
            <v>4811.0093440651308</v>
          </cell>
          <cell r="W144">
            <v>18</v>
          </cell>
          <cell r="AA144">
            <v>3415</v>
          </cell>
        </row>
        <row r="145">
          <cell r="B145">
            <v>8929487.0600000005</v>
          </cell>
          <cell r="D145">
            <v>3738961.106485331</v>
          </cell>
          <cell r="E145">
            <v>2839</v>
          </cell>
          <cell r="G145">
            <v>1398578.3236192064</v>
          </cell>
          <cell r="H145">
            <v>482</v>
          </cell>
          <cell r="J145">
            <v>3094390.9982422059</v>
          </cell>
          <cell r="K145">
            <v>7311.079999999999</v>
          </cell>
          <cell r="L145">
            <v>70</v>
          </cell>
          <cell r="N145">
            <v>94034.378758442035</v>
          </cell>
          <cell r="O145">
            <v>202</v>
          </cell>
          <cell r="P145">
            <v>1004</v>
          </cell>
          <cell r="R145">
            <v>986.40947358682581</v>
          </cell>
          <cell r="S145">
            <v>3.29</v>
          </cell>
          <cell r="T145">
            <v>11</v>
          </cell>
          <cell r="V145">
            <v>4811.0093440651308</v>
          </cell>
          <cell r="W145">
            <v>18</v>
          </cell>
          <cell r="AA145">
            <v>3391</v>
          </cell>
        </row>
        <row r="146">
          <cell r="B146">
            <v>9783442.3300000001</v>
          </cell>
          <cell r="D146">
            <v>4208471.2461837381</v>
          </cell>
          <cell r="E146">
            <v>2842</v>
          </cell>
          <cell r="G146">
            <v>1602619.8630770652</v>
          </cell>
          <cell r="H146">
            <v>490</v>
          </cell>
          <cell r="J146">
            <v>3223594.985660098</v>
          </cell>
          <cell r="K146">
            <v>7771.2999999999993</v>
          </cell>
          <cell r="L146">
            <v>70</v>
          </cell>
          <cell r="N146">
            <v>95286.779535572205</v>
          </cell>
          <cell r="O146">
            <v>202</v>
          </cell>
          <cell r="P146">
            <v>1035</v>
          </cell>
          <cell r="R146">
            <v>986.4094735868257</v>
          </cell>
          <cell r="S146">
            <v>3.29</v>
          </cell>
          <cell r="T146">
            <v>14</v>
          </cell>
          <cell r="V146">
            <v>4811.0093440651308</v>
          </cell>
          <cell r="W146">
            <v>19</v>
          </cell>
          <cell r="AA146">
            <v>3402</v>
          </cell>
        </row>
        <row r="147">
          <cell r="B147">
            <v>8953223.4100000001</v>
          </cell>
          <cell r="D147">
            <v>3821720.6032010349</v>
          </cell>
          <cell r="E147">
            <v>2845</v>
          </cell>
          <cell r="G147">
            <v>1457139.4948653902</v>
          </cell>
          <cell r="H147">
            <v>490</v>
          </cell>
          <cell r="J147">
            <v>2987569.2941067633</v>
          </cell>
          <cell r="K147">
            <v>7310.66</v>
          </cell>
          <cell r="L147">
            <v>70</v>
          </cell>
          <cell r="N147">
            <v>80598.001665278935</v>
          </cell>
          <cell r="O147">
            <v>202</v>
          </cell>
          <cell r="P147">
            <v>1035</v>
          </cell>
          <cell r="R147">
            <v>986.40947358682581</v>
          </cell>
          <cell r="S147">
            <v>3.29</v>
          </cell>
          <cell r="T147">
            <v>14</v>
          </cell>
          <cell r="V147">
            <v>4811.0093440651308</v>
          </cell>
          <cell r="W147">
            <v>19</v>
          </cell>
          <cell r="AA147">
            <v>3405</v>
          </cell>
        </row>
        <row r="148">
          <cell r="B148">
            <v>8575577.5700000003</v>
          </cell>
          <cell r="D148">
            <v>3482970.0619853828</v>
          </cell>
          <cell r="E148">
            <v>2848</v>
          </cell>
          <cell r="G148">
            <v>1142056.8785271533</v>
          </cell>
          <cell r="H148">
            <v>490</v>
          </cell>
          <cell r="J148">
            <v>3061644.8515126286</v>
          </cell>
          <cell r="K148">
            <v>7198.25</v>
          </cell>
          <cell r="L148">
            <v>70</v>
          </cell>
          <cell r="N148">
            <v>80362.34619298733</v>
          </cell>
          <cell r="O148">
            <v>202</v>
          </cell>
          <cell r="P148">
            <v>1035</v>
          </cell>
          <cell r="R148">
            <v>986.40947358682581</v>
          </cell>
          <cell r="S148">
            <v>3.29</v>
          </cell>
          <cell r="T148">
            <v>14</v>
          </cell>
          <cell r="V148">
            <v>4811.0093440651308</v>
          </cell>
          <cell r="W148">
            <v>19</v>
          </cell>
          <cell r="AA148">
            <v>3408</v>
          </cell>
        </row>
        <row r="149">
          <cell r="B149">
            <v>7308400.2999999998</v>
          </cell>
          <cell r="D149">
            <v>2820154.3806087528</v>
          </cell>
          <cell r="E149">
            <v>2851</v>
          </cell>
          <cell r="G149">
            <v>1296025.3862521977</v>
          </cell>
          <cell r="H149">
            <v>489</v>
          </cell>
          <cell r="J149">
            <v>2730966.5278934226</v>
          </cell>
          <cell r="K149">
            <v>8615.7999999999993</v>
          </cell>
          <cell r="L149">
            <v>70</v>
          </cell>
          <cell r="N149">
            <v>67770.987140346013</v>
          </cell>
          <cell r="O149">
            <v>202</v>
          </cell>
          <cell r="P149">
            <v>1035</v>
          </cell>
          <cell r="R149">
            <v>986.4094735868257</v>
          </cell>
          <cell r="S149">
            <v>3.29</v>
          </cell>
          <cell r="T149">
            <v>14</v>
          </cell>
          <cell r="V149">
            <v>4811.0093440651308</v>
          </cell>
          <cell r="W149">
            <v>19</v>
          </cell>
          <cell r="AA149">
            <v>3410</v>
          </cell>
        </row>
        <row r="150">
          <cell r="B150">
            <v>6268800.8499999996</v>
          </cell>
          <cell r="D150">
            <v>1977506.0505134615</v>
          </cell>
          <cell r="E150">
            <v>2854</v>
          </cell>
          <cell r="G150">
            <v>1115495.1521879914</v>
          </cell>
          <cell r="H150">
            <v>489</v>
          </cell>
          <cell r="J150">
            <v>2809512.6191137009</v>
          </cell>
          <cell r="K150">
            <v>6545.9000000000005</v>
          </cell>
          <cell r="L150">
            <v>70</v>
          </cell>
          <cell r="N150">
            <v>60637.015450087893</v>
          </cell>
          <cell r="O150">
            <v>202</v>
          </cell>
          <cell r="P150">
            <v>1035</v>
          </cell>
          <cell r="R150">
            <v>986.4094735868257</v>
          </cell>
          <cell r="S150">
            <v>3.29</v>
          </cell>
          <cell r="T150">
            <v>14</v>
          </cell>
          <cell r="V150">
            <v>4811.0093440651308</v>
          </cell>
          <cell r="W150">
            <v>19</v>
          </cell>
          <cell r="AA150">
            <v>3413</v>
          </cell>
        </row>
        <row r="151">
          <cell r="B151">
            <v>5909992.9699999997</v>
          </cell>
          <cell r="D151">
            <v>1695818.6788787125</v>
          </cell>
          <cell r="E151">
            <v>2857</v>
          </cell>
          <cell r="G151">
            <v>1023104.348228328</v>
          </cell>
          <cell r="H151">
            <v>489</v>
          </cell>
          <cell r="J151">
            <v>2713547.9045240078</v>
          </cell>
          <cell r="K151">
            <v>7478.1200000000008</v>
          </cell>
          <cell r="L151">
            <v>70</v>
          </cell>
          <cell r="N151">
            <v>51913.979091497837</v>
          </cell>
          <cell r="O151">
            <v>202</v>
          </cell>
          <cell r="P151">
            <v>1035</v>
          </cell>
          <cell r="R151">
            <v>986.4094735868257</v>
          </cell>
          <cell r="S151">
            <v>3.29</v>
          </cell>
          <cell r="T151">
            <v>14</v>
          </cell>
          <cell r="V151">
            <v>4811.0093440651308</v>
          </cell>
          <cell r="W151">
            <v>19</v>
          </cell>
          <cell r="AA151">
            <v>3416</v>
          </cell>
        </row>
        <row r="152">
          <cell r="B152">
            <v>6608457.4699999997</v>
          </cell>
          <cell r="D152">
            <v>1846126.1448792673</v>
          </cell>
          <cell r="E152">
            <v>2860</v>
          </cell>
          <cell r="G152">
            <v>1161702.4331575537</v>
          </cell>
          <cell r="H152">
            <v>499</v>
          </cell>
          <cell r="J152">
            <v>3057677.3614580445</v>
          </cell>
          <cell r="K152">
            <v>7952.0499999999993</v>
          </cell>
          <cell r="L152">
            <v>70</v>
          </cell>
          <cell r="N152">
            <v>52600.795633268579</v>
          </cell>
          <cell r="O152">
            <v>202</v>
          </cell>
          <cell r="P152">
            <v>1046</v>
          </cell>
          <cell r="R152">
            <v>986.4094735868257</v>
          </cell>
          <cell r="S152">
            <v>3.29</v>
          </cell>
          <cell r="T152">
            <v>14</v>
          </cell>
          <cell r="V152">
            <v>4759.0063835692481</v>
          </cell>
          <cell r="W152">
            <v>18</v>
          </cell>
          <cell r="AA152">
            <v>3429</v>
          </cell>
        </row>
        <row r="153">
          <cell r="B153">
            <v>6270631.3499999996</v>
          </cell>
          <cell r="D153">
            <v>1713052.104727542</v>
          </cell>
          <cell r="E153">
            <v>2863</v>
          </cell>
          <cell r="G153">
            <v>1092777.2319363488</v>
          </cell>
          <cell r="H153">
            <v>499</v>
          </cell>
          <cell r="J153">
            <v>2929931.0296974746</v>
          </cell>
          <cell r="K153">
            <v>7502.3099999999995</v>
          </cell>
          <cell r="L153">
            <v>70</v>
          </cell>
          <cell r="N153">
            <v>58236.599130354341</v>
          </cell>
          <cell r="O153">
            <v>202</v>
          </cell>
          <cell r="P153">
            <v>1046</v>
          </cell>
          <cell r="R153">
            <v>986.4094735868257</v>
          </cell>
          <cell r="S153">
            <v>3.29</v>
          </cell>
          <cell r="T153">
            <v>14</v>
          </cell>
          <cell r="V153">
            <v>4759.0063835692481</v>
          </cell>
          <cell r="W153">
            <v>18</v>
          </cell>
          <cell r="AA153">
            <v>3432</v>
          </cell>
        </row>
        <row r="154">
          <cell r="B154">
            <v>5768094.8099999996</v>
          </cell>
          <cell r="D154">
            <v>1670612.8874086407</v>
          </cell>
          <cell r="E154">
            <v>2866</v>
          </cell>
          <cell r="G154">
            <v>945724.79415302037</v>
          </cell>
          <cell r="H154">
            <v>499</v>
          </cell>
          <cell r="J154">
            <v>2653275.9552224996</v>
          </cell>
          <cell r="K154">
            <v>7691.93</v>
          </cell>
          <cell r="L154">
            <v>70</v>
          </cell>
          <cell r="N154">
            <v>65144.999537422518</v>
          </cell>
          <cell r="O154">
            <v>202</v>
          </cell>
          <cell r="P154">
            <v>1046</v>
          </cell>
          <cell r="R154">
            <v>986.4094735868257</v>
          </cell>
          <cell r="S154">
            <v>3.29</v>
          </cell>
          <cell r="T154">
            <v>14</v>
          </cell>
          <cell r="V154">
            <v>4759.0063835692481</v>
          </cell>
          <cell r="W154">
            <v>18</v>
          </cell>
          <cell r="AA154">
            <v>3435</v>
          </cell>
        </row>
        <row r="155">
          <cell r="B155">
            <v>6491226.0599999996</v>
          </cell>
          <cell r="D155">
            <v>2130606.8924044785</v>
          </cell>
          <cell r="E155">
            <v>2869</v>
          </cell>
          <cell r="G155">
            <v>1021825.3307428994</v>
          </cell>
          <cell r="H155">
            <v>493</v>
          </cell>
          <cell r="J155">
            <v>2773954.5378850959</v>
          </cell>
          <cell r="K155">
            <v>7292.8700000000008</v>
          </cell>
          <cell r="L155">
            <v>70</v>
          </cell>
          <cell r="N155">
            <v>77126.977518734377</v>
          </cell>
          <cell r="O155">
            <v>202</v>
          </cell>
          <cell r="P155">
            <v>1046</v>
          </cell>
          <cell r="R155">
            <v>988.92589508742719</v>
          </cell>
          <cell r="S155">
            <v>3.29</v>
          </cell>
          <cell r="T155">
            <v>14</v>
          </cell>
          <cell r="V155">
            <v>4759.0063835692481</v>
          </cell>
          <cell r="W155">
            <v>17</v>
          </cell>
          <cell r="AA155">
            <v>3432</v>
          </cell>
        </row>
        <row r="156">
          <cell r="B156">
            <v>8061547.1500000004</v>
          </cell>
          <cell r="D156">
            <v>3168115.1910444996</v>
          </cell>
          <cell r="E156">
            <v>2872</v>
          </cell>
          <cell r="G156">
            <v>1266971.0241465445</v>
          </cell>
          <cell r="H156">
            <v>493</v>
          </cell>
          <cell r="J156">
            <v>3000370.8206124525</v>
          </cell>
          <cell r="K156">
            <v>7611.18</v>
          </cell>
          <cell r="L156">
            <v>70</v>
          </cell>
          <cell r="N156">
            <v>84132.99102599686</v>
          </cell>
          <cell r="O156">
            <v>202</v>
          </cell>
          <cell r="P156">
            <v>1046</v>
          </cell>
          <cell r="R156">
            <v>910.80580997317043</v>
          </cell>
          <cell r="S156">
            <v>3.29</v>
          </cell>
          <cell r="T156">
            <v>14</v>
          </cell>
          <cell r="V156">
            <v>4759.0063835692481</v>
          </cell>
          <cell r="W156">
            <v>17</v>
          </cell>
          <cell r="AA156">
            <v>3435</v>
          </cell>
        </row>
        <row r="157">
          <cell r="B157">
            <v>9936619.0199999996</v>
          </cell>
          <cell r="D157">
            <v>4300304.6627810169</v>
          </cell>
          <cell r="E157">
            <v>2875</v>
          </cell>
          <cell r="G157">
            <v>1563463.7246738828</v>
          </cell>
          <cell r="H157">
            <v>493</v>
          </cell>
          <cell r="J157">
            <v>3161730.97</v>
          </cell>
          <cell r="K157">
            <v>8336.26</v>
          </cell>
          <cell r="L157">
            <v>70</v>
          </cell>
          <cell r="N157">
            <v>94034.37875844205</v>
          </cell>
          <cell r="O157">
            <v>202</v>
          </cell>
          <cell r="P157">
            <v>1046</v>
          </cell>
          <cell r="R157">
            <v>910.80580997317065</v>
          </cell>
          <cell r="S157">
            <v>3.29</v>
          </cell>
          <cell r="T157">
            <v>14</v>
          </cell>
          <cell r="V157">
            <v>4759.0063835692481</v>
          </cell>
          <cell r="W157">
            <v>17</v>
          </cell>
          <cell r="AA157">
            <v>3438</v>
          </cell>
        </row>
        <row r="158">
          <cell r="B158">
            <v>10671600</v>
          </cell>
          <cell r="D158">
            <v>4655088.3227634374</v>
          </cell>
          <cell r="E158">
            <v>2873</v>
          </cell>
          <cell r="G158">
            <v>1747543.15702193</v>
          </cell>
          <cell r="H158">
            <v>509</v>
          </cell>
          <cell r="J158">
            <v>3595121.2878157096</v>
          </cell>
          <cell r="K158">
            <v>7037.09</v>
          </cell>
          <cell r="L158">
            <v>71</v>
          </cell>
          <cell r="N158">
            <v>95286.779535572205</v>
          </cell>
          <cell r="O158">
            <v>202</v>
          </cell>
          <cell r="P158">
            <v>1046</v>
          </cell>
          <cell r="R158">
            <v>910.80580997317054</v>
          </cell>
          <cell r="S158">
            <v>2.5300161388143625</v>
          </cell>
          <cell r="T158">
            <v>13</v>
          </cell>
          <cell r="V158">
            <v>4759.0063835692481</v>
          </cell>
          <cell r="W158">
            <v>18</v>
          </cell>
          <cell r="AA158">
            <v>3453</v>
          </cell>
        </row>
        <row r="159">
          <cell r="B159">
            <v>9225566</v>
          </cell>
          <cell r="D159">
            <v>3941023.2103571063</v>
          </cell>
          <cell r="E159">
            <v>2871</v>
          </cell>
          <cell r="G159">
            <v>1525800.54438431</v>
          </cell>
          <cell r="H159">
            <v>509</v>
          </cell>
          <cell r="J159">
            <v>3049328.5410306226</v>
          </cell>
          <cell r="K159">
            <v>7173.34</v>
          </cell>
          <cell r="L159">
            <v>71</v>
          </cell>
          <cell r="N159">
            <v>80598.001665278935</v>
          </cell>
          <cell r="O159">
            <v>202</v>
          </cell>
          <cell r="P159">
            <v>1046</v>
          </cell>
          <cell r="R159">
            <v>910.80580997317054</v>
          </cell>
          <cell r="S159">
            <v>2.5300161388143625</v>
          </cell>
          <cell r="T159">
            <v>13</v>
          </cell>
          <cell r="V159">
            <v>4759.0063835692481</v>
          </cell>
          <cell r="W159">
            <v>18</v>
          </cell>
          <cell r="AA159">
            <v>3451</v>
          </cell>
        </row>
        <row r="160">
          <cell r="B160">
            <v>9497623</v>
          </cell>
          <cell r="D160">
            <v>3939370.0139467064</v>
          </cell>
          <cell r="E160">
            <v>2868</v>
          </cell>
          <cell r="G160">
            <v>1559947.8753122401</v>
          </cell>
          <cell r="H160">
            <v>509</v>
          </cell>
          <cell r="J160">
            <v>3262112.0085114259</v>
          </cell>
          <cell r="K160">
            <v>7233.35</v>
          </cell>
          <cell r="L160">
            <v>71</v>
          </cell>
          <cell r="N160">
            <v>80362.34619298733</v>
          </cell>
          <cell r="O160">
            <v>202</v>
          </cell>
          <cell r="P160">
            <v>1046</v>
          </cell>
          <cell r="R160">
            <v>910.80580997317065</v>
          </cell>
          <cell r="S160">
            <v>2.5300161388143629</v>
          </cell>
          <cell r="T160">
            <v>13</v>
          </cell>
          <cell r="V160">
            <v>4759.0063835692481</v>
          </cell>
          <cell r="W160">
            <v>18</v>
          </cell>
          <cell r="AA160">
            <v>3448</v>
          </cell>
        </row>
        <row r="161">
          <cell r="B161">
            <v>7418963</v>
          </cell>
          <cell r="D161">
            <v>2842921.1010037963</v>
          </cell>
          <cell r="E161">
            <v>2866</v>
          </cell>
          <cell r="G161">
            <v>1219701.88585901</v>
          </cell>
          <cell r="H161">
            <v>517</v>
          </cell>
          <cell r="J161">
            <v>2798247.9322786564</v>
          </cell>
          <cell r="K161">
            <v>6669.7199999999993</v>
          </cell>
          <cell r="L161">
            <v>71</v>
          </cell>
          <cell r="N161">
            <v>67770.987140346013</v>
          </cell>
          <cell r="O161">
            <v>202</v>
          </cell>
          <cell r="P161">
            <v>1046</v>
          </cell>
          <cell r="R161">
            <v>910.80580997317065</v>
          </cell>
          <cell r="S161">
            <v>2.5300161388143629</v>
          </cell>
          <cell r="T161">
            <v>13</v>
          </cell>
          <cell r="V161">
            <v>4759.0063835692481</v>
          </cell>
          <cell r="W161">
            <v>18</v>
          </cell>
          <cell r="AA161">
            <v>3454</v>
          </cell>
        </row>
        <row r="162">
          <cell r="B162">
            <v>6295445</v>
          </cell>
          <cell r="D162">
            <v>2021278.6456425167</v>
          </cell>
          <cell r="E162">
            <v>2861</v>
          </cell>
          <cell r="G162">
            <v>1052760.5221805898</v>
          </cell>
          <cell r="H162">
            <v>516</v>
          </cell>
          <cell r="J162">
            <v>2705650.4209455084</v>
          </cell>
          <cell r="K162">
            <v>7092.880000000001</v>
          </cell>
          <cell r="L162">
            <v>71</v>
          </cell>
          <cell r="N162">
            <v>60637.015450087893</v>
          </cell>
          <cell r="O162">
            <v>202</v>
          </cell>
          <cell r="P162">
            <v>1046</v>
          </cell>
          <cell r="R162">
            <v>910.80580997317054</v>
          </cell>
          <cell r="S162">
            <v>2.5300161388143625</v>
          </cell>
          <cell r="T162">
            <v>13</v>
          </cell>
          <cell r="V162">
            <v>4759.0063835692481</v>
          </cell>
          <cell r="W162">
            <v>18</v>
          </cell>
          <cell r="AA162">
            <v>3448</v>
          </cell>
        </row>
        <row r="163">
          <cell r="B163">
            <v>5936423</v>
          </cell>
          <cell r="D163">
            <v>1670925.6342631166</v>
          </cell>
          <cell r="E163">
            <v>2885</v>
          </cell>
          <cell r="G163">
            <v>1033572.53994357</v>
          </cell>
          <cell r="H163">
            <v>515</v>
          </cell>
          <cell r="J163">
            <v>2743382.7736145807</v>
          </cell>
          <cell r="K163">
            <v>7697.619999999999</v>
          </cell>
          <cell r="L163">
            <v>71</v>
          </cell>
          <cell r="N163">
            <v>51913.979091497837</v>
          </cell>
          <cell r="O163">
            <v>202</v>
          </cell>
          <cell r="P163">
            <v>1046</v>
          </cell>
          <cell r="R163">
            <v>925.92284207604791</v>
          </cell>
          <cell r="S163">
            <v>2.5720078946556888</v>
          </cell>
          <cell r="T163">
            <v>13</v>
          </cell>
          <cell r="V163">
            <v>4759.0063835692481</v>
          </cell>
          <cell r="W163">
            <v>18</v>
          </cell>
          <cell r="AA163">
            <v>3471</v>
          </cell>
        </row>
        <row r="164">
          <cell r="B164">
            <v>6119989</v>
          </cell>
          <cell r="D164">
            <v>1711537.2172032567</v>
          </cell>
          <cell r="E164">
            <v>2885</v>
          </cell>
          <cell r="G164">
            <v>1084855.98892127</v>
          </cell>
          <cell r="H164">
            <v>517</v>
          </cell>
          <cell r="J164">
            <v>2828929.2348968456</v>
          </cell>
          <cell r="K164">
            <v>6939.4999999999991</v>
          </cell>
          <cell r="L164">
            <v>71</v>
          </cell>
          <cell r="N164">
            <v>52600.795633268579</v>
          </cell>
          <cell r="O164">
            <v>202</v>
          </cell>
          <cell r="P164">
            <v>1046</v>
          </cell>
          <cell r="R164">
            <v>835.20214635951538</v>
          </cell>
          <cell r="S164">
            <v>2.3200059621097648</v>
          </cell>
          <cell r="T164">
            <v>13</v>
          </cell>
          <cell r="V164">
            <v>4759.0063835692481</v>
          </cell>
          <cell r="W164">
            <v>18</v>
          </cell>
          <cell r="AA164">
            <v>3473</v>
          </cell>
        </row>
        <row r="165">
          <cell r="B165">
            <v>6090508</v>
          </cell>
          <cell r="D165">
            <v>1715796.2605930266</v>
          </cell>
          <cell r="E165">
            <v>2885</v>
          </cell>
          <cell r="G165">
            <v>1060568.87632991</v>
          </cell>
          <cell r="H165">
            <v>517</v>
          </cell>
          <cell r="J165">
            <v>2789965.5749838101</v>
          </cell>
          <cell r="K165">
            <v>7139.83</v>
          </cell>
          <cell r="L165">
            <v>71</v>
          </cell>
          <cell r="N165">
            <v>58236.599130354341</v>
          </cell>
          <cell r="O165">
            <v>202</v>
          </cell>
          <cell r="P165">
            <v>1046</v>
          </cell>
          <cell r="R165">
            <v>835.20214635951538</v>
          </cell>
          <cell r="S165">
            <v>2.3200059621097648</v>
          </cell>
          <cell r="T165">
            <v>13</v>
          </cell>
          <cell r="V165">
            <v>4759.0063835692481</v>
          </cell>
          <cell r="W165">
            <v>18</v>
          </cell>
          <cell r="AA165">
            <v>3473</v>
          </cell>
        </row>
        <row r="166">
          <cell r="B166">
            <v>5804398</v>
          </cell>
          <cell r="D166">
            <v>1709941.7412110267</v>
          </cell>
          <cell r="E166">
            <v>2885</v>
          </cell>
          <cell r="G166">
            <v>969359.199208993</v>
          </cell>
          <cell r="H166">
            <v>517</v>
          </cell>
          <cell r="J166">
            <v>2630269.923212138</v>
          </cell>
          <cell r="K166">
            <v>7242.0199999999995</v>
          </cell>
          <cell r="L166">
            <v>71</v>
          </cell>
          <cell r="N166">
            <v>65144.999537422518</v>
          </cell>
          <cell r="O166">
            <v>202</v>
          </cell>
          <cell r="P166">
            <v>1046</v>
          </cell>
          <cell r="R166">
            <v>835.20214635951527</v>
          </cell>
          <cell r="S166">
            <v>2.3200059621097648</v>
          </cell>
          <cell r="T166">
            <v>13</v>
          </cell>
          <cell r="V166">
            <v>4727.0052733832918</v>
          </cell>
          <cell r="W166">
            <v>18</v>
          </cell>
          <cell r="AA166">
            <v>3473</v>
          </cell>
        </row>
        <row r="167">
          <cell r="B167">
            <v>6476166</v>
          </cell>
          <cell r="D167">
            <v>2133995.4372051065</v>
          </cell>
          <cell r="E167">
            <v>2886</v>
          </cell>
          <cell r="G167">
            <v>1037853.20420483</v>
          </cell>
          <cell r="H167">
            <v>517</v>
          </cell>
          <cell r="J167">
            <v>2750389.5087427138</v>
          </cell>
          <cell r="K167">
            <v>6823.4800000000005</v>
          </cell>
          <cell r="L167">
            <v>71</v>
          </cell>
          <cell r="N167">
            <v>77126.977518734377</v>
          </cell>
          <cell r="O167">
            <v>202</v>
          </cell>
          <cell r="P167">
            <v>1046</v>
          </cell>
          <cell r="R167">
            <v>835.20214635951515</v>
          </cell>
          <cell r="S167">
            <v>2.3200059621097644</v>
          </cell>
          <cell r="T167">
            <v>13</v>
          </cell>
          <cell r="V167">
            <v>4727.0052733832918</v>
          </cell>
          <cell r="W167">
            <v>17</v>
          </cell>
          <cell r="AA167">
            <v>3474</v>
          </cell>
        </row>
        <row r="168">
          <cell r="B168">
            <v>8070360</v>
          </cell>
          <cell r="D168">
            <v>3137608.4541354463</v>
          </cell>
          <cell r="E168">
            <v>2888</v>
          </cell>
          <cell r="G168">
            <v>1306662.32623277</v>
          </cell>
          <cell r="H168">
            <v>508</v>
          </cell>
          <cell r="J168">
            <v>2976757.276343788</v>
          </cell>
          <cell r="K168">
            <v>7158.74</v>
          </cell>
          <cell r="L168">
            <v>71</v>
          </cell>
          <cell r="N168">
            <v>84132.99102599686</v>
          </cell>
          <cell r="O168">
            <v>202</v>
          </cell>
          <cell r="P168">
            <v>1046</v>
          </cell>
          <cell r="R168">
            <v>835.20214635951527</v>
          </cell>
          <cell r="S168">
            <v>2.3200059621097648</v>
          </cell>
          <cell r="T168">
            <v>13</v>
          </cell>
          <cell r="V168">
            <v>4727.0052733832918</v>
          </cell>
          <cell r="W168">
            <v>17</v>
          </cell>
          <cell r="AA168">
            <v>3467</v>
          </cell>
        </row>
        <row r="169">
          <cell r="B169">
            <v>8897340</v>
          </cell>
          <cell r="D169">
            <v>3639728.3366666664</v>
          </cell>
          <cell r="E169">
            <v>2886</v>
          </cell>
          <cell r="G169">
            <v>1472206.31</v>
          </cell>
          <cell r="H169">
            <v>507</v>
          </cell>
          <cell r="J169">
            <v>3163328.0249999999</v>
          </cell>
          <cell r="K169">
            <v>7163.92</v>
          </cell>
          <cell r="L169">
            <v>72</v>
          </cell>
          <cell r="N169">
            <v>90479.06</v>
          </cell>
          <cell r="O169">
            <v>202</v>
          </cell>
          <cell r="P169">
            <v>1046</v>
          </cell>
          <cell r="R169">
            <v>649.79999999999995</v>
          </cell>
          <cell r="S169">
            <v>1.8049999999999999</v>
          </cell>
          <cell r="T169">
            <v>9</v>
          </cell>
          <cell r="V169">
            <v>4676</v>
          </cell>
          <cell r="W169">
            <v>17</v>
          </cell>
          <cell r="AA169">
            <v>3465</v>
          </cell>
        </row>
        <row r="170">
          <cell r="B170">
            <v>10239327</v>
          </cell>
          <cell r="D170">
            <v>4483660.6633333331</v>
          </cell>
          <cell r="E170">
            <v>2889</v>
          </cell>
          <cell r="G170">
            <v>1686118.4533333334</v>
          </cell>
          <cell r="H170">
            <v>529</v>
          </cell>
          <cell r="J170">
            <v>3335160.0300000003</v>
          </cell>
          <cell r="K170">
            <v>7271</v>
          </cell>
          <cell r="L170">
            <v>71</v>
          </cell>
          <cell r="N170">
            <v>90479.11</v>
          </cell>
          <cell r="O170">
            <v>202</v>
          </cell>
          <cell r="P170">
            <v>1046</v>
          </cell>
          <cell r="R170">
            <v>815.8</v>
          </cell>
          <cell r="S170">
            <v>2.266111111111111</v>
          </cell>
          <cell r="T170">
            <v>9</v>
          </cell>
          <cell r="V170">
            <v>4676</v>
          </cell>
          <cell r="W170">
            <v>17</v>
          </cell>
          <cell r="AA170">
            <v>3489</v>
          </cell>
        </row>
        <row r="171">
          <cell r="B171">
            <v>9873775</v>
          </cell>
          <cell r="D171">
            <v>4138106.9633333334</v>
          </cell>
          <cell r="E171">
            <v>2889</v>
          </cell>
          <cell r="G171">
            <v>1652655.7533333332</v>
          </cell>
          <cell r="H171">
            <v>529</v>
          </cell>
          <cell r="J171">
            <v>3198811.96</v>
          </cell>
          <cell r="K171">
            <v>7344.08</v>
          </cell>
          <cell r="L171">
            <v>71</v>
          </cell>
          <cell r="N171">
            <v>73666.570000000007</v>
          </cell>
          <cell r="O171">
            <v>202</v>
          </cell>
          <cell r="P171">
            <v>1046</v>
          </cell>
          <cell r="R171">
            <v>815.8</v>
          </cell>
          <cell r="S171">
            <v>2.266111111111111</v>
          </cell>
          <cell r="T171">
            <v>9</v>
          </cell>
          <cell r="V171">
            <v>4676</v>
          </cell>
          <cell r="W171">
            <v>17</v>
          </cell>
          <cell r="AA171">
            <v>3489</v>
          </cell>
        </row>
        <row r="172">
          <cell r="B172">
            <v>8832776</v>
          </cell>
          <cell r="D172">
            <v>3581338.2733333334</v>
          </cell>
          <cell r="E172">
            <v>2897</v>
          </cell>
          <cell r="G172">
            <v>1454015.8733333333</v>
          </cell>
          <cell r="H172">
            <v>520</v>
          </cell>
          <cell r="J172">
            <v>3101524.31</v>
          </cell>
          <cell r="K172">
            <v>6959.71</v>
          </cell>
          <cell r="L172">
            <v>71</v>
          </cell>
          <cell r="N172">
            <v>73438.789999999994</v>
          </cell>
          <cell r="O172">
            <v>202</v>
          </cell>
          <cell r="P172">
            <v>1046</v>
          </cell>
          <cell r="R172">
            <v>815.8</v>
          </cell>
          <cell r="S172">
            <v>2.266111111111111</v>
          </cell>
          <cell r="T172">
            <v>9</v>
          </cell>
          <cell r="V172">
            <v>4676</v>
          </cell>
          <cell r="W172">
            <v>17</v>
          </cell>
          <cell r="AA172">
            <v>3488</v>
          </cell>
        </row>
        <row r="173">
          <cell r="B173">
            <v>6897575</v>
          </cell>
          <cell r="D173">
            <v>2565366.0633333335</v>
          </cell>
          <cell r="E173">
            <v>2895</v>
          </cell>
          <cell r="G173">
            <v>1298270.9633333331</v>
          </cell>
          <cell r="H173">
            <v>539</v>
          </cell>
          <cell r="J173">
            <v>2423116.19</v>
          </cell>
          <cell r="K173">
            <v>6223.73</v>
          </cell>
          <cell r="L173">
            <v>51</v>
          </cell>
          <cell r="N173">
            <v>63058.91</v>
          </cell>
          <cell r="O173">
            <v>202</v>
          </cell>
          <cell r="P173">
            <v>1046</v>
          </cell>
          <cell r="R173">
            <v>815.8</v>
          </cell>
          <cell r="S173">
            <v>2.266111111111111</v>
          </cell>
          <cell r="T173">
            <v>9</v>
          </cell>
          <cell r="V173">
            <v>4676</v>
          </cell>
          <cell r="W173">
            <v>17</v>
          </cell>
          <cell r="AA173">
            <v>3485</v>
          </cell>
        </row>
        <row r="174">
          <cell r="B174">
            <v>5985755</v>
          </cell>
          <cell r="D174">
            <v>1844352.8333333333</v>
          </cell>
          <cell r="E174">
            <v>2895</v>
          </cell>
          <cell r="G174">
            <v>1200371.8933333333</v>
          </cell>
          <cell r="H174">
            <v>541</v>
          </cell>
          <cell r="J174">
            <v>2508587.5099999998</v>
          </cell>
          <cell r="K174">
            <v>6343.3099999999995</v>
          </cell>
          <cell r="L174">
            <v>50</v>
          </cell>
          <cell r="N174">
            <v>57140.92</v>
          </cell>
          <cell r="O174">
            <v>202</v>
          </cell>
          <cell r="P174">
            <v>1046</v>
          </cell>
          <cell r="R174">
            <v>815.8</v>
          </cell>
          <cell r="S174">
            <v>2.266111111111111</v>
          </cell>
          <cell r="T174">
            <v>9</v>
          </cell>
          <cell r="V174">
            <v>4676</v>
          </cell>
          <cell r="W174">
            <v>17</v>
          </cell>
          <cell r="AA174">
            <v>3486</v>
          </cell>
        </row>
        <row r="175">
          <cell r="B175">
            <v>5708794</v>
          </cell>
          <cell r="D175">
            <v>1593069.5833333333</v>
          </cell>
          <cell r="E175">
            <v>2891</v>
          </cell>
          <cell r="G175">
            <v>1171649.2433333332</v>
          </cell>
          <cell r="H175">
            <v>539</v>
          </cell>
          <cell r="J175">
            <v>2468831.87</v>
          </cell>
          <cell r="K175">
            <v>6069.17</v>
          </cell>
          <cell r="L175">
            <v>49</v>
          </cell>
          <cell r="N175">
            <v>51554.83</v>
          </cell>
          <cell r="O175">
            <v>202</v>
          </cell>
          <cell r="P175">
            <v>1046</v>
          </cell>
          <cell r="R175">
            <v>815.8</v>
          </cell>
          <cell r="S175">
            <v>2.266111111111111</v>
          </cell>
          <cell r="T175">
            <v>9</v>
          </cell>
          <cell r="V175">
            <v>4676</v>
          </cell>
          <cell r="W175">
            <v>17</v>
          </cell>
          <cell r="AA175">
            <v>3479</v>
          </cell>
        </row>
        <row r="176">
          <cell r="B176">
            <v>6278859</v>
          </cell>
          <cell r="D176">
            <v>1723863.0033333332</v>
          </cell>
          <cell r="E176">
            <v>2908</v>
          </cell>
          <cell r="G176">
            <v>1348044.3933333333</v>
          </cell>
          <cell r="H176">
            <v>543</v>
          </cell>
          <cell r="J176">
            <v>2693766.08</v>
          </cell>
          <cell r="K176">
            <v>6152.4400000000005</v>
          </cell>
          <cell r="L176">
            <v>49</v>
          </cell>
          <cell r="N176">
            <v>54455.99</v>
          </cell>
          <cell r="O176">
            <v>202</v>
          </cell>
          <cell r="P176">
            <v>1046</v>
          </cell>
          <cell r="R176">
            <v>815.8</v>
          </cell>
          <cell r="S176">
            <v>2.266111111111111</v>
          </cell>
          <cell r="T176">
            <v>9</v>
          </cell>
          <cell r="V176">
            <v>4676</v>
          </cell>
          <cell r="W176">
            <v>17</v>
          </cell>
          <cell r="AA176">
            <v>3500</v>
          </cell>
        </row>
        <row r="177">
          <cell r="B177">
            <v>6128273</v>
          </cell>
          <cell r="D177">
            <v>1703962.5833333333</v>
          </cell>
          <cell r="E177">
            <v>2894</v>
          </cell>
          <cell r="G177">
            <v>1306038.7533333332</v>
          </cell>
          <cell r="H177">
            <v>543</v>
          </cell>
          <cell r="J177">
            <v>2591762.6100000003</v>
          </cell>
          <cell r="K177">
            <v>6278.65</v>
          </cell>
          <cell r="L177">
            <v>49</v>
          </cell>
          <cell r="N177">
            <v>29367.040000000001</v>
          </cell>
          <cell r="O177">
            <v>202</v>
          </cell>
          <cell r="P177">
            <v>881</v>
          </cell>
          <cell r="R177">
            <v>815.8</v>
          </cell>
          <cell r="S177">
            <v>2.266111111111111</v>
          </cell>
          <cell r="T177">
            <v>9</v>
          </cell>
          <cell r="V177">
            <v>4676</v>
          </cell>
          <cell r="W177">
            <v>17</v>
          </cell>
          <cell r="AA177">
            <v>3486</v>
          </cell>
        </row>
        <row r="178">
          <cell r="B178">
            <v>5938483</v>
          </cell>
          <cell r="D178">
            <v>1639320.7033333334</v>
          </cell>
          <cell r="E178">
            <v>2895</v>
          </cell>
          <cell r="G178">
            <v>1223609.3833333333</v>
          </cell>
          <cell r="H178">
            <v>542</v>
          </cell>
          <cell r="J178">
            <v>2621122.2000000002</v>
          </cell>
          <cell r="K178">
            <v>8165.0300000000007</v>
          </cell>
          <cell r="L178">
            <v>50</v>
          </cell>
          <cell r="N178">
            <v>24489.62</v>
          </cell>
          <cell r="O178">
            <v>73.41</v>
          </cell>
          <cell r="P178">
            <v>881</v>
          </cell>
          <cell r="R178">
            <v>815.8</v>
          </cell>
          <cell r="S178">
            <v>2.266111111111111</v>
          </cell>
          <cell r="T178">
            <v>9</v>
          </cell>
          <cell r="V178">
            <v>4676</v>
          </cell>
          <cell r="W178">
            <v>17</v>
          </cell>
          <cell r="AA178">
            <v>3487</v>
          </cell>
        </row>
        <row r="179">
          <cell r="B179">
            <v>6390193</v>
          </cell>
          <cell r="D179">
            <v>2049533.9151438617</v>
          </cell>
          <cell r="E179">
            <v>2895</v>
          </cell>
          <cell r="G179">
            <v>1197727.1345665648</v>
          </cell>
          <cell r="H179">
            <v>541</v>
          </cell>
          <cell r="J179">
            <v>2572117.6053140899</v>
          </cell>
          <cell r="K179">
            <v>7214.74</v>
          </cell>
          <cell r="L179">
            <v>50</v>
          </cell>
          <cell r="N179">
            <v>28890.23</v>
          </cell>
          <cell r="O179">
            <v>73.41</v>
          </cell>
          <cell r="P179">
            <v>881</v>
          </cell>
          <cell r="R179">
            <v>815.8</v>
          </cell>
          <cell r="S179">
            <v>2.266111111111111</v>
          </cell>
          <cell r="T179">
            <v>9</v>
          </cell>
          <cell r="V179">
            <v>4676</v>
          </cell>
          <cell r="W179">
            <v>17</v>
          </cell>
          <cell r="AA179">
            <v>3486</v>
          </cell>
        </row>
        <row r="180">
          <cell r="B180">
            <v>6868155</v>
          </cell>
          <cell r="D180">
            <v>2411463.2315228051</v>
          </cell>
          <cell r="E180">
            <v>2897</v>
          </cell>
          <cell r="G180">
            <v>1277101.8821001016</v>
          </cell>
          <cell r="H180">
            <v>541</v>
          </cell>
          <cell r="J180">
            <v>2654084.9446859099</v>
          </cell>
          <cell r="K180">
            <v>7708.85</v>
          </cell>
          <cell r="L180">
            <v>50</v>
          </cell>
          <cell r="N180">
            <v>30502.25</v>
          </cell>
          <cell r="O180">
            <v>73.41</v>
          </cell>
          <cell r="P180">
            <v>881</v>
          </cell>
          <cell r="R180">
            <v>815.8</v>
          </cell>
          <cell r="S180">
            <v>2.266111111111111</v>
          </cell>
          <cell r="T180">
            <v>9</v>
          </cell>
          <cell r="V180">
            <v>4676</v>
          </cell>
          <cell r="W180">
            <v>17</v>
          </cell>
          <cell r="AA180">
            <v>3488</v>
          </cell>
        </row>
        <row r="181">
          <cell r="B181">
            <v>7687563</v>
          </cell>
          <cell r="D181">
            <v>2919199.4133333336</v>
          </cell>
          <cell r="E181">
            <v>2896</v>
          </cell>
          <cell r="G181">
            <v>1438531.9833333332</v>
          </cell>
          <cell r="H181">
            <v>542</v>
          </cell>
          <cell r="J181">
            <v>2757761.02</v>
          </cell>
          <cell r="K181">
            <v>6354.96</v>
          </cell>
          <cell r="L181">
            <v>50</v>
          </cell>
          <cell r="N181">
            <v>33672.36</v>
          </cell>
          <cell r="O181">
            <v>73.41</v>
          </cell>
          <cell r="P181">
            <v>881</v>
          </cell>
          <cell r="R181">
            <v>815.8</v>
          </cell>
          <cell r="S181">
            <v>2.266111111111111</v>
          </cell>
          <cell r="T181">
            <v>9</v>
          </cell>
          <cell r="V181">
            <v>4676</v>
          </cell>
          <cell r="W181">
            <v>17</v>
          </cell>
          <cell r="AA181">
            <v>3488</v>
          </cell>
        </row>
        <row r="182">
          <cell r="B182">
            <v>8972871</v>
          </cell>
          <cell r="D182">
            <v>3675864.8433333333</v>
          </cell>
          <cell r="E182">
            <v>2897</v>
          </cell>
          <cell r="G182">
            <v>1743710.8233333332</v>
          </cell>
          <cell r="H182">
            <v>543</v>
          </cell>
          <cell r="J182">
            <v>2896478.66</v>
          </cell>
          <cell r="K182">
            <v>7318.95</v>
          </cell>
          <cell r="L182">
            <v>50</v>
          </cell>
          <cell r="N182">
            <v>32469.48</v>
          </cell>
          <cell r="O182">
            <v>73.41</v>
          </cell>
          <cell r="P182">
            <v>881</v>
          </cell>
          <cell r="R182">
            <v>815.8</v>
          </cell>
          <cell r="S182">
            <v>2.266111111111111</v>
          </cell>
          <cell r="T182">
            <v>9</v>
          </cell>
          <cell r="V182">
            <v>4676</v>
          </cell>
          <cell r="W182">
            <v>17</v>
          </cell>
          <cell r="AA182">
            <v>3490</v>
          </cell>
        </row>
        <row r="183">
          <cell r="B183">
            <v>8380655</v>
          </cell>
          <cell r="D183">
            <v>3412031.5233333334</v>
          </cell>
          <cell r="E183">
            <v>2897</v>
          </cell>
          <cell r="G183">
            <v>1664214.8133333332</v>
          </cell>
          <cell r="H183">
            <v>543</v>
          </cell>
          <cell r="J183">
            <v>2690510.83</v>
          </cell>
          <cell r="K183">
            <v>6743.63</v>
          </cell>
          <cell r="L183">
            <v>50</v>
          </cell>
          <cell r="N183">
            <v>28034.69</v>
          </cell>
          <cell r="O183">
            <v>73.41</v>
          </cell>
          <cell r="P183">
            <v>881</v>
          </cell>
          <cell r="R183">
            <v>815.8</v>
          </cell>
          <cell r="S183">
            <v>2.266111111111111</v>
          </cell>
          <cell r="T183">
            <v>9</v>
          </cell>
          <cell r="V183">
            <v>4676</v>
          </cell>
          <cell r="W183">
            <v>17</v>
          </cell>
          <cell r="AA183">
            <v>3490</v>
          </cell>
        </row>
        <row r="184">
          <cell r="B184">
            <v>7784800</v>
          </cell>
          <cell r="D184">
            <v>2984920.6633333336</v>
          </cell>
          <cell r="E184">
            <v>2898</v>
          </cell>
          <cell r="G184">
            <v>1511792.1233333333</v>
          </cell>
          <cell r="H184">
            <v>543</v>
          </cell>
          <cell r="J184">
            <v>2709123.9</v>
          </cell>
          <cell r="K184">
            <v>6378.09</v>
          </cell>
          <cell r="L184">
            <v>50</v>
          </cell>
          <cell r="N184">
            <v>27022.639999999999</v>
          </cell>
          <cell r="O184">
            <v>73.41</v>
          </cell>
          <cell r="P184">
            <v>881</v>
          </cell>
          <cell r="R184">
            <v>815.8</v>
          </cell>
          <cell r="S184">
            <v>2.266111111111111</v>
          </cell>
          <cell r="T184">
            <v>9</v>
          </cell>
          <cell r="V184">
            <v>4676</v>
          </cell>
          <cell r="W184">
            <v>17</v>
          </cell>
          <cell r="AA184">
            <v>3491</v>
          </cell>
        </row>
        <row r="185">
          <cell r="B185">
            <v>6906884</v>
          </cell>
          <cell r="D185">
            <v>2503229.9433333334</v>
          </cell>
          <cell r="E185">
            <v>2898</v>
          </cell>
          <cell r="G185">
            <v>1475359.4033333333</v>
          </cell>
          <cell r="H185">
            <v>546</v>
          </cell>
          <cell r="J185">
            <v>2379837.35</v>
          </cell>
          <cell r="K185">
            <v>6049.8799999999992</v>
          </cell>
          <cell r="L185">
            <v>50</v>
          </cell>
          <cell r="N185">
            <v>22801.3</v>
          </cell>
          <cell r="O185">
            <v>73.41</v>
          </cell>
          <cell r="P185">
            <v>881</v>
          </cell>
          <cell r="R185">
            <v>815.8</v>
          </cell>
          <cell r="S185">
            <v>2.266111111111111</v>
          </cell>
          <cell r="T185">
            <v>9</v>
          </cell>
          <cell r="V185">
            <v>4676</v>
          </cell>
          <cell r="W185">
            <v>17</v>
          </cell>
          <cell r="AA185">
            <v>3494</v>
          </cell>
        </row>
        <row r="186">
          <cell r="B186">
            <v>6000018</v>
          </cell>
          <cell r="D186">
            <v>1835066.7533333332</v>
          </cell>
          <cell r="E186">
            <v>2898</v>
          </cell>
          <cell r="G186">
            <v>1182789.0833333333</v>
          </cell>
          <cell r="H186">
            <v>546</v>
          </cell>
          <cell r="J186">
            <v>2494631.69</v>
          </cell>
          <cell r="K186">
            <v>6455.29</v>
          </cell>
          <cell r="L186">
            <v>50</v>
          </cell>
          <cell r="N186">
            <v>20716.84</v>
          </cell>
          <cell r="O186">
            <v>73.41</v>
          </cell>
          <cell r="P186">
            <v>881</v>
          </cell>
          <cell r="R186">
            <v>815.8</v>
          </cell>
          <cell r="S186">
            <v>2.266111111111111</v>
          </cell>
          <cell r="T186">
            <v>9</v>
          </cell>
          <cell r="V186">
            <v>4676</v>
          </cell>
          <cell r="W186">
            <v>17</v>
          </cell>
          <cell r="AA186">
            <v>3494</v>
          </cell>
        </row>
        <row r="187">
          <cell r="B187">
            <v>5734081</v>
          </cell>
          <cell r="D187">
            <v>1579828.0933333333</v>
          </cell>
          <cell r="E187">
            <v>2896</v>
          </cell>
          <cell r="G187">
            <v>1179741.9833333332</v>
          </cell>
          <cell r="H187">
            <v>544</v>
          </cell>
          <cell r="J187">
            <v>2451313.66</v>
          </cell>
          <cell r="K187">
            <v>6406.65</v>
          </cell>
          <cell r="L187">
            <v>50</v>
          </cell>
          <cell r="N187">
            <v>18304.82</v>
          </cell>
          <cell r="O187">
            <v>73.41</v>
          </cell>
          <cell r="P187">
            <v>881</v>
          </cell>
          <cell r="R187">
            <v>815.8</v>
          </cell>
          <cell r="S187">
            <v>2.266111111111111</v>
          </cell>
          <cell r="T187">
            <v>9</v>
          </cell>
          <cell r="V187">
            <v>4676</v>
          </cell>
          <cell r="W187">
            <v>17</v>
          </cell>
          <cell r="AA187">
            <v>3490</v>
          </cell>
        </row>
        <row r="188">
          <cell r="B188">
            <v>6378681</v>
          </cell>
          <cell r="D188">
            <v>1764591.8433333333</v>
          </cell>
          <cell r="E188">
            <v>2895</v>
          </cell>
          <cell r="G188">
            <v>1347046.0333333332</v>
          </cell>
          <cell r="H188">
            <v>544</v>
          </cell>
          <cell r="J188">
            <v>2765251.51</v>
          </cell>
          <cell r="K188">
            <v>6514.91</v>
          </cell>
          <cell r="L188">
            <v>51</v>
          </cell>
          <cell r="N188">
            <v>19846.02</v>
          </cell>
          <cell r="O188">
            <v>73.41</v>
          </cell>
          <cell r="P188">
            <v>881</v>
          </cell>
          <cell r="R188">
            <v>816.94</v>
          </cell>
          <cell r="S188">
            <v>2.2692777777777779</v>
          </cell>
          <cell r="T188">
            <v>9</v>
          </cell>
          <cell r="V188">
            <v>4676</v>
          </cell>
          <cell r="W188">
            <v>17</v>
          </cell>
          <cell r="AA188">
            <v>3490</v>
          </cell>
        </row>
        <row r="189">
          <cell r="B189">
            <v>6540651</v>
          </cell>
          <cell r="D189">
            <v>1813232.2033333334</v>
          </cell>
          <cell r="E189">
            <v>2893</v>
          </cell>
          <cell r="G189">
            <v>1375190.6433333333</v>
          </cell>
          <cell r="H189">
            <v>546</v>
          </cell>
          <cell r="J189">
            <v>2804886.48</v>
          </cell>
          <cell r="K189">
            <v>6386.97</v>
          </cell>
          <cell r="L189">
            <v>51</v>
          </cell>
          <cell r="N189">
            <v>22159.22</v>
          </cell>
          <cell r="O189">
            <v>73.41</v>
          </cell>
          <cell r="P189">
            <v>881</v>
          </cell>
          <cell r="R189">
            <v>815.8</v>
          </cell>
          <cell r="S189">
            <v>2.266111111111111</v>
          </cell>
          <cell r="T189">
            <v>9</v>
          </cell>
          <cell r="V189">
            <v>4676</v>
          </cell>
          <cell r="W189">
            <v>17</v>
          </cell>
          <cell r="AA189">
            <v>3490</v>
          </cell>
        </row>
        <row r="190">
          <cell r="B190">
            <v>5630715</v>
          </cell>
          <cell r="D190">
            <v>1539035.0133333332</v>
          </cell>
          <cell r="E190">
            <v>2892</v>
          </cell>
          <cell r="G190">
            <v>1167740.6133333333</v>
          </cell>
          <cell r="H190">
            <v>546</v>
          </cell>
          <cell r="J190">
            <v>2440326.8200000003</v>
          </cell>
          <cell r="K190">
            <v>6429.1200000000008</v>
          </cell>
          <cell r="L190">
            <v>51</v>
          </cell>
          <cell r="N190">
            <v>24699.439999999999</v>
          </cell>
          <cell r="O190">
            <v>73.41</v>
          </cell>
          <cell r="P190">
            <v>881</v>
          </cell>
          <cell r="R190">
            <v>815.8</v>
          </cell>
          <cell r="S190">
            <v>2.266111111111111</v>
          </cell>
          <cell r="T190">
            <v>9</v>
          </cell>
          <cell r="V190">
            <v>4676</v>
          </cell>
          <cell r="W190">
            <v>17</v>
          </cell>
          <cell r="AA190">
            <v>3489</v>
          </cell>
        </row>
        <row r="191">
          <cell r="B191">
            <v>6024038</v>
          </cell>
          <cell r="D191">
            <v>1891645.9733333332</v>
          </cell>
          <cell r="E191">
            <v>2892</v>
          </cell>
          <cell r="G191">
            <v>1164716.7133333331</v>
          </cell>
          <cell r="H191">
            <v>546</v>
          </cell>
          <cell r="J191">
            <v>2441911.8200000003</v>
          </cell>
          <cell r="K191">
            <v>6287.46</v>
          </cell>
          <cell r="L191">
            <v>51</v>
          </cell>
          <cell r="N191">
            <v>28637.88</v>
          </cell>
          <cell r="O191">
            <v>73.41</v>
          </cell>
          <cell r="P191">
            <v>881</v>
          </cell>
          <cell r="R191">
            <v>816.94</v>
          </cell>
          <cell r="S191">
            <v>2.2692777777777779</v>
          </cell>
          <cell r="T191">
            <v>9</v>
          </cell>
          <cell r="V191">
            <v>4676</v>
          </cell>
          <cell r="W191">
            <v>17</v>
          </cell>
          <cell r="AA191">
            <v>3489</v>
          </cell>
        </row>
        <row r="192">
          <cell r="B192">
            <v>6728647</v>
          </cell>
          <cell r="D192">
            <v>2319194.7133333334</v>
          </cell>
          <cell r="E192">
            <v>2896</v>
          </cell>
          <cell r="G192">
            <v>1275083.2033333334</v>
          </cell>
          <cell r="H192">
            <v>545</v>
          </cell>
          <cell r="J192">
            <v>2535697.23</v>
          </cell>
          <cell r="K192">
            <v>6319.28</v>
          </cell>
          <cell r="L192">
            <v>51</v>
          </cell>
          <cell r="N192">
            <v>34739.589999999997</v>
          </cell>
          <cell r="O192">
            <v>84.13</v>
          </cell>
          <cell r="P192">
            <v>881</v>
          </cell>
          <cell r="R192">
            <v>599.79999999999995</v>
          </cell>
          <cell r="S192">
            <v>1.6661111111111109</v>
          </cell>
          <cell r="T192">
            <v>6</v>
          </cell>
          <cell r="V192">
            <v>4676</v>
          </cell>
          <cell r="W192">
            <v>17</v>
          </cell>
          <cell r="AA192">
            <v>3492</v>
          </cell>
        </row>
        <row r="193">
          <cell r="B193">
            <v>8307707</v>
          </cell>
          <cell r="D193">
            <v>3294101.5833333335</v>
          </cell>
          <cell r="E193">
            <v>2899</v>
          </cell>
          <cell r="G193">
            <v>1610480.3333333333</v>
          </cell>
          <cell r="H193">
            <v>545</v>
          </cell>
          <cell r="J193">
            <v>2753786</v>
          </cell>
          <cell r="K193">
            <v>6413.5</v>
          </cell>
          <cell r="L193">
            <v>51</v>
          </cell>
          <cell r="N193">
            <v>37683.620000000003</v>
          </cell>
          <cell r="O193">
            <v>84.13</v>
          </cell>
          <cell r="P193">
            <v>1063</v>
          </cell>
          <cell r="R193">
            <v>599.79999999999995</v>
          </cell>
          <cell r="S193">
            <v>1.6661111111111109</v>
          </cell>
          <cell r="T193">
            <v>6</v>
          </cell>
          <cell r="V193">
            <v>4676</v>
          </cell>
          <cell r="W193">
            <v>17</v>
          </cell>
          <cell r="AA193">
            <v>3495</v>
          </cell>
        </row>
        <row r="194">
          <cell r="B194">
            <v>8474532</v>
          </cell>
          <cell r="D194">
            <v>3336055.25</v>
          </cell>
          <cell r="E194">
            <v>2898</v>
          </cell>
          <cell r="G194">
            <v>1766530.25</v>
          </cell>
          <cell r="H194">
            <v>544</v>
          </cell>
          <cell r="J194">
            <v>2683988</v>
          </cell>
          <cell r="K194">
            <v>5825</v>
          </cell>
          <cell r="L194">
            <v>50</v>
          </cell>
          <cell r="N194">
            <v>36805.279999999999</v>
          </cell>
          <cell r="O194">
            <v>84.13</v>
          </cell>
          <cell r="P194">
            <v>1063</v>
          </cell>
          <cell r="R194">
            <v>594.54999999999995</v>
          </cell>
          <cell r="S194">
            <v>1.6515277777777777</v>
          </cell>
          <cell r="T194">
            <v>6</v>
          </cell>
          <cell r="V194">
            <v>4676</v>
          </cell>
          <cell r="W194">
            <v>17</v>
          </cell>
          <cell r="AA194">
            <v>3492</v>
          </cell>
        </row>
        <row r="195">
          <cell r="B195">
            <v>7549367</v>
          </cell>
          <cell r="D195">
            <v>2980891.25</v>
          </cell>
          <cell r="E195">
            <v>2897</v>
          </cell>
          <cell r="G195">
            <v>1522806.25</v>
          </cell>
          <cell r="H195">
            <v>550</v>
          </cell>
          <cell r="J195">
            <v>2787071</v>
          </cell>
          <cell r="K195">
            <v>6142</v>
          </cell>
          <cell r="L195">
            <v>43</v>
          </cell>
          <cell r="N195">
            <v>30633.87</v>
          </cell>
          <cell r="O195">
            <v>84.13</v>
          </cell>
          <cell r="P195">
            <v>1063</v>
          </cell>
          <cell r="R195">
            <v>594.54999999999995</v>
          </cell>
          <cell r="S195">
            <v>1.6515277777777777</v>
          </cell>
          <cell r="T195">
            <v>6</v>
          </cell>
          <cell r="V195">
            <v>4676</v>
          </cell>
          <cell r="W195">
            <v>17</v>
          </cell>
          <cell r="AA195">
            <v>3490</v>
          </cell>
        </row>
        <row r="196">
          <cell r="B196">
            <v>8421936</v>
          </cell>
          <cell r="D196">
            <v>3263582.25</v>
          </cell>
          <cell r="E196">
            <v>2895</v>
          </cell>
          <cell r="G196">
            <v>1701612.25</v>
          </cell>
          <cell r="H196">
            <v>550</v>
          </cell>
          <cell r="J196">
            <v>2467413</v>
          </cell>
          <cell r="K196">
            <v>6244</v>
          </cell>
          <cell r="L196">
            <v>42</v>
          </cell>
          <cell r="N196">
            <v>30421.21</v>
          </cell>
          <cell r="O196">
            <v>84.13</v>
          </cell>
          <cell r="P196">
            <v>1063</v>
          </cell>
          <cell r="R196">
            <v>594.54999999999995</v>
          </cell>
          <cell r="S196">
            <v>1.6515277777777777</v>
          </cell>
          <cell r="T196">
            <v>6</v>
          </cell>
          <cell r="V196">
            <v>4676</v>
          </cell>
          <cell r="W196">
            <v>17</v>
          </cell>
          <cell r="AA196">
            <v>3487</v>
          </cell>
        </row>
        <row r="197">
          <cell r="B197">
            <v>6377544</v>
          </cell>
          <cell r="D197">
            <v>2228686.25</v>
          </cell>
          <cell r="E197">
            <v>2904</v>
          </cell>
          <cell r="G197">
            <v>1255443.25</v>
          </cell>
          <cell r="H197">
            <v>550</v>
          </cell>
          <cell r="J197">
            <v>2380830</v>
          </cell>
          <cell r="K197">
            <v>6301</v>
          </cell>
          <cell r="L197">
            <v>42</v>
          </cell>
          <cell r="N197">
            <v>25843.91</v>
          </cell>
          <cell r="O197">
            <v>84.13</v>
          </cell>
          <cell r="P197">
            <v>1063</v>
          </cell>
          <cell r="R197">
            <v>594.54999999999995</v>
          </cell>
          <cell r="S197">
            <v>1.6515277777777777</v>
          </cell>
          <cell r="T197">
            <v>6</v>
          </cell>
          <cell r="V197">
            <v>4676</v>
          </cell>
          <cell r="W197">
            <v>17</v>
          </cell>
          <cell r="AA197">
            <v>3496</v>
          </cell>
        </row>
        <row r="198">
          <cell r="B198">
            <v>5952787</v>
          </cell>
          <cell r="D198">
            <v>1880584.25</v>
          </cell>
          <cell r="E198">
            <v>2915</v>
          </cell>
          <cell r="G198">
            <v>1248614.25</v>
          </cell>
          <cell r="H198">
            <v>548</v>
          </cell>
          <cell r="J198">
            <v>2336615</v>
          </cell>
          <cell r="K198">
            <v>5863</v>
          </cell>
          <cell r="L198">
            <v>42</v>
          </cell>
          <cell r="N198">
            <v>23311</v>
          </cell>
          <cell r="O198">
            <v>84.13</v>
          </cell>
          <cell r="P198">
            <v>1063</v>
          </cell>
          <cell r="R198">
            <v>594.54999999999995</v>
          </cell>
          <cell r="S198">
            <v>1.6515277777777777</v>
          </cell>
          <cell r="T198">
            <v>6</v>
          </cell>
          <cell r="V198">
            <v>4676</v>
          </cell>
          <cell r="W198">
            <v>17</v>
          </cell>
          <cell r="AA198">
            <v>3505</v>
          </cell>
        </row>
        <row r="199">
          <cell r="B199">
            <v>5572275</v>
          </cell>
          <cell r="D199">
            <v>1550438.25</v>
          </cell>
          <cell r="E199">
            <v>2941</v>
          </cell>
          <cell r="G199">
            <v>1215302.25</v>
          </cell>
          <cell r="H199">
            <v>548</v>
          </cell>
          <cell r="J199">
            <v>2371527</v>
          </cell>
          <cell r="K199">
            <v>5835</v>
          </cell>
          <cell r="L199">
            <v>42</v>
          </cell>
          <cell r="N199">
            <v>20795.43</v>
          </cell>
          <cell r="O199">
            <v>84.13</v>
          </cell>
          <cell r="P199">
            <v>1063</v>
          </cell>
          <cell r="R199">
            <v>594.54999999999995</v>
          </cell>
          <cell r="S199">
            <v>1.6515277777777777</v>
          </cell>
          <cell r="T199">
            <v>6</v>
          </cell>
          <cell r="V199">
            <v>4676</v>
          </cell>
          <cell r="W199">
            <v>17</v>
          </cell>
          <cell r="AA199">
            <v>3531</v>
          </cell>
        </row>
        <row r="200">
          <cell r="B200">
            <v>6007187</v>
          </cell>
          <cell r="D200">
            <v>1665077.25</v>
          </cell>
          <cell r="E200">
            <v>2941</v>
          </cell>
          <cell r="G200">
            <v>1355031.25</v>
          </cell>
          <cell r="H200">
            <v>548</v>
          </cell>
          <cell r="J200">
            <v>2510802</v>
          </cell>
          <cell r="K200">
            <v>5828</v>
          </cell>
          <cell r="L200">
            <v>42</v>
          </cell>
          <cell r="N200">
            <v>22368.55</v>
          </cell>
          <cell r="O200">
            <v>84.13</v>
          </cell>
          <cell r="P200">
            <v>1063</v>
          </cell>
          <cell r="R200">
            <v>594.54999999999995</v>
          </cell>
          <cell r="S200">
            <v>1.6515277777777777</v>
          </cell>
          <cell r="T200">
            <v>6</v>
          </cell>
          <cell r="V200">
            <v>4676</v>
          </cell>
          <cell r="W200">
            <v>17</v>
          </cell>
          <cell r="AA200">
            <v>3531</v>
          </cell>
        </row>
        <row r="201">
          <cell r="B201">
            <v>5956838</v>
          </cell>
          <cell r="D201">
            <v>1634895.25</v>
          </cell>
          <cell r="E201">
            <v>2942</v>
          </cell>
          <cell r="G201">
            <v>1345770.25</v>
          </cell>
          <cell r="H201">
            <v>546</v>
          </cell>
          <cell r="J201">
            <v>2523689</v>
          </cell>
          <cell r="K201">
            <v>6162</v>
          </cell>
          <cell r="L201">
            <v>42</v>
          </cell>
          <cell r="N201">
            <v>25273.79</v>
          </cell>
          <cell r="O201">
            <v>84.13</v>
          </cell>
          <cell r="P201">
            <v>1063</v>
          </cell>
          <cell r="R201">
            <v>594.54999999999995</v>
          </cell>
          <cell r="S201">
            <v>1.6515277777777777</v>
          </cell>
          <cell r="T201">
            <v>6</v>
          </cell>
          <cell r="V201">
            <v>4676</v>
          </cell>
          <cell r="W201">
            <v>17</v>
          </cell>
          <cell r="AA201">
            <v>3530</v>
          </cell>
        </row>
        <row r="202">
          <cell r="B202">
            <v>5706415</v>
          </cell>
          <cell r="D202">
            <v>1590945.25</v>
          </cell>
          <cell r="E202">
            <v>2942</v>
          </cell>
          <cell r="G202">
            <v>1243521.25</v>
          </cell>
          <cell r="H202">
            <v>546</v>
          </cell>
          <cell r="J202">
            <v>2451675</v>
          </cell>
          <cell r="K202">
            <v>6192</v>
          </cell>
          <cell r="L202">
            <v>42</v>
          </cell>
          <cell r="N202">
            <v>28049.73</v>
          </cell>
          <cell r="O202">
            <v>84.13</v>
          </cell>
          <cell r="P202">
            <v>1063</v>
          </cell>
          <cell r="R202">
            <v>594.54999999999995</v>
          </cell>
          <cell r="S202">
            <v>1.6515277777777777</v>
          </cell>
          <cell r="T202">
            <v>6</v>
          </cell>
          <cell r="V202">
            <v>4676</v>
          </cell>
          <cell r="W202">
            <v>17</v>
          </cell>
          <cell r="AA202">
            <v>3530</v>
          </cell>
        </row>
        <row r="203">
          <cell r="B203">
            <v>5826787</v>
          </cell>
          <cell r="D203">
            <v>1782426.25</v>
          </cell>
          <cell r="E203">
            <v>2942</v>
          </cell>
          <cell r="G203">
            <v>1171674.25</v>
          </cell>
          <cell r="H203">
            <v>550</v>
          </cell>
          <cell r="J203">
            <v>2421114</v>
          </cell>
          <cell r="K203">
            <v>5730</v>
          </cell>
          <cell r="L203">
            <v>44</v>
          </cell>
          <cell r="N203">
            <v>32811.949999999997</v>
          </cell>
          <cell r="O203">
            <v>84.13</v>
          </cell>
          <cell r="P203">
            <v>1063</v>
          </cell>
          <cell r="R203">
            <v>594.54999999999995</v>
          </cell>
          <cell r="S203">
            <v>1.6515277777777777</v>
          </cell>
          <cell r="T203">
            <v>6</v>
          </cell>
          <cell r="V203">
            <v>4676</v>
          </cell>
          <cell r="W203">
            <v>17</v>
          </cell>
          <cell r="AA203">
            <v>3536</v>
          </cell>
        </row>
        <row r="204">
          <cell r="B204">
            <v>7052861</v>
          </cell>
          <cell r="D204">
            <v>2697701.25</v>
          </cell>
          <cell r="E204">
            <v>2943</v>
          </cell>
          <cell r="G204">
            <v>1453065.25</v>
          </cell>
          <cell r="H204">
            <v>549</v>
          </cell>
          <cell r="J204">
            <v>2408125</v>
          </cell>
          <cell r="K204">
            <v>5553</v>
          </cell>
          <cell r="L204">
            <v>44</v>
          </cell>
          <cell r="N204">
            <v>34852.42</v>
          </cell>
          <cell r="O204">
            <v>84.13</v>
          </cell>
          <cell r="P204">
            <v>1063</v>
          </cell>
          <cell r="R204">
            <v>594.54999999999995</v>
          </cell>
          <cell r="S204">
            <v>1.6515277777777777</v>
          </cell>
          <cell r="T204">
            <v>6</v>
          </cell>
          <cell r="V204">
            <v>4676</v>
          </cell>
          <cell r="W204">
            <v>17</v>
          </cell>
          <cell r="AA204">
            <v>3536</v>
          </cell>
        </row>
        <row r="205">
          <cell r="B205">
            <v>8881031</v>
          </cell>
          <cell r="D205">
            <v>3755082.25</v>
          </cell>
          <cell r="E205">
            <v>2951</v>
          </cell>
          <cell r="G205">
            <v>1791984.25</v>
          </cell>
          <cell r="H205">
            <v>550</v>
          </cell>
          <cell r="J205">
            <v>2665941.345175317</v>
          </cell>
          <cell r="K205">
            <v>6084</v>
          </cell>
          <cell r="L205">
            <v>44</v>
          </cell>
          <cell r="N205">
            <v>37589.046165232678</v>
          </cell>
          <cell r="O205">
            <v>84.13</v>
          </cell>
          <cell r="P205">
            <v>1063</v>
          </cell>
          <cell r="R205">
            <v>594.54999999999995</v>
          </cell>
          <cell r="S205">
            <v>1.6515277777777777</v>
          </cell>
          <cell r="T205">
            <v>6</v>
          </cell>
          <cell r="V205">
            <v>4676</v>
          </cell>
          <cell r="W205">
            <v>17</v>
          </cell>
          <cell r="AA205">
            <v>3545</v>
          </cell>
        </row>
        <row r="227">
          <cell r="D227">
            <v>28366365</v>
          </cell>
          <cell r="G227">
            <v>17071355</v>
          </cell>
          <cell r="J227">
            <v>30008790.345175318</v>
          </cell>
          <cell r="N227">
            <v>348756.18616523262</v>
          </cell>
          <cell r="R227">
            <v>7134.6000000000013</v>
          </cell>
          <cell r="V227">
            <v>56112</v>
          </cell>
        </row>
      </sheetData>
      <sheetData sheetId="1"/>
      <sheetData sheetId="2"/>
      <sheetData sheetId="3"/>
      <sheetData sheetId="4"/>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hibit 3 Tables"/>
      <sheetName val="Summary"/>
      <sheetName val="Summary Comb"/>
      <sheetName val="Summary BCP"/>
      <sheetName val="Summary CND"/>
      <sheetName val="Purchased Power Model"/>
      <sheetName val="WMP pivot"/>
      <sheetName val="WMP historical data"/>
      <sheetName val="WMP Purchases"/>
      <sheetName val="Purchased Power Model WN"/>
      <sheetName val="Rate Class Energy Model"/>
      <sheetName val="Rate Class Customer Model"/>
      <sheetName val="Rate Class Load Model"/>
      <sheetName val="CDM Activity "/>
      <sheetName val="HDD and CDD"/>
      <sheetName val="Weather Analysis "/>
      <sheetName val="2018 COP Forecast"/>
      <sheetName val="2019 COP Forecast"/>
    </sheetNames>
    <sheetDataSet>
      <sheetData sheetId="0"/>
      <sheetData sheetId="1"/>
      <sheetData sheetId="2"/>
      <sheetData sheetId="3">
        <row r="9">
          <cell r="A9" t="str">
            <v xml:space="preserve">Residential </v>
          </cell>
        </row>
      </sheetData>
      <sheetData sheetId="4">
        <row r="11">
          <cell r="A11" t="str">
            <v xml:space="preserve">Residential </v>
          </cell>
        </row>
      </sheetData>
      <sheetData sheetId="5">
        <row r="6">
          <cell r="Y6">
            <v>0.86216739105997853</v>
          </cell>
        </row>
        <row r="19">
          <cell r="X19" t="str">
            <v>Heating Degree Days</v>
          </cell>
        </row>
        <row r="20">
          <cell r="X20" t="str">
            <v>Cooling Degree Days</v>
          </cell>
        </row>
        <row r="21">
          <cell r="X21" t="str">
            <v>Number of Days in Month</v>
          </cell>
        </row>
        <row r="22">
          <cell r="X22" t="str">
            <v>Spring Fall Flag</v>
          </cell>
        </row>
        <row r="26">
          <cell r="X26" t="str">
            <v>CDM Activity</v>
          </cell>
        </row>
      </sheetData>
      <sheetData sheetId="6"/>
      <sheetData sheetId="7"/>
      <sheetData sheetId="8"/>
      <sheetData sheetId="9"/>
      <sheetData sheetId="10"/>
      <sheetData sheetId="11"/>
      <sheetData sheetId="12"/>
      <sheetData sheetId="13">
        <row r="4">
          <cell r="A4">
            <v>2006</v>
          </cell>
          <cell r="C4">
            <v>0</v>
          </cell>
          <cell r="D4">
            <v>0</v>
          </cell>
          <cell r="F4">
            <v>0</v>
          </cell>
        </row>
        <row r="5">
          <cell r="A5">
            <v>2007</v>
          </cell>
          <cell r="C5">
            <v>0</v>
          </cell>
          <cell r="D5">
            <v>0</v>
          </cell>
        </row>
        <row r="6">
          <cell r="A6">
            <v>2008</v>
          </cell>
          <cell r="C6">
            <v>0</v>
          </cell>
          <cell r="D6">
            <v>0</v>
          </cell>
          <cell r="F6">
            <v>0</v>
          </cell>
        </row>
        <row r="7">
          <cell r="A7">
            <v>2009</v>
          </cell>
          <cell r="C7">
            <v>0</v>
          </cell>
          <cell r="D7">
            <v>0</v>
          </cell>
          <cell r="F7">
            <v>0</v>
          </cell>
        </row>
        <row r="8">
          <cell r="A8">
            <v>2010</v>
          </cell>
          <cell r="C8">
            <v>0</v>
          </cell>
          <cell r="D8">
            <v>0</v>
          </cell>
          <cell r="F8">
            <v>0</v>
          </cell>
        </row>
        <row r="9">
          <cell r="A9">
            <v>2011</v>
          </cell>
          <cell r="D9">
            <v>0</v>
          </cell>
        </row>
        <row r="10">
          <cell r="A10">
            <v>2012</v>
          </cell>
          <cell r="D10">
            <v>0</v>
          </cell>
          <cell r="F10">
            <v>0</v>
          </cell>
        </row>
        <row r="11">
          <cell r="A11">
            <v>2013</v>
          </cell>
          <cell r="D11">
            <v>0</v>
          </cell>
          <cell r="F11">
            <v>0</v>
          </cell>
        </row>
        <row r="12">
          <cell r="A12">
            <v>2014</v>
          </cell>
          <cell r="D12">
            <v>0</v>
          </cell>
          <cell r="F12">
            <v>0</v>
          </cell>
        </row>
        <row r="13">
          <cell r="A13">
            <v>2015</v>
          </cell>
          <cell r="F13">
            <v>0</v>
          </cell>
        </row>
        <row r="14">
          <cell r="A14">
            <v>2016</v>
          </cell>
          <cell r="F14">
            <v>0</v>
          </cell>
        </row>
        <row r="15">
          <cell r="A15">
            <v>2017</v>
          </cell>
        </row>
        <row r="16">
          <cell r="A16">
            <v>2018</v>
          </cell>
        </row>
        <row r="17">
          <cell r="A17">
            <v>2019</v>
          </cell>
        </row>
      </sheetData>
      <sheetData sheetId="14"/>
      <sheetData sheetId="15"/>
      <sheetData sheetId="16"/>
      <sheetData sheetId="17"/>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nual"/>
      <sheetName val="Annual conv to Monthly"/>
    </sheetNames>
    <sheetDataSet>
      <sheetData sheetId="0"/>
      <sheetData sheetId="1">
        <row r="159">
          <cell r="B159">
            <v>121.50450639216388</v>
          </cell>
        </row>
        <row r="231">
          <cell r="B231">
            <v>139.96642175819056</v>
          </cell>
        </row>
        <row r="232">
          <cell r="B232">
            <v>139.86101141442734</v>
          </cell>
        </row>
        <row r="233">
          <cell r="B233">
            <v>139.75568045642274</v>
          </cell>
        </row>
        <row r="234">
          <cell r="B234">
            <v>139.65042882439042</v>
          </cell>
        </row>
        <row r="235">
          <cell r="B235">
            <v>139.54525645858905</v>
          </cell>
        </row>
        <row r="236">
          <cell r="B236">
            <v>139.44016329932234</v>
          </cell>
        </row>
        <row r="237">
          <cell r="B237">
            <v>139.3351492869389</v>
          </cell>
        </row>
        <row r="238">
          <cell r="B238">
            <v>139.23021436183228</v>
          </cell>
        </row>
        <row r="239">
          <cell r="B239">
            <v>139.12535846444095</v>
          </cell>
        </row>
        <row r="240">
          <cell r="B240">
            <v>139.02058153524823</v>
          </cell>
        </row>
        <row r="241">
          <cell r="B241">
            <v>138.91588351478222</v>
          </cell>
        </row>
        <row r="242">
          <cell r="B242">
            <v>138.8112643436159</v>
          </cell>
        </row>
        <row r="243">
          <cell r="B243">
            <v>138.43555825854429</v>
          </cell>
        </row>
        <row r="244">
          <cell r="B244">
            <v>138.06086905825526</v>
          </cell>
        </row>
        <row r="245">
          <cell r="B245">
            <v>137.68719399045199</v>
          </cell>
        </row>
        <row r="246">
          <cell r="B246">
            <v>137.31453031028698</v>
          </cell>
        </row>
        <row r="247">
          <cell r="B247">
            <v>136.94287528034204</v>
          </cell>
        </row>
        <row r="248">
          <cell r="B248">
            <v>136.57222617060793</v>
          </cell>
        </row>
        <row r="249">
          <cell r="B249">
            <v>136.20258025846454</v>
          </cell>
        </row>
        <row r="250">
          <cell r="B250">
            <v>135.83393482866074</v>
          </cell>
        </row>
        <row r="251">
          <cell r="B251">
            <v>135.46628717329455</v>
          </cell>
        </row>
        <row r="252">
          <cell r="B252">
            <v>135.09963459179312</v>
          </cell>
        </row>
        <row r="253">
          <cell r="B253">
            <v>134.733974390893</v>
          </cell>
        </row>
        <row r="254">
          <cell r="B254">
            <v>134.36930388462019</v>
          </cell>
        </row>
        <row r="255">
          <cell r="B255">
            <v>134.73334561620703</v>
          </cell>
        </row>
        <row r="256">
          <cell r="B256">
            <v>135.09837363244745</v>
          </cell>
        </row>
        <row r="257">
          <cell r="B257">
            <v>135.46439060544563</v>
          </cell>
        </row>
        <row r="258">
          <cell r="B258">
            <v>135.83139921454512</v>
          </cell>
        </row>
        <row r="259">
          <cell r="B259">
            <v>136.19940214634852</v>
          </cell>
        </row>
        <row r="260">
          <cell r="B260">
            <v>136.56840209473719</v>
          </cell>
        </row>
        <row r="261">
          <cell r="B261">
            <v>136.93840176089088</v>
          </cell>
        </row>
        <row r="262">
          <cell r="B262">
            <v>137.30940385330757</v>
          </cell>
        </row>
        <row r="263">
          <cell r="B263">
            <v>137.68141108782325</v>
          </cell>
        </row>
        <row r="264">
          <cell r="B264">
            <v>138.0544261876318</v>
          </cell>
        </row>
        <row r="265">
          <cell r="B265">
            <v>138.42845188330503</v>
          </cell>
        </row>
        <row r="266">
          <cell r="B266">
            <v>138.80349091281266</v>
          </cell>
        </row>
        <row r="267">
          <cell r="B267">
            <v>139.10070640604135</v>
          </cell>
        </row>
        <row r="268">
          <cell r="B268">
            <v>139.39855831733732</v>
          </cell>
        </row>
        <row r="269">
          <cell r="B269">
            <v>139.69704800944226</v>
          </cell>
        </row>
        <row r="270">
          <cell r="B270">
            <v>139.99617684801592</v>
          </cell>
        </row>
        <row r="271">
          <cell r="B271">
            <v>140.29594620164227</v>
          </cell>
        </row>
        <row r="272">
          <cell r="B272">
            <v>140.59635744183578</v>
          </cell>
        </row>
        <row r="273">
          <cell r="B273">
            <v>140.89741194304773</v>
          </cell>
        </row>
        <row r="274">
          <cell r="B274">
            <v>141.19911108267243</v>
          </cell>
        </row>
        <row r="275">
          <cell r="B275">
            <v>141.50145624105357</v>
          </cell>
        </row>
        <row r="276">
          <cell r="B276">
            <v>141.80444880149057</v>
          </cell>
        </row>
        <row r="277">
          <cell r="B277">
            <v>142.10809015024478</v>
          </cell>
        </row>
        <row r="278">
          <cell r="B278">
            <v>142.41238167654581</v>
          </cell>
        </row>
        <row r="279">
          <cell r="B279">
            <v>142.61257743956915</v>
          </cell>
        </row>
        <row r="280">
          <cell r="B280">
            <v>142.81305462716429</v>
          </cell>
        </row>
        <row r="281">
          <cell r="B281">
            <v>143.01381363494295</v>
          </cell>
        </row>
        <row r="282">
          <cell r="B282">
            <v>143.21485485907297</v>
          </cell>
        </row>
        <row r="283">
          <cell r="B283">
            <v>143.41617869627913</v>
          </cell>
        </row>
        <row r="284">
          <cell r="B284">
            <v>143.61778554384387</v>
          </cell>
        </row>
        <row r="285">
          <cell r="B285">
            <v>143.81967579960809</v>
          </cell>
        </row>
        <row r="286">
          <cell r="B286">
            <v>144.02184986197204</v>
          </cell>
        </row>
        <row r="287">
          <cell r="B287">
            <v>144.22430812989595</v>
          </cell>
        </row>
        <row r="288">
          <cell r="B288">
            <v>144.42705100290087</v>
          </cell>
        </row>
        <row r="289">
          <cell r="B289">
            <v>144.63007888106955</v>
          </cell>
        </row>
        <row r="290">
          <cell r="B290">
            <v>144.83339216504706</v>
          </cell>
        </row>
        <row r="291">
          <cell r="B291">
            <v>144.98936781896037</v>
          </cell>
        </row>
        <row r="292">
          <cell r="B292">
            <v>145.14551144798114</v>
          </cell>
        </row>
        <row r="293">
          <cell r="B293">
            <v>145.30182323300707</v>
          </cell>
        </row>
        <row r="294">
          <cell r="B294">
            <v>145.45830335513068</v>
          </cell>
        </row>
        <row r="295">
          <cell r="B295">
            <v>145.6149519956395</v>
          </cell>
        </row>
        <row r="296">
          <cell r="B296">
            <v>145.77176933601632</v>
          </cell>
        </row>
        <row r="297">
          <cell r="B297">
            <v>145.92875555793933</v>
          </cell>
        </row>
        <row r="298">
          <cell r="B298">
            <v>146.08591084328242</v>
          </cell>
        </row>
        <row r="299">
          <cell r="B299">
            <v>146.2432353741153</v>
          </cell>
        </row>
        <row r="300">
          <cell r="B300">
            <v>146.4007293327038</v>
          </cell>
        </row>
        <row r="301">
          <cell r="B301">
            <v>146.55839290151005</v>
          </cell>
        </row>
        <row r="302">
          <cell r="B302">
            <v>146.71622626319265</v>
          </cell>
        </row>
        <row r="303">
          <cell r="B303">
            <v>147.04232175221028</v>
          </cell>
        </row>
        <row r="304">
          <cell r="B304">
            <v>147.36914202996238</v>
          </cell>
        </row>
        <row r="305">
          <cell r="B305">
            <v>147.69668870738414</v>
          </cell>
        </row>
        <row r="306">
          <cell r="B306">
            <v>148.02496339899133</v>
          </cell>
        </row>
        <row r="307">
          <cell r="B307">
            <v>148.35396772288814</v>
          </cell>
        </row>
        <row r="308">
          <cell r="B308">
            <v>148.68370330077519</v>
          </cell>
        </row>
        <row r="309">
          <cell r="B309">
            <v>149.0141717579576</v>
          </cell>
        </row>
        <row r="310">
          <cell r="B310">
            <v>149.34537472335285</v>
          </cell>
        </row>
        <row r="311">
          <cell r="B311">
            <v>149.67731382949896</v>
          </cell>
        </row>
        <row r="312">
          <cell r="B312">
            <v>150.00999071256246</v>
          </cell>
        </row>
        <row r="313">
          <cell r="B313">
            <v>150.34340701234646</v>
          </cell>
        </row>
        <row r="314">
          <cell r="B314">
            <v>150.67756437229883</v>
          </cell>
        </row>
        <row r="315">
          <cell r="B315">
            <v>150.98793548444445</v>
          </cell>
        </row>
        <row r="316">
          <cell r="B316">
            <v>151.298945910264</v>
          </cell>
        </row>
        <row r="317">
          <cell r="B317">
            <v>151.61059696663892</v>
          </cell>
        </row>
        <row r="318">
          <cell r="B318">
            <v>151.92288997316331</v>
          </cell>
        </row>
        <row r="319">
          <cell r="B319">
            <v>152.23582625214937</v>
          </cell>
        </row>
        <row r="320">
          <cell r="B320">
            <v>152.54940712863302</v>
          </cell>
        </row>
        <row r="321">
          <cell r="B321">
            <v>152.86363393037959</v>
          </cell>
        </row>
        <row r="322">
          <cell r="B322">
            <v>153.17850798788936</v>
          </cell>
        </row>
        <row r="323">
          <cell r="B323">
            <v>153.4940306344032</v>
          </cell>
        </row>
        <row r="324">
          <cell r="B324">
            <v>153.81020320590829</v>
          </cell>
        </row>
        <row r="325">
          <cell r="B325">
            <v>154.12702704114372</v>
          </cell>
        </row>
        <row r="326">
          <cell r="B326">
            <v>154.44450348160629</v>
          </cell>
        </row>
        <row r="327">
          <cell r="B327">
            <v>154.72483615659849</v>
          </cell>
        </row>
        <row r="328">
          <cell r="B328">
            <v>155.00567766425806</v>
          </cell>
        </row>
        <row r="329">
          <cell r="B329">
            <v>155.2870289281687</v>
          </cell>
        </row>
        <row r="330">
          <cell r="B330">
            <v>155.56889087359048</v>
          </cell>
        </row>
        <row r="331">
          <cell r="B331">
            <v>155.85126442746289</v>
          </cell>
        </row>
        <row r="332">
          <cell r="B332">
            <v>156.13415051840798</v>
          </cell>
        </row>
        <row r="333">
          <cell r="B333">
            <v>156.41755007673331</v>
          </cell>
        </row>
        <row r="334">
          <cell r="B334">
            <v>156.70146403443502</v>
          </cell>
        </row>
        <row r="335">
          <cell r="B335">
            <v>156.98589332520095</v>
          </cell>
        </row>
        <row r="336">
          <cell r="B336">
            <v>157.27083888441365</v>
          </cell>
        </row>
        <row r="337">
          <cell r="B337">
            <v>157.55630164915351</v>
          </cell>
        </row>
        <row r="338">
          <cell r="B338">
            <v>157.84228255820162</v>
          </cell>
        </row>
        <row r="339">
          <cell r="B339">
            <v>158.15454692394951</v>
          </cell>
        </row>
        <row r="340">
          <cell r="B340">
            <v>158.46742905214063</v>
          </cell>
        </row>
        <row r="341">
          <cell r="B341">
            <v>158.78093016491388</v>
          </cell>
        </row>
        <row r="342">
          <cell r="B342">
            <v>159.09505148682601</v>
          </cell>
        </row>
        <row r="343">
          <cell r="B343">
            <v>159.4097942448563</v>
          </cell>
        </row>
        <row r="344">
          <cell r="B344">
            <v>159.72515966841141</v>
          </cell>
        </row>
        <row r="345">
          <cell r="B345">
            <v>160.0411489893302</v>
          </cell>
        </row>
        <row r="346">
          <cell r="B346">
            <v>160.35776344188849</v>
          </cell>
        </row>
        <row r="347">
          <cell r="B347">
            <v>160.67500426280395</v>
          </cell>
        </row>
        <row r="348">
          <cell r="B348">
            <v>160.99287269124085</v>
          </cell>
        </row>
        <row r="349">
          <cell r="B349">
            <v>161.31136996881492</v>
          </cell>
        </row>
        <row r="350">
          <cell r="B350">
            <v>161.63049733959846</v>
          </cell>
        </row>
        <row r="351">
          <cell r="B351">
            <v>161.95025605012432</v>
          </cell>
        </row>
        <row r="352">
          <cell r="B352">
            <v>162.27064734939202</v>
          </cell>
        </row>
        <row r="353">
          <cell r="B353">
            <v>162.59167248887184</v>
          </cell>
        </row>
        <row r="354">
          <cell r="B354">
            <v>162.91333272250986</v>
          </cell>
        </row>
        <row r="355">
          <cell r="B355">
            <v>163.23562930673287</v>
          </cell>
        </row>
        <row r="356">
          <cell r="B356">
            <v>163.55856350045332</v>
          </cell>
        </row>
        <row r="357">
          <cell r="B357">
            <v>163.88213656507418</v>
          </cell>
        </row>
        <row r="358">
          <cell r="B358">
            <v>164.20634976449389</v>
          </cell>
        </row>
        <row r="359">
          <cell r="B359">
            <v>164.53120436511134</v>
          </cell>
        </row>
        <row r="360">
          <cell r="B360">
            <v>164.85670163583072</v>
          </cell>
        </row>
        <row r="361">
          <cell r="B361">
            <v>165.18284284806657</v>
          </cell>
        </row>
        <row r="362">
          <cell r="B362">
            <v>165.18636828106963</v>
          </cell>
        </row>
      </sheetData>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2820122-eng"/>
    </sheetNames>
    <sheetDataSet>
      <sheetData sheetId="0">
        <row r="197">
          <cell r="E197">
            <v>187.9</v>
          </cell>
        </row>
        <row r="198">
          <cell r="E198">
            <v>185.8</v>
          </cell>
        </row>
        <row r="199">
          <cell r="E199">
            <v>182.2</v>
          </cell>
        </row>
        <row r="200">
          <cell r="E200">
            <v>179</v>
          </cell>
        </row>
        <row r="201">
          <cell r="E201">
            <v>178.8</v>
          </cell>
        </row>
        <row r="202">
          <cell r="E202">
            <v>179.8</v>
          </cell>
        </row>
        <row r="203">
          <cell r="E203">
            <v>183.8</v>
          </cell>
        </row>
        <row r="204">
          <cell r="E204">
            <v>182.5</v>
          </cell>
        </row>
        <row r="205">
          <cell r="E205">
            <v>182.7</v>
          </cell>
        </row>
        <row r="206">
          <cell r="E206">
            <v>184.3</v>
          </cell>
        </row>
        <row r="207">
          <cell r="E207">
            <v>183.5</v>
          </cell>
        </row>
        <row r="208">
          <cell r="E208">
            <v>180.7</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Dummy File"/>
    </sheetNames>
    <sheetDataSet>
      <sheetData sheetId="0"/>
      <sheetData sheetId="1"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Filter"/>
      <sheetName val="Allocation Methodology"/>
      <sheetName val="Summary - LDC"/>
      <sheetName val="Summary - Prov"/>
      <sheetName val="Annual Net Demand Savings - LDC"/>
      <sheetName val="Annual Net Energy Savings - LDC"/>
      <sheetName val="Annual Net Demand Savings -Prov"/>
      <sheetName val="Annual Net Energy Savings -Prov"/>
      <sheetName val="Initiative Level - LDC"/>
      <sheetName val="Initiative Level - Prov"/>
      <sheetName val="Measures - LDC"/>
      <sheetName val="Measures - Prov"/>
      <sheetName val="Local Distribution Companies"/>
    </sheetNames>
    <sheetDataSet>
      <sheetData sheetId="0"/>
      <sheetData sheetId="1"/>
      <sheetData sheetId="2">
        <row r="19">
          <cell r="E19">
            <v>739.67338833348458</v>
          </cell>
        </row>
        <row r="20">
          <cell r="F20">
            <v>616.56135604152087</v>
          </cell>
        </row>
        <row r="21">
          <cell r="G21">
            <v>368.74318166987189</v>
          </cell>
        </row>
        <row r="22">
          <cell r="H22">
            <v>732.45745587235194</v>
          </cell>
        </row>
        <row r="23">
          <cell r="I23">
            <v>666.86881202690574</v>
          </cell>
        </row>
        <row r="24">
          <cell r="E24">
            <v>739.67338833348458</v>
          </cell>
          <cell r="F24">
            <v>1356.2347443750054</v>
          </cell>
          <cell r="G24">
            <v>1483.1976528120072</v>
          </cell>
          <cell r="H24">
            <v>2184.544846227584</v>
          </cell>
          <cell r="I24">
            <v>2098.7034278969331</v>
          </cell>
          <cell r="J24">
            <v>1863.5593312996236</v>
          </cell>
          <cell r="K24">
            <v>1804.5070656769494</v>
          </cell>
          <cell r="L24">
            <v>1776.6046695641301</v>
          </cell>
          <cell r="M24">
            <v>1615.4898899217617</v>
          </cell>
          <cell r="N24">
            <v>1217.4908787384879</v>
          </cell>
          <cell r="O24">
            <v>1126.9208577214151</v>
          </cell>
          <cell r="P24">
            <v>796.29015589656251</v>
          </cell>
          <cell r="Q24">
            <v>476.27614917025846</v>
          </cell>
          <cell r="R24">
            <v>453.33834939770009</v>
          </cell>
        </row>
      </sheetData>
      <sheetData sheetId="3"/>
      <sheetData sheetId="4"/>
      <sheetData sheetId="5"/>
      <sheetData sheetId="6"/>
      <sheetData sheetId="7"/>
      <sheetData sheetId="8"/>
      <sheetData sheetId="9"/>
      <sheetData sheetId="10"/>
      <sheetData sheetId="11"/>
      <sheetData sheetId="12"/>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Filter"/>
      <sheetName val="Allocation Methodology"/>
      <sheetName val="Summary - LDC"/>
      <sheetName val="Summary - Prov"/>
      <sheetName val="Annual Net Demand Savings - LDC"/>
      <sheetName val="Annual Net Energy Savings - LDC"/>
      <sheetName val="Annual Net Demand Savings -Prov"/>
      <sheetName val="Annual Net Energy Savings -Prov"/>
      <sheetName val="Initiative Level - LDC"/>
      <sheetName val="Initiative Level - Prov"/>
      <sheetName val="Measures - LDC"/>
      <sheetName val="Measures - Prov"/>
      <sheetName val="Local Distribution Companies"/>
    </sheetNames>
    <sheetDataSet>
      <sheetData sheetId="0"/>
      <sheetData sheetId="1"/>
      <sheetData sheetId="2">
        <row r="19">
          <cell r="E19">
            <v>310.22008923404502</v>
          </cell>
        </row>
        <row r="20">
          <cell r="F20">
            <v>426.42469393096172</v>
          </cell>
        </row>
        <row r="21">
          <cell r="G21">
            <v>175.75698548272831</v>
          </cell>
        </row>
        <row r="22">
          <cell r="H22">
            <v>738.0623847381446</v>
          </cell>
        </row>
        <row r="23">
          <cell r="I23">
            <v>268.73924548617293</v>
          </cell>
        </row>
        <row r="24">
          <cell r="E24">
            <v>310.22008923404502</v>
          </cell>
          <cell r="F24">
            <v>736.64478316500674</v>
          </cell>
          <cell r="G24">
            <v>824.75489360003201</v>
          </cell>
          <cell r="H24">
            <v>1538.8705616235156</v>
          </cell>
          <cell r="I24">
            <v>1491.5364430227978</v>
          </cell>
          <cell r="J24">
            <v>1243.8004245829309</v>
          </cell>
          <cell r="K24">
            <v>1218.6046586998145</v>
          </cell>
          <cell r="L24">
            <v>1211.132902539204</v>
          </cell>
          <cell r="M24">
            <v>1161.9139577840062</v>
          </cell>
          <cell r="N24">
            <v>1007.4531733752476</v>
          </cell>
          <cell r="O24">
            <v>951.27625953542861</v>
          </cell>
          <cell r="P24">
            <v>674.65206496859639</v>
          </cell>
          <cell r="Q24">
            <v>351.4896837060823</v>
          </cell>
          <cell r="R24">
            <v>317.09858061622896</v>
          </cell>
        </row>
      </sheetData>
      <sheetData sheetId="3"/>
      <sheetData sheetId="4"/>
      <sheetData sheetId="5"/>
      <sheetData sheetId="6"/>
      <sheetData sheetId="7"/>
      <sheetData sheetId="8"/>
      <sheetData sheetId="9"/>
      <sheetData sheetId="10"/>
      <sheetData sheetId="11"/>
      <sheetData sheetId="12"/>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11"/>
      <sheetName val="2012"/>
      <sheetName val="2013"/>
      <sheetName val="2014"/>
    </sheetNames>
    <sheetDataSet>
      <sheetData sheetId="0">
        <row r="35">
          <cell r="AR35">
            <v>400221.73733411991</v>
          </cell>
          <cell r="AS35">
            <v>1637933.8999390081</v>
          </cell>
          <cell r="AT35">
            <v>2931154.3485697471</v>
          </cell>
          <cell r="AU35">
            <v>4568488.1742371134</v>
          </cell>
          <cell r="AV35">
            <v>5400097.0520439651</v>
          </cell>
          <cell r="AW35">
            <v>5018785.4826802164</v>
          </cell>
          <cell r="AX35">
            <v>3715799.6313735764</v>
          </cell>
          <cell r="AY35">
            <v>3634424.7846477646</v>
          </cell>
          <cell r="AZ35">
            <v>3632027.9581203917</v>
          </cell>
        </row>
      </sheetData>
      <sheetData sheetId="1"/>
      <sheetData sheetId="2"/>
      <sheetData sheetId="3"/>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 CDM Plan Milestone LDC 2"/>
    </sheetNames>
    <sheetDataSet>
      <sheetData sheetId="0">
        <row r="80">
          <cell r="S80">
            <v>2373.8732867540716</v>
          </cell>
        </row>
        <row r="85">
          <cell r="U85">
            <v>826.56044934535453</v>
          </cell>
          <cell r="W85">
            <v>680.07084934535465</v>
          </cell>
        </row>
        <row r="86">
          <cell r="U86">
            <v>144.01815199999999</v>
          </cell>
          <cell r="W86">
            <v>144.01815199999999</v>
          </cell>
        </row>
        <row r="87">
          <cell r="U87">
            <v>1662.7953946600001</v>
          </cell>
          <cell r="W87">
            <v>1625.27430306</v>
          </cell>
        </row>
      </sheetData>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etter from the Vice President"/>
      <sheetName val="Table of Contents"/>
      <sheetName val="How to Use This Report"/>
      <sheetName val="Report Summary"/>
      <sheetName val="LDC Rankings"/>
      <sheetName val="LDC Progress"/>
      <sheetName val="Province Wide Progress"/>
      <sheetName val="LDC Savings Persistence"/>
      <sheetName val="Province Wide Savings Persisten"/>
      <sheetName val="Methodology"/>
      <sheetName val="Reference Table"/>
      <sheetName val="Glossary"/>
      <sheetName val="Graph Data"/>
    </sheetNames>
    <sheetDataSet>
      <sheetData sheetId="0"/>
      <sheetData sheetId="1"/>
      <sheetData sheetId="2"/>
      <sheetData sheetId="3"/>
      <sheetData sheetId="4"/>
      <sheetData sheetId="5"/>
      <sheetData sheetId="6"/>
      <sheetData sheetId="7">
        <row r="230">
          <cell r="BO230">
            <v>2515940</v>
          </cell>
        </row>
        <row r="232">
          <cell r="BN232">
            <v>5253359</v>
          </cell>
          <cell r="BO232">
            <v>7701661</v>
          </cell>
          <cell r="BP232">
            <v>7664982</v>
          </cell>
          <cell r="BQ232">
            <v>7658189</v>
          </cell>
          <cell r="BR232">
            <v>7651765</v>
          </cell>
        </row>
      </sheetData>
      <sheetData sheetId="8"/>
      <sheetData sheetId="9"/>
      <sheetData sheetId="10"/>
      <sheetData sheetId="11"/>
      <sheetData sheetId="1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Dummy File"/>
    </sheetNames>
    <sheetDataSet>
      <sheetData sheetId="0" refreshError="1"/>
      <sheetData sheetId="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Dummy File"/>
    </sheetNames>
    <sheetDataSet>
      <sheetData sheetId="0" refreshError="1"/>
      <sheetData sheetId="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Dummy File"/>
    </sheetNames>
    <sheetDataSet>
      <sheetData sheetId="0"/>
      <sheetData sheetId="1"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view"/>
      <sheetName val="A1.Admin"/>
      <sheetName val="A2.HistoricalBalances"/>
      <sheetName val="A3.CustomerClasses"/>
      <sheetName val="B1.GrossCapital"/>
      <sheetName val="B2.CapitalAmortization"/>
      <sheetName val="B3.NetCapital"/>
      <sheetName val="B4.OMA"/>
      <sheetName val="B5.DeferralBalances"/>
      <sheetName val="C1.LoadForecast"/>
      <sheetName val="C2.PassthruRates"/>
      <sheetName val="C3.DistRates"/>
      <sheetName val="C4.DistRevenue"/>
      <sheetName val="C5.ApprovedRecovery"/>
      <sheetName val="C6.ProposedRecoveries"/>
      <sheetName val="C7.RateRiders"/>
      <sheetName val="C8.ServiceRevenues"/>
      <sheetName val="C9.RevenueOffsets"/>
      <sheetName val="D1.RateBase"/>
      <sheetName val="D2.Debt"/>
      <sheetName val="D3.CapitalStructure"/>
      <sheetName val="E1.BridgeYrPL"/>
      <sheetName val="E2.TestYrPL"/>
      <sheetName val="E3.CapitalInfo"/>
      <sheetName val="E4.PILsResults"/>
      <sheetName val="F1.RevRequirement"/>
      <sheetName val="F2.DirectRevenues"/>
      <sheetName val="F3.CostAllocation"/>
      <sheetName val="F4.RevenueAllocation"/>
      <sheetName val="F5.RateDesign"/>
      <sheetName val="F6.RatesCheck"/>
      <sheetName val="F7.FinalRates"/>
      <sheetName val="F8.BillImpacts"/>
      <sheetName val="G1.BridgeYrProForma"/>
      <sheetName val="G2.TestYrProForma"/>
      <sheetName val="G3.TestYrNewRates"/>
      <sheetName val="G4.VarBS"/>
      <sheetName val="G5.VarPL"/>
      <sheetName val="G6.VarRateBase"/>
      <sheetName val="G7.VarSuffDef"/>
      <sheetName val="X11.RatesSched"/>
      <sheetName val="X12.PLtrend"/>
      <sheetName val="X13.PLvariances"/>
      <sheetName val="X14.BStrend"/>
      <sheetName val="X15.BSvariances"/>
      <sheetName val="X21.CapitalCont"/>
      <sheetName val="X22.RBtrend"/>
      <sheetName val="X23.RBvariances"/>
      <sheetName val="X71.RevSuffDef"/>
      <sheetName val="X72.RevenueReq"/>
      <sheetName val="Y1.PrescribedRates"/>
      <sheetName val="Y2.ChartOfAccts"/>
      <sheetName val="Y3.AmortAccts"/>
      <sheetName val="Y4.PassthruAccts"/>
      <sheetName val="Y5.DistRateAccts"/>
      <sheetName val="Y6.ServiceRevAccts"/>
      <sheetName val="Y7.RPPrates"/>
      <sheetName val="Y8.VarianceThresholds"/>
      <sheetName val="Z1.ModelVariables"/>
      <sheetName val="Z2.ModelTables"/>
      <sheetName val="Z0.Disclaimer"/>
    </sheetNames>
    <sheetDataSet>
      <sheetData sheetId="0"/>
      <sheetData sheetId="1" refreshError="1">
        <row r="13">
          <cell r="C13">
            <v>2009</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refreshError="1">
        <row r="10">
          <cell r="C10" t="str">
            <v xml:space="preserve">_x000D_
</v>
          </cell>
        </row>
        <row r="12">
          <cell r="C12" t="str">
            <v>2006 EDR Approved</v>
          </cell>
        </row>
        <row r="14">
          <cell r="C14" t="str">
            <v> </v>
          </cell>
        </row>
      </sheetData>
      <sheetData sheetId="59"/>
      <sheetData sheetId="60"/>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ClassRevenues"/>
      <sheetName val="ExistingRatesDetails"/>
      <sheetName val="ExistingRatesSummary"/>
      <sheetName val="LoadForecastDetails"/>
      <sheetName val="LoadForecastSummary"/>
      <sheetName val="Refs"/>
    </sheetNames>
    <sheetDataSet>
      <sheetData sheetId="0" refreshError="1">
        <row r="8">
          <cell r="C8" t="str">
            <v>C:\Documents and Settings\jcochrane.ERA-INC\My Documents\2008EDR\FTYv1.3</v>
          </cell>
        </row>
      </sheetData>
      <sheetData sheetId="1"/>
      <sheetData sheetId="2"/>
      <sheetData sheetId="3"/>
      <sheetData sheetId="4"/>
      <sheetData sheetId="5"/>
      <sheetData sheetId="6" refreshError="1">
        <row r="2">
          <cell r="B2" t="str">
            <v>Horizon_Utilities_Corporation_Detailed_CA_model_Run2.xls</v>
          </cell>
        </row>
        <row r="3">
          <cell r="B3" t="str">
            <v>'[Horizon_Utilities_Corporation_Detailed_CA_model_Run2.xls]I2 LDC class'!$C:$G</v>
          </cell>
        </row>
        <row r="4">
          <cell r="B4" t="str">
            <v>'[Horizon_Utilities_Corporation_Detailed_CA_model_Run2.xls]O1 Revenue to cost|RR'!$D$17:$W$17</v>
          </cell>
        </row>
        <row r="5">
          <cell r="B5" t="str">
            <v>Revenue Requirement (includes NI)</v>
          </cell>
        </row>
        <row r="6">
          <cell r="B6">
            <v>92033309.222477198</v>
          </cell>
        </row>
        <row r="7">
          <cell r="B7" t="str">
            <v>'[Horizon_Utilities_Corporation_Detailed_CA_model_Run2.xls]O1 Revenue to cost|RR'!$B:$W</v>
          </cell>
        </row>
        <row r="8">
          <cell r="B8">
            <v>498976676.05552793</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ClassRevenues"/>
      <sheetName val="ExistingRatesDetails"/>
      <sheetName val="ExistingRatesSummary"/>
      <sheetName val="LoadForecastDetails"/>
      <sheetName val="LoadForecastSummary"/>
      <sheetName val="Refs"/>
    </sheetNames>
    <sheetDataSet>
      <sheetData sheetId="0" refreshError="1">
        <row r="8">
          <cell r="C8" t="str">
            <v>C:\Documents and Settings\jcochrane.ERA-INC\My Documents\2008EDR\FTYv1.3</v>
          </cell>
        </row>
      </sheetData>
      <sheetData sheetId="1" refreshError="1"/>
      <sheetData sheetId="2" refreshError="1"/>
      <sheetData sheetId="3" refreshError="1"/>
      <sheetData sheetId="4" refreshError="1"/>
      <sheetData sheetId="5" refreshError="1"/>
      <sheetData sheetId="6" refreshError="1">
        <row r="2">
          <cell r="B2" t="str">
            <v>Horizon_Utilities_Corporation_Detailed_CA_model_Run2.xls</v>
          </cell>
        </row>
        <row r="3">
          <cell r="B3" t="str">
            <v>'[Horizon_Utilities_Corporation_Detailed_CA_model_Run2.xls]I2 LDC class'!$C:$G</v>
          </cell>
        </row>
        <row r="4">
          <cell r="B4" t="str">
            <v>'[Horizon_Utilities_Corporation_Detailed_CA_model_Run2.xls]O1 Revenue to cost|RR'!$D$17:$W$17</v>
          </cell>
        </row>
        <row r="5">
          <cell r="B5" t="str">
            <v>Revenue Requirement (includes NI)</v>
          </cell>
        </row>
        <row r="6">
          <cell r="B6">
            <v>92033309.222477198</v>
          </cell>
        </row>
        <row r="7">
          <cell r="B7" t="str">
            <v>'[Horizon_Utilities_Corporation_Detailed_CA_model_Run2.xls]O1 Revenue to cost|RR'!$B:$W</v>
          </cell>
        </row>
        <row r="8">
          <cell r="B8">
            <v>498976676.05552793</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hroughput Revenue Analysis"/>
      <sheetName val="Distribution Revenue by Source"/>
      <sheetName val="Unit Revenues"/>
      <sheetName val="Dx. Revenue - Norm. Forecasts"/>
      <sheetName val="Forecast Data 2006 - 2008"/>
      <sheetName val="Distribution Rates 2006 - 2008"/>
    </sheetNames>
    <sheetDataSet>
      <sheetData sheetId="0" refreshError="1"/>
      <sheetData sheetId="1" refreshError="1"/>
      <sheetData sheetId="2" refreshError="1"/>
      <sheetData sheetId="3" refreshError="1"/>
      <sheetData sheetId="4" refreshError="1"/>
      <sheetData sheetId="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R807"/>
  <sheetViews>
    <sheetView topLeftCell="A264" zoomScale="80" zoomScaleNormal="80" workbookViewId="0">
      <selection activeCell="F270" sqref="F270"/>
    </sheetView>
  </sheetViews>
  <sheetFormatPr defaultRowHeight="12.5"/>
  <cols>
    <col min="1" max="1" width="20.1796875" style="184" customWidth="1"/>
    <col min="2" max="2" width="11" style="184" customWidth="1"/>
    <col min="3" max="5" width="11.1796875" style="184" customWidth="1"/>
    <col min="6" max="6" width="11.453125" style="184" customWidth="1"/>
    <col min="7" max="13" width="11.1796875" style="184" customWidth="1"/>
    <col min="14" max="14" width="9.08984375" style="184" customWidth="1"/>
    <col min="15" max="15" width="49.54296875" style="184" customWidth="1"/>
    <col min="16" max="16" width="12.453125" style="184" customWidth="1"/>
    <col min="17" max="21" width="13.453125" style="184" customWidth="1"/>
    <col min="22" max="22" width="13.54296875" style="184" customWidth="1"/>
    <col min="23" max="26" width="12.453125" style="184" customWidth="1"/>
    <col min="27" max="27" width="8.81640625" style="184"/>
    <col min="28" max="28" width="35.08984375" style="184" customWidth="1"/>
    <col min="29" max="29" width="13.08984375" style="184" customWidth="1"/>
    <col min="30" max="30" width="12.81640625" style="184" customWidth="1"/>
    <col min="31" max="31" width="13.54296875" style="184" customWidth="1"/>
    <col min="32" max="32" width="13.81640625" style="184" customWidth="1"/>
    <col min="33" max="33" width="30.81640625" style="184" customWidth="1"/>
    <col min="34" max="34" width="9.81640625" style="184" customWidth="1"/>
    <col min="35" max="35" width="8.81640625" style="184"/>
    <col min="36" max="36" width="6.1796875" style="184" customWidth="1"/>
    <col min="37" max="37" width="13" style="184" customWidth="1"/>
    <col min="38" max="38" width="11.1796875" style="184" bestFit="1" customWidth="1"/>
    <col min="39" max="39" width="11.81640625" style="184" customWidth="1"/>
    <col min="40" max="40" width="11.1796875" style="184" bestFit="1" customWidth="1"/>
    <col min="41" max="41" width="10.54296875" style="184" customWidth="1"/>
    <col min="42" max="42" width="8.81640625" style="184"/>
    <col min="43" max="43" width="9.90625" style="184" customWidth="1"/>
    <col min="44" max="261" width="8.81640625" style="184"/>
    <col min="262" max="262" width="26.81640625" style="184" customWidth="1"/>
    <col min="263" max="263" width="0" style="184" hidden="1" customWidth="1"/>
    <col min="264" max="264" width="12.453125" style="184" customWidth="1"/>
    <col min="265" max="266" width="11.1796875" style="184" customWidth="1"/>
    <col min="267" max="267" width="12.1796875" style="184" customWidth="1"/>
    <col min="268" max="268" width="14" style="184" customWidth="1"/>
    <col min="269" max="269" width="12.54296875" style="184" customWidth="1"/>
    <col min="270" max="271" width="13.1796875" style="184" customWidth="1"/>
    <col min="272" max="273" width="8.81640625" style="184"/>
    <col min="274" max="274" width="11" style="184" customWidth="1"/>
    <col min="275" max="517" width="8.81640625" style="184"/>
    <col min="518" max="518" width="26.81640625" style="184" customWidth="1"/>
    <col min="519" max="519" width="0" style="184" hidden="1" customWidth="1"/>
    <col min="520" max="520" width="12.453125" style="184" customWidth="1"/>
    <col min="521" max="522" width="11.1796875" style="184" customWidth="1"/>
    <col min="523" max="523" width="12.1796875" style="184" customWidth="1"/>
    <col min="524" max="524" width="14" style="184" customWidth="1"/>
    <col min="525" max="525" width="12.54296875" style="184" customWidth="1"/>
    <col min="526" max="527" width="13.1796875" style="184" customWidth="1"/>
    <col min="528" max="529" width="8.81640625" style="184"/>
    <col min="530" max="530" width="11" style="184" customWidth="1"/>
    <col min="531" max="773" width="8.81640625" style="184"/>
    <col min="774" max="774" width="26.81640625" style="184" customWidth="1"/>
    <col min="775" max="775" width="0" style="184" hidden="1" customWidth="1"/>
    <col min="776" max="776" width="12.453125" style="184" customWidth="1"/>
    <col min="777" max="778" width="11.1796875" style="184" customWidth="1"/>
    <col min="779" max="779" width="12.1796875" style="184" customWidth="1"/>
    <col min="780" max="780" width="14" style="184" customWidth="1"/>
    <col min="781" max="781" width="12.54296875" style="184" customWidth="1"/>
    <col min="782" max="783" width="13.1796875" style="184" customWidth="1"/>
    <col min="784" max="785" width="8.81640625" style="184"/>
    <col min="786" max="786" width="11" style="184" customWidth="1"/>
    <col min="787" max="1029" width="8.81640625" style="184"/>
    <col min="1030" max="1030" width="26.81640625" style="184" customWidth="1"/>
    <col min="1031" max="1031" width="0" style="184" hidden="1" customWidth="1"/>
    <col min="1032" max="1032" width="12.453125" style="184" customWidth="1"/>
    <col min="1033" max="1034" width="11.1796875" style="184" customWidth="1"/>
    <col min="1035" max="1035" width="12.1796875" style="184" customWidth="1"/>
    <col min="1036" max="1036" width="14" style="184" customWidth="1"/>
    <col min="1037" max="1037" width="12.54296875" style="184" customWidth="1"/>
    <col min="1038" max="1039" width="13.1796875" style="184" customWidth="1"/>
    <col min="1040" max="1041" width="8.81640625" style="184"/>
    <col min="1042" max="1042" width="11" style="184" customWidth="1"/>
    <col min="1043" max="1285" width="8.81640625" style="184"/>
    <col min="1286" max="1286" width="26.81640625" style="184" customWidth="1"/>
    <col min="1287" max="1287" width="0" style="184" hidden="1" customWidth="1"/>
    <col min="1288" max="1288" width="12.453125" style="184" customWidth="1"/>
    <col min="1289" max="1290" width="11.1796875" style="184" customWidth="1"/>
    <col min="1291" max="1291" width="12.1796875" style="184" customWidth="1"/>
    <col min="1292" max="1292" width="14" style="184" customWidth="1"/>
    <col min="1293" max="1293" width="12.54296875" style="184" customWidth="1"/>
    <col min="1294" max="1295" width="13.1796875" style="184" customWidth="1"/>
    <col min="1296" max="1297" width="8.81640625" style="184"/>
    <col min="1298" max="1298" width="11" style="184" customWidth="1"/>
    <col min="1299" max="1541" width="8.81640625" style="184"/>
    <col min="1542" max="1542" width="26.81640625" style="184" customWidth="1"/>
    <col min="1543" max="1543" width="0" style="184" hidden="1" customWidth="1"/>
    <col min="1544" max="1544" width="12.453125" style="184" customWidth="1"/>
    <col min="1545" max="1546" width="11.1796875" style="184" customWidth="1"/>
    <col min="1547" max="1547" width="12.1796875" style="184" customWidth="1"/>
    <col min="1548" max="1548" width="14" style="184" customWidth="1"/>
    <col min="1549" max="1549" width="12.54296875" style="184" customWidth="1"/>
    <col min="1550" max="1551" width="13.1796875" style="184" customWidth="1"/>
    <col min="1552" max="1553" width="8.81640625" style="184"/>
    <col min="1554" max="1554" width="11" style="184" customWidth="1"/>
    <col min="1555" max="1797" width="8.81640625" style="184"/>
    <col min="1798" max="1798" width="26.81640625" style="184" customWidth="1"/>
    <col min="1799" max="1799" width="0" style="184" hidden="1" customWidth="1"/>
    <col min="1800" max="1800" width="12.453125" style="184" customWidth="1"/>
    <col min="1801" max="1802" width="11.1796875" style="184" customWidth="1"/>
    <col min="1803" max="1803" width="12.1796875" style="184" customWidth="1"/>
    <col min="1804" max="1804" width="14" style="184" customWidth="1"/>
    <col min="1805" max="1805" width="12.54296875" style="184" customWidth="1"/>
    <col min="1806" max="1807" width="13.1796875" style="184" customWidth="1"/>
    <col min="1808" max="1809" width="8.81640625" style="184"/>
    <col min="1810" max="1810" width="11" style="184" customWidth="1"/>
    <col min="1811" max="2053" width="8.81640625" style="184"/>
    <col min="2054" max="2054" width="26.81640625" style="184" customWidth="1"/>
    <col min="2055" max="2055" width="0" style="184" hidden="1" customWidth="1"/>
    <col min="2056" max="2056" width="12.453125" style="184" customWidth="1"/>
    <col min="2057" max="2058" width="11.1796875" style="184" customWidth="1"/>
    <col min="2059" max="2059" width="12.1796875" style="184" customWidth="1"/>
    <col min="2060" max="2060" width="14" style="184" customWidth="1"/>
    <col min="2061" max="2061" width="12.54296875" style="184" customWidth="1"/>
    <col min="2062" max="2063" width="13.1796875" style="184" customWidth="1"/>
    <col min="2064" max="2065" width="8.81640625" style="184"/>
    <col min="2066" max="2066" width="11" style="184" customWidth="1"/>
    <col min="2067" max="2309" width="8.81640625" style="184"/>
    <col min="2310" max="2310" width="26.81640625" style="184" customWidth="1"/>
    <col min="2311" max="2311" width="0" style="184" hidden="1" customWidth="1"/>
    <col min="2312" max="2312" width="12.453125" style="184" customWidth="1"/>
    <col min="2313" max="2314" width="11.1796875" style="184" customWidth="1"/>
    <col min="2315" max="2315" width="12.1796875" style="184" customWidth="1"/>
    <col min="2316" max="2316" width="14" style="184" customWidth="1"/>
    <col min="2317" max="2317" width="12.54296875" style="184" customWidth="1"/>
    <col min="2318" max="2319" width="13.1796875" style="184" customWidth="1"/>
    <col min="2320" max="2321" width="8.81640625" style="184"/>
    <col min="2322" max="2322" width="11" style="184" customWidth="1"/>
    <col min="2323" max="2565" width="8.81640625" style="184"/>
    <col min="2566" max="2566" width="26.81640625" style="184" customWidth="1"/>
    <col min="2567" max="2567" width="0" style="184" hidden="1" customWidth="1"/>
    <col min="2568" max="2568" width="12.453125" style="184" customWidth="1"/>
    <col min="2569" max="2570" width="11.1796875" style="184" customWidth="1"/>
    <col min="2571" max="2571" width="12.1796875" style="184" customWidth="1"/>
    <col min="2572" max="2572" width="14" style="184" customWidth="1"/>
    <col min="2573" max="2573" width="12.54296875" style="184" customWidth="1"/>
    <col min="2574" max="2575" width="13.1796875" style="184" customWidth="1"/>
    <col min="2576" max="2577" width="8.81640625" style="184"/>
    <col min="2578" max="2578" width="11" style="184" customWidth="1"/>
    <col min="2579" max="2821" width="8.81640625" style="184"/>
    <col min="2822" max="2822" width="26.81640625" style="184" customWidth="1"/>
    <col min="2823" max="2823" width="0" style="184" hidden="1" customWidth="1"/>
    <col min="2824" max="2824" width="12.453125" style="184" customWidth="1"/>
    <col min="2825" max="2826" width="11.1796875" style="184" customWidth="1"/>
    <col min="2827" max="2827" width="12.1796875" style="184" customWidth="1"/>
    <col min="2828" max="2828" width="14" style="184" customWidth="1"/>
    <col min="2829" max="2829" width="12.54296875" style="184" customWidth="1"/>
    <col min="2830" max="2831" width="13.1796875" style="184" customWidth="1"/>
    <col min="2832" max="2833" width="8.81640625" style="184"/>
    <col min="2834" max="2834" width="11" style="184" customWidth="1"/>
    <col min="2835" max="3077" width="8.81640625" style="184"/>
    <col min="3078" max="3078" width="26.81640625" style="184" customWidth="1"/>
    <col min="3079" max="3079" width="0" style="184" hidden="1" customWidth="1"/>
    <col min="3080" max="3080" width="12.453125" style="184" customWidth="1"/>
    <col min="3081" max="3082" width="11.1796875" style="184" customWidth="1"/>
    <col min="3083" max="3083" width="12.1796875" style="184" customWidth="1"/>
    <col min="3084" max="3084" width="14" style="184" customWidth="1"/>
    <col min="3085" max="3085" width="12.54296875" style="184" customWidth="1"/>
    <col min="3086" max="3087" width="13.1796875" style="184" customWidth="1"/>
    <col min="3088" max="3089" width="8.81640625" style="184"/>
    <col min="3090" max="3090" width="11" style="184" customWidth="1"/>
    <col min="3091" max="3333" width="8.81640625" style="184"/>
    <col min="3334" max="3334" width="26.81640625" style="184" customWidth="1"/>
    <col min="3335" max="3335" width="0" style="184" hidden="1" customWidth="1"/>
    <col min="3336" max="3336" width="12.453125" style="184" customWidth="1"/>
    <col min="3337" max="3338" width="11.1796875" style="184" customWidth="1"/>
    <col min="3339" max="3339" width="12.1796875" style="184" customWidth="1"/>
    <col min="3340" max="3340" width="14" style="184" customWidth="1"/>
    <col min="3341" max="3341" width="12.54296875" style="184" customWidth="1"/>
    <col min="3342" max="3343" width="13.1796875" style="184" customWidth="1"/>
    <col min="3344" max="3345" width="8.81640625" style="184"/>
    <col min="3346" max="3346" width="11" style="184" customWidth="1"/>
    <col min="3347" max="3589" width="8.81640625" style="184"/>
    <col min="3590" max="3590" width="26.81640625" style="184" customWidth="1"/>
    <col min="3591" max="3591" width="0" style="184" hidden="1" customWidth="1"/>
    <col min="3592" max="3592" width="12.453125" style="184" customWidth="1"/>
    <col min="3593" max="3594" width="11.1796875" style="184" customWidth="1"/>
    <col min="3595" max="3595" width="12.1796875" style="184" customWidth="1"/>
    <col min="3596" max="3596" width="14" style="184" customWidth="1"/>
    <col min="3597" max="3597" width="12.54296875" style="184" customWidth="1"/>
    <col min="3598" max="3599" width="13.1796875" style="184" customWidth="1"/>
    <col min="3600" max="3601" width="8.81640625" style="184"/>
    <col min="3602" max="3602" width="11" style="184" customWidth="1"/>
    <col min="3603" max="3845" width="8.81640625" style="184"/>
    <col min="3846" max="3846" width="26.81640625" style="184" customWidth="1"/>
    <col min="3847" max="3847" width="0" style="184" hidden="1" customWidth="1"/>
    <col min="3848" max="3848" width="12.453125" style="184" customWidth="1"/>
    <col min="3849" max="3850" width="11.1796875" style="184" customWidth="1"/>
    <col min="3851" max="3851" width="12.1796875" style="184" customWidth="1"/>
    <col min="3852" max="3852" width="14" style="184" customWidth="1"/>
    <col min="3853" max="3853" width="12.54296875" style="184" customWidth="1"/>
    <col min="3854" max="3855" width="13.1796875" style="184" customWidth="1"/>
    <col min="3856" max="3857" width="8.81640625" style="184"/>
    <col min="3858" max="3858" width="11" style="184" customWidth="1"/>
    <col min="3859" max="4101" width="8.81640625" style="184"/>
    <col min="4102" max="4102" width="26.81640625" style="184" customWidth="1"/>
    <col min="4103" max="4103" width="0" style="184" hidden="1" customWidth="1"/>
    <col min="4104" max="4104" width="12.453125" style="184" customWidth="1"/>
    <col min="4105" max="4106" width="11.1796875" style="184" customWidth="1"/>
    <col min="4107" max="4107" width="12.1796875" style="184" customWidth="1"/>
    <col min="4108" max="4108" width="14" style="184" customWidth="1"/>
    <col min="4109" max="4109" width="12.54296875" style="184" customWidth="1"/>
    <col min="4110" max="4111" width="13.1796875" style="184" customWidth="1"/>
    <col min="4112" max="4113" width="8.81640625" style="184"/>
    <col min="4114" max="4114" width="11" style="184" customWidth="1"/>
    <col min="4115" max="4357" width="8.81640625" style="184"/>
    <col min="4358" max="4358" width="26.81640625" style="184" customWidth="1"/>
    <col min="4359" max="4359" width="0" style="184" hidden="1" customWidth="1"/>
    <col min="4360" max="4360" width="12.453125" style="184" customWidth="1"/>
    <col min="4361" max="4362" width="11.1796875" style="184" customWidth="1"/>
    <col min="4363" max="4363" width="12.1796875" style="184" customWidth="1"/>
    <col min="4364" max="4364" width="14" style="184" customWidth="1"/>
    <col min="4365" max="4365" width="12.54296875" style="184" customWidth="1"/>
    <col min="4366" max="4367" width="13.1796875" style="184" customWidth="1"/>
    <col min="4368" max="4369" width="8.81640625" style="184"/>
    <col min="4370" max="4370" width="11" style="184" customWidth="1"/>
    <col min="4371" max="4613" width="8.81640625" style="184"/>
    <col min="4614" max="4614" width="26.81640625" style="184" customWidth="1"/>
    <col min="4615" max="4615" width="0" style="184" hidden="1" customWidth="1"/>
    <col min="4616" max="4616" width="12.453125" style="184" customWidth="1"/>
    <col min="4617" max="4618" width="11.1796875" style="184" customWidth="1"/>
    <col min="4619" max="4619" width="12.1796875" style="184" customWidth="1"/>
    <col min="4620" max="4620" width="14" style="184" customWidth="1"/>
    <col min="4621" max="4621" width="12.54296875" style="184" customWidth="1"/>
    <col min="4622" max="4623" width="13.1796875" style="184" customWidth="1"/>
    <col min="4624" max="4625" width="8.81640625" style="184"/>
    <col min="4626" max="4626" width="11" style="184" customWidth="1"/>
    <col min="4627" max="4869" width="8.81640625" style="184"/>
    <col min="4870" max="4870" width="26.81640625" style="184" customWidth="1"/>
    <col min="4871" max="4871" width="0" style="184" hidden="1" customWidth="1"/>
    <col min="4872" max="4872" width="12.453125" style="184" customWidth="1"/>
    <col min="4873" max="4874" width="11.1796875" style="184" customWidth="1"/>
    <col min="4875" max="4875" width="12.1796875" style="184" customWidth="1"/>
    <col min="4876" max="4876" width="14" style="184" customWidth="1"/>
    <col min="4877" max="4877" width="12.54296875" style="184" customWidth="1"/>
    <col min="4878" max="4879" width="13.1796875" style="184" customWidth="1"/>
    <col min="4880" max="4881" width="8.81640625" style="184"/>
    <col min="4882" max="4882" width="11" style="184" customWidth="1"/>
    <col min="4883" max="5125" width="8.81640625" style="184"/>
    <col min="5126" max="5126" width="26.81640625" style="184" customWidth="1"/>
    <col min="5127" max="5127" width="0" style="184" hidden="1" customWidth="1"/>
    <col min="5128" max="5128" width="12.453125" style="184" customWidth="1"/>
    <col min="5129" max="5130" width="11.1796875" style="184" customWidth="1"/>
    <col min="5131" max="5131" width="12.1796875" style="184" customWidth="1"/>
    <col min="5132" max="5132" width="14" style="184" customWidth="1"/>
    <col min="5133" max="5133" width="12.54296875" style="184" customWidth="1"/>
    <col min="5134" max="5135" width="13.1796875" style="184" customWidth="1"/>
    <col min="5136" max="5137" width="8.81640625" style="184"/>
    <col min="5138" max="5138" width="11" style="184" customWidth="1"/>
    <col min="5139" max="5381" width="8.81640625" style="184"/>
    <col min="5382" max="5382" width="26.81640625" style="184" customWidth="1"/>
    <col min="5383" max="5383" width="0" style="184" hidden="1" customWidth="1"/>
    <col min="5384" max="5384" width="12.453125" style="184" customWidth="1"/>
    <col min="5385" max="5386" width="11.1796875" style="184" customWidth="1"/>
    <col min="5387" max="5387" width="12.1796875" style="184" customWidth="1"/>
    <col min="5388" max="5388" width="14" style="184" customWidth="1"/>
    <col min="5389" max="5389" width="12.54296875" style="184" customWidth="1"/>
    <col min="5390" max="5391" width="13.1796875" style="184" customWidth="1"/>
    <col min="5392" max="5393" width="8.81640625" style="184"/>
    <col min="5394" max="5394" width="11" style="184" customWidth="1"/>
    <col min="5395" max="5637" width="8.81640625" style="184"/>
    <col min="5638" max="5638" width="26.81640625" style="184" customWidth="1"/>
    <col min="5639" max="5639" width="0" style="184" hidden="1" customWidth="1"/>
    <col min="5640" max="5640" width="12.453125" style="184" customWidth="1"/>
    <col min="5641" max="5642" width="11.1796875" style="184" customWidth="1"/>
    <col min="5643" max="5643" width="12.1796875" style="184" customWidth="1"/>
    <col min="5644" max="5644" width="14" style="184" customWidth="1"/>
    <col min="5645" max="5645" width="12.54296875" style="184" customWidth="1"/>
    <col min="5646" max="5647" width="13.1796875" style="184" customWidth="1"/>
    <col min="5648" max="5649" width="8.81640625" style="184"/>
    <col min="5650" max="5650" width="11" style="184" customWidth="1"/>
    <col min="5651" max="5893" width="8.81640625" style="184"/>
    <col min="5894" max="5894" width="26.81640625" style="184" customWidth="1"/>
    <col min="5895" max="5895" width="0" style="184" hidden="1" customWidth="1"/>
    <col min="5896" max="5896" width="12.453125" style="184" customWidth="1"/>
    <col min="5897" max="5898" width="11.1796875" style="184" customWidth="1"/>
    <col min="5899" max="5899" width="12.1796875" style="184" customWidth="1"/>
    <col min="5900" max="5900" width="14" style="184" customWidth="1"/>
    <col min="5901" max="5901" width="12.54296875" style="184" customWidth="1"/>
    <col min="5902" max="5903" width="13.1796875" style="184" customWidth="1"/>
    <col min="5904" max="5905" width="8.81640625" style="184"/>
    <col min="5906" max="5906" width="11" style="184" customWidth="1"/>
    <col min="5907" max="6149" width="8.81640625" style="184"/>
    <col min="6150" max="6150" width="26.81640625" style="184" customWidth="1"/>
    <col min="6151" max="6151" width="0" style="184" hidden="1" customWidth="1"/>
    <col min="6152" max="6152" width="12.453125" style="184" customWidth="1"/>
    <col min="6153" max="6154" width="11.1796875" style="184" customWidth="1"/>
    <col min="6155" max="6155" width="12.1796875" style="184" customWidth="1"/>
    <col min="6156" max="6156" width="14" style="184" customWidth="1"/>
    <col min="6157" max="6157" width="12.54296875" style="184" customWidth="1"/>
    <col min="6158" max="6159" width="13.1796875" style="184" customWidth="1"/>
    <col min="6160" max="6161" width="8.81640625" style="184"/>
    <col min="6162" max="6162" width="11" style="184" customWidth="1"/>
    <col min="6163" max="6405" width="8.81640625" style="184"/>
    <col min="6406" max="6406" width="26.81640625" style="184" customWidth="1"/>
    <col min="6407" max="6407" width="0" style="184" hidden="1" customWidth="1"/>
    <col min="6408" max="6408" width="12.453125" style="184" customWidth="1"/>
    <col min="6409" max="6410" width="11.1796875" style="184" customWidth="1"/>
    <col min="6411" max="6411" width="12.1796875" style="184" customWidth="1"/>
    <col min="6412" max="6412" width="14" style="184" customWidth="1"/>
    <col min="6413" max="6413" width="12.54296875" style="184" customWidth="1"/>
    <col min="6414" max="6415" width="13.1796875" style="184" customWidth="1"/>
    <col min="6416" max="6417" width="8.81640625" style="184"/>
    <col min="6418" max="6418" width="11" style="184" customWidth="1"/>
    <col min="6419" max="6661" width="8.81640625" style="184"/>
    <col min="6662" max="6662" width="26.81640625" style="184" customWidth="1"/>
    <col min="6663" max="6663" width="0" style="184" hidden="1" customWidth="1"/>
    <col min="6664" max="6664" width="12.453125" style="184" customWidth="1"/>
    <col min="6665" max="6666" width="11.1796875" style="184" customWidth="1"/>
    <col min="6667" max="6667" width="12.1796875" style="184" customWidth="1"/>
    <col min="6668" max="6668" width="14" style="184" customWidth="1"/>
    <col min="6669" max="6669" width="12.54296875" style="184" customWidth="1"/>
    <col min="6670" max="6671" width="13.1796875" style="184" customWidth="1"/>
    <col min="6672" max="6673" width="8.81640625" style="184"/>
    <col min="6674" max="6674" width="11" style="184" customWidth="1"/>
    <col min="6675" max="6917" width="8.81640625" style="184"/>
    <col min="6918" max="6918" width="26.81640625" style="184" customWidth="1"/>
    <col min="6919" max="6919" width="0" style="184" hidden="1" customWidth="1"/>
    <col min="6920" max="6920" width="12.453125" style="184" customWidth="1"/>
    <col min="6921" max="6922" width="11.1796875" style="184" customWidth="1"/>
    <col min="6923" max="6923" width="12.1796875" style="184" customWidth="1"/>
    <col min="6924" max="6924" width="14" style="184" customWidth="1"/>
    <col min="6925" max="6925" width="12.54296875" style="184" customWidth="1"/>
    <col min="6926" max="6927" width="13.1796875" style="184" customWidth="1"/>
    <col min="6928" max="6929" width="8.81640625" style="184"/>
    <col min="6930" max="6930" width="11" style="184" customWidth="1"/>
    <col min="6931" max="7173" width="8.81640625" style="184"/>
    <col min="7174" max="7174" width="26.81640625" style="184" customWidth="1"/>
    <col min="7175" max="7175" width="0" style="184" hidden="1" customWidth="1"/>
    <col min="7176" max="7176" width="12.453125" style="184" customWidth="1"/>
    <col min="7177" max="7178" width="11.1796875" style="184" customWidth="1"/>
    <col min="7179" max="7179" width="12.1796875" style="184" customWidth="1"/>
    <col min="7180" max="7180" width="14" style="184" customWidth="1"/>
    <col min="7181" max="7181" width="12.54296875" style="184" customWidth="1"/>
    <col min="7182" max="7183" width="13.1796875" style="184" customWidth="1"/>
    <col min="7184" max="7185" width="8.81640625" style="184"/>
    <col min="7186" max="7186" width="11" style="184" customWidth="1"/>
    <col min="7187" max="7429" width="8.81640625" style="184"/>
    <col min="7430" max="7430" width="26.81640625" style="184" customWidth="1"/>
    <col min="7431" max="7431" width="0" style="184" hidden="1" customWidth="1"/>
    <col min="7432" max="7432" width="12.453125" style="184" customWidth="1"/>
    <col min="7433" max="7434" width="11.1796875" style="184" customWidth="1"/>
    <col min="7435" max="7435" width="12.1796875" style="184" customWidth="1"/>
    <col min="7436" max="7436" width="14" style="184" customWidth="1"/>
    <col min="7437" max="7437" width="12.54296875" style="184" customWidth="1"/>
    <col min="7438" max="7439" width="13.1796875" style="184" customWidth="1"/>
    <col min="7440" max="7441" width="8.81640625" style="184"/>
    <col min="7442" max="7442" width="11" style="184" customWidth="1"/>
    <col min="7443" max="7685" width="8.81640625" style="184"/>
    <col min="7686" max="7686" width="26.81640625" style="184" customWidth="1"/>
    <col min="7687" max="7687" width="0" style="184" hidden="1" customWidth="1"/>
    <col min="7688" max="7688" width="12.453125" style="184" customWidth="1"/>
    <col min="7689" max="7690" width="11.1796875" style="184" customWidth="1"/>
    <col min="7691" max="7691" width="12.1796875" style="184" customWidth="1"/>
    <col min="7692" max="7692" width="14" style="184" customWidth="1"/>
    <col min="7693" max="7693" width="12.54296875" style="184" customWidth="1"/>
    <col min="7694" max="7695" width="13.1796875" style="184" customWidth="1"/>
    <col min="7696" max="7697" width="8.81640625" style="184"/>
    <col min="7698" max="7698" width="11" style="184" customWidth="1"/>
    <col min="7699" max="7941" width="8.81640625" style="184"/>
    <col min="7942" max="7942" width="26.81640625" style="184" customWidth="1"/>
    <col min="7943" max="7943" width="0" style="184" hidden="1" customWidth="1"/>
    <col min="7944" max="7944" width="12.453125" style="184" customWidth="1"/>
    <col min="7945" max="7946" width="11.1796875" style="184" customWidth="1"/>
    <col min="7947" max="7947" width="12.1796875" style="184" customWidth="1"/>
    <col min="7948" max="7948" width="14" style="184" customWidth="1"/>
    <col min="7949" max="7949" width="12.54296875" style="184" customWidth="1"/>
    <col min="7950" max="7951" width="13.1796875" style="184" customWidth="1"/>
    <col min="7952" max="7953" width="8.81640625" style="184"/>
    <col min="7954" max="7954" width="11" style="184" customWidth="1"/>
    <col min="7955" max="8197" width="8.81640625" style="184"/>
    <col min="8198" max="8198" width="26.81640625" style="184" customWidth="1"/>
    <col min="8199" max="8199" width="0" style="184" hidden="1" customWidth="1"/>
    <col min="8200" max="8200" width="12.453125" style="184" customWidth="1"/>
    <col min="8201" max="8202" width="11.1796875" style="184" customWidth="1"/>
    <col min="8203" max="8203" width="12.1796875" style="184" customWidth="1"/>
    <col min="8204" max="8204" width="14" style="184" customWidth="1"/>
    <col min="8205" max="8205" width="12.54296875" style="184" customWidth="1"/>
    <col min="8206" max="8207" width="13.1796875" style="184" customWidth="1"/>
    <col min="8208" max="8209" width="8.81640625" style="184"/>
    <col min="8210" max="8210" width="11" style="184" customWidth="1"/>
    <col min="8211" max="8453" width="8.81640625" style="184"/>
    <col min="8454" max="8454" width="26.81640625" style="184" customWidth="1"/>
    <col min="8455" max="8455" width="0" style="184" hidden="1" customWidth="1"/>
    <col min="8456" max="8456" width="12.453125" style="184" customWidth="1"/>
    <col min="8457" max="8458" width="11.1796875" style="184" customWidth="1"/>
    <col min="8459" max="8459" width="12.1796875" style="184" customWidth="1"/>
    <col min="8460" max="8460" width="14" style="184" customWidth="1"/>
    <col min="8461" max="8461" width="12.54296875" style="184" customWidth="1"/>
    <col min="8462" max="8463" width="13.1796875" style="184" customWidth="1"/>
    <col min="8464" max="8465" width="8.81640625" style="184"/>
    <col min="8466" max="8466" width="11" style="184" customWidth="1"/>
    <col min="8467" max="8709" width="8.81640625" style="184"/>
    <col min="8710" max="8710" width="26.81640625" style="184" customWidth="1"/>
    <col min="8711" max="8711" width="0" style="184" hidden="1" customWidth="1"/>
    <col min="8712" max="8712" width="12.453125" style="184" customWidth="1"/>
    <col min="8713" max="8714" width="11.1796875" style="184" customWidth="1"/>
    <col min="8715" max="8715" width="12.1796875" style="184" customWidth="1"/>
    <col min="8716" max="8716" width="14" style="184" customWidth="1"/>
    <col min="8717" max="8717" width="12.54296875" style="184" customWidth="1"/>
    <col min="8718" max="8719" width="13.1796875" style="184" customWidth="1"/>
    <col min="8720" max="8721" width="8.81640625" style="184"/>
    <col min="8722" max="8722" width="11" style="184" customWidth="1"/>
    <col min="8723" max="8965" width="8.81640625" style="184"/>
    <col min="8966" max="8966" width="26.81640625" style="184" customWidth="1"/>
    <col min="8967" max="8967" width="0" style="184" hidden="1" customWidth="1"/>
    <col min="8968" max="8968" width="12.453125" style="184" customWidth="1"/>
    <col min="8969" max="8970" width="11.1796875" style="184" customWidth="1"/>
    <col min="8971" max="8971" width="12.1796875" style="184" customWidth="1"/>
    <col min="8972" max="8972" width="14" style="184" customWidth="1"/>
    <col min="8973" max="8973" width="12.54296875" style="184" customWidth="1"/>
    <col min="8974" max="8975" width="13.1796875" style="184" customWidth="1"/>
    <col min="8976" max="8977" width="8.81640625" style="184"/>
    <col min="8978" max="8978" width="11" style="184" customWidth="1"/>
    <col min="8979" max="9221" width="8.81640625" style="184"/>
    <col min="9222" max="9222" width="26.81640625" style="184" customWidth="1"/>
    <col min="9223" max="9223" width="0" style="184" hidden="1" customWidth="1"/>
    <col min="9224" max="9224" width="12.453125" style="184" customWidth="1"/>
    <col min="9225" max="9226" width="11.1796875" style="184" customWidth="1"/>
    <col min="9227" max="9227" width="12.1796875" style="184" customWidth="1"/>
    <col min="9228" max="9228" width="14" style="184" customWidth="1"/>
    <col min="9229" max="9229" width="12.54296875" style="184" customWidth="1"/>
    <col min="9230" max="9231" width="13.1796875" style="184" customWidth="1"/>
    <col min="9232" max="9233" width="8.81640625" style="184"/>
    <col min="9234" max="9234" width="11" style="184" customWidth="1"/>
    <col min="9235" max="9477" width="8.81640625" style="184"/>
    <col min="9478" max="9478" width="26.81640625" style="184" customWidth="1"/>
    <col min="9479" max="9479" width="0" style="184" hidden="1" customWidth="1"/>
    <col min="9480" max="9480" width="12.453125" style="184" customWidth="1"/>
    <col min="9481" max="9482" width="11.1796875" style="184" customWidth="1"/>
    <col min="9483" max="9483" width="12.1796875" style="184" customWidth="1"/>
    <col min="9484" max="9484" width="14" style="184" customWidth="1"/>
    <col min="9485" max="9485" width="12.54296875" style="184" customWidth="1"/>
    <col min="9486" max="9487" width="13.1796875" style="184" customWidth="1"/>
    <col min="9488" max="9489" width="8.81640625" style="184"/>
    <col min="9490" max="9490" width="11" style="184" customWidth="1"/>
    <col min="9491" max="9733" width="8.81640625" style="184"/>
    <col min="9734" max="9734" width="26.81640625" style="184" customWidth="1"/>
    <col min="9735" max="9735" width="0" style="184" hidden="1" customWidth="1"/>
    <col min="9736" max="9736" width="12.453125" style="184" customWidth="1"/>
    <col min="9737" max="9738" width="11.1796875" style="184" customWidth="1"/>
    <col min="9739" max="9739" width="12.1796875" style="184" customWidth="1"/>
    <col min="9740" max="9740" width="14" style="184" customWidth="1"/>
    <col min="9741" max="9741" width="12.54296875" style="184" customWidth="1"/>
    <col min="9742" max="9743" width="13.1796875" style="184" customWidth="1"/>
    <col min="9744" max="9745" width="8.81640625" style="184"/>
    <col min="9746" max="9746" width="11" style="184" customWidth="1"/>
    <col min="9747" max="9989" width="8.81640625" style="184"/>
    <col min="9990" max="9990" width="26.81640625" style="184" customWidth="1"/>
    <col min="9991" max="9991" width="0" style="184" hidden="1" customWidth="1"/>
    <col min="9992" max="9992" width="12.453125" style="184" customWidth="1"/>
    <col min="9993" max="9994" width="11.1796875" style="184" customWidth="1"/>
    <col min="9995" max="9995" width="12.1796875" style="184" customWidth="1"/>
    <col min="9996" max="9996" width="14" style="184" customWidth="1"/>
    <col min="9997" max="9997" width="12.54296875" style="184" customWidth="1"/>
    <col min="9998" max="9999" width="13.1796875" style="184" customWidth="1"/>
    <col min="10000" max="10001" width="8.81640625" style="184"/>
    <col min="10002" max="10002" width="11" style="184" customWidth="1"/>
    <col min="10003" max="10245" width="8.81640625" style="184"/>
    <col min="10246" max="10246" width="26.81640625" style="184" customWidth="1"/>
    <col min="10247" max="10247" width="0" style="184" hidden="1" customWidth="1"/>
    <col min="10248" max="10248" width="12.453125" style="184" customWidth="1"/>
    <col min="10249" max="10250" width="11.1796875" style="184" customWidth="1"/>
    <col min="10251" max="10251" width="12.1796875" style="184" customWidth="1"/>
    <col min="10252" max="10252" width="14" style="184" customWidth="1"/>
    <col min="10253" max="10253" width="12.54296875" style="184" customWidth="1"/>
    <col min="10254" max="10255" width="13.1796875" style="184" customWidth="1"/>
    <col min="10256" max="10257" width="8.81640625" style="184"/>
    <col min="10258" max="10258" width="11" style="184" customWidth="1"/>
    <col min="10259" max="10501" width="8.81640625" style="184"/>
    <col min="10502" max="10502" width="26.81640625" style="184" customWidth="1"/>
    <col min="10503" max="10503" width="0" style="184" hidden="1" customWidth="1"/>
    <col min="10504" max="10504" width="12.453125" style="184" customWidth="1"/>
    <col min="10505" max="10506" width="11.1796875" style="184" customWidth="1"/>
    <col min="10507" max="10507" width="12.1796875" style="184" customWidth="1"/>
    <col min="10508" max="10508" width="14" style="184" customWidth="1"/>
    <col min="10509" max="10509" width="12.54296875" style="184" customWidth="1"/>
    <col min="10510" max="10511" width="13.1796875" style="184" customWidth="1"/>
    <col min="10512" max="10513" width="8.81640625" style="184"/>
    <col min="10514" max="10514" width="11" style="184" customWidth="1"/>
    <col min="10515" max="10757" width="8.81640625" style="184"/>
    <col min="10758" max="10758" width="26.81640625" style="184" customWidth="1"/>
    <col min="10759" max="10759" width="0" style="184" hidden="1" customWidth="1"/>
    <col min="10760" max="10760" width="12.453125" style="184" customWidth="1"/>
    <col min="10761" max="10762" width="11.1796875" style="184" customWidth="1"/>
    <col min="10763" max="10763" width="12.1796875" style="184" customWidth="1"/>
    <col min="10764" max="10764" width="14" style="184" customWidth="1"/>
    <col min="10765" max="10765" width="12.54296875" style="184" customWidth="1"/>
    <col min="10766" max="10767" width="13.1796875" style="184" customWidth="1"/>
    <col min="10768" max="10769" width="8.81640625" style="184"/>
    <col min="10770" max="10770" width="11" style="184" customWidth="1"/>
    <col min="10771" max="11013" width="8.81640625" style="184"/>
    <col min="11014" max="11014" width="26.81640625" style="184" customWidth="1"/>
    <col min="11015" max="11015" width="0" style="184" hidden="1" customWidth="1"/>
    <col min="11016" max="11016" width="12.453125" style="184" customWidth="1"/>
    <col min="11017" max="11018" width="11.1796875" style="184" customWidth="1"/>
    <col min="11019" max="11019" width="12.1796875" style="184" customWidth="1"/>
    <col min="11020" max="11020" width="14" style="184" customWidth="1"/>
    <col min="11021" max="11021" width="12.54296875" style="184" customWidth="1"/>
    <col min="11022" max="11023" width="13.1796875" style="184" customWidth="1"/>
    <col min="11024" max="11025" width="8.81640625" style="184"/>
    <col min="11026" max="11026" width="11" style="184" customWidth="1"/>
    <col min="11027" max="11269" width="8.81640625" style="184"/>
    <col min="11270" max="11270" width="26.81640625" style="184" customWidth="1"/>
    <col min="11271" max="11271" width="0" style="184" hidden="1" customWidth="1"/>
    <col min="11272" max="11272" width="12.453125" style="184" customWidth="1"/>
    <col min="11273" max="11274" width="11.1796875" style="184" customWidth="1"/>
    <col min="11275" max="11275" width="12.1796875" style="184" customWidth="1"/>
    <col min="11276" max="11276" width="14" style="184" customWidth="1"/>
    <col min="11277" max="11277" width="12.54296875" style="184" customWidth="1"/>
    <col min="11278" max="11279" width="13.1796875" style="184" customWidth="1"/>
    <col min="11280" max="11281" width="8.81640625" style="184"/>
    <col min="11282" max="11282" width="11" style="184" customWidth="1"/>
    <col min="11283" max="11525" width="8.81640625" style="184"/>
    <col min="11526" max="11526" width="26.81640625" style="184" customWidth="1"/>
    <col min="11527" max="11527" width="0" style="184" hidden="1" customWidth="1"/>
    <col min="11528" max="11528" width="12.453125" style="184" customWidth="1"/>
    <col min="11529" max="11530" width="11.1796875" style="184" customWidth="1"/>
    <col min="11531" max="11531" width="12.1796875" style="184" customWidth="1"/>
    <col min="11532" max="11532" width="14" style="184" customWidth="1"/>
    <col min="11533" max="11533" width="12.54296875" style="184" customWidth="1"/>
    <col min="11534" max="11535" width="13.1796875" style="184" customWidth="1"/>
    <col min="11536" max="11537" width="8.81640625" style="184"/>
    <col min="11538" max="11538" width="11" style="184" customWidth="1"/>
    <col min="11539" max="11781" width="8.81640625" style="184"/>
    <col min="11782" max="11782" width="26.81640625" style="184" customWidth="1"/>
    <col min="11783" max="11783" width="0" style="184" hidden="1" customWidth="1"/>
    <col min="11784" max="11784" width="12.453125" style="184" customWidth="1"/>
    <col min="11785" max="11786" width="11.1796875" style="184" customWidth="1"/>
    <col min="11787" max="11787" width="12.1796875" style="184" customWidth="1"/>
    <col min="11788" max="11788" width="14" style="184" customWidth="1"/>
    <col min="11789" max="11789" width="12.54296875" style="184" customWidth="1"/>
    <col min="11790" max="11791" width="13.1796875" style="184" customWidth="1"/>
    <col min="11792" max="11793" width="8.81640625" style="184"/>
    <col min="11794" max="11794" width="11" style="184" customWidth="1"/>
    <col min="11795" max="12037" width="8.81640625" style="184"/>
    <col min="12038" max="12038" width="26.81640625" style="184" customWidth="1"/>
    <col min="12039" max="12039" width="0" style="184" hidden="1" customWidth="1"/>
    <col min="12040" max="12040" width="12.453125" style="184" customWidth="1"/>
    <col min="12041" max="12042" width="11.1796875" style="184" customWidth="1"/>
    <col min="12043" max="12043" width="12.1796875" style="184" customWidth="1"/>
    <col min="12044" max="12044" width="14" style="184" customWidth="1"/>
    <col min="12045" max="12045" width="12.54296875" style="184" customWidth="1"/>
    <col min="12046" max="12047" width="13.1796875" style="184" customWidth="1"/>
    <col min="12048" max="12049" width="8.81640625" style="184"/>
    <col min="12050" max="12050" width="11" style="184" customWidth="1"/>
    <col min="12051" max="12293" width="8.81640625" style="184"/>
    <col min="12294" max="12294" width="26.81640625" style="184" customWidth="1"/>
    <col min="12295" max="12295" width="0" style="184" hidden="1" customWidth="1"/>
    <col min="12296" max="12296" width="12.453125" style="184" customWidth="1"/>
    <col min="12297" max="12298" width="11.1796875" style="184" customWidth="1"/>
    <col min="12299" max="12299" width="12.1796875" style="184" customWidth="1"/>
    <col min="12300" max="12300" width="14" style="184" customWidth="1"/>
    <col min="12301" max="12301" width="12.54296875" style="184" customWidth="1"/>
    <col min="12302" max="12303" width="13.1796875" style="184" customWidth="1"/>
    <col min="12304" max="12305" width="8.81640625" style="184"/>
    <col min="12306" max="12306" width="11" style="184" customWidth="1"/>
    <col min="12307" max="12549" width="8.81640625" style="184"/>
    <col min="12550" max="12550" width="26.81640625" style="184" customWidth="1"/>
    <col min="12551" max="12551" width="0" style="184" hidden="1" customWidth="1"/>
    <col min="12552" max="12552" width="12.453125" style="184" customWidth="1"/>
    <col min="12553" max="12554" width="11.1796875" style="184" customWidth="1"/>
    <col min="12555" max="12555" width="12.1796875" style="184" customWidth="1"/>
    <col min="12556" max="12556" width="14" style="184" customWidth="1"/>
    <col min="12557" max="12557" width="12.54296875" style="184" customWidth="1"/>
    <col min="12558" max="12559" width="13.1796875" style="184" customWidth="1"/>
    <col min="12560" max="12561" width="8.81640625" style="184"/>
    <col min="12562" max="12562" width="11" style="184" customWidth="1"/>
    <col min="12563" max="12805" width="8.81640625" style="184"/>
    <col min="12806" max="12806" width="26.81640625" style="184" customWidth="1"/>
    <col min="12807" max="12807" width="0" style="184" hidden="1" customWidth="1"/>
    <col min="12808" max="12808" width="12.453125" style="184" customWidth="1"/>
    <col min="12809" max="12810" width="11.1796875" style="184" customWidth="1"/>
    <col min="12811" max="12811" width="12.1796875" style="184" customWidth="1"/>
    <col min="12812" max="12812" width="14" style="184" customWidth="1"/>
    <col min="12813" max="12813" width="12.54296875" style="184" customWidth="1"/>
    <col min="12814" max="12815" width="13.1796875" style="184" customWidth="1"/>
    <col min="12816" max="12817" width="8.81640625" style="184"/>
    <col min="12818" max="12818" width="11" style="184" customWidth="1"/>
    <col min="12819" max="13061" width="8.81640625" style="184"/>
    <col min="13062" max="13062" width="26.81640625" style="184" customWidth="1"/>
    <col min="13063" max="13063" width="0" style="184" hidden="1" customWidth="1"/>
    <col min="13064" max="13064" width="12.453125" style="184" customWidth="1"/>
    <col min="13065" max="13066" width="11.1796875" style="184" customWidth="1"/>
    <col min="13067" max="13067" width="12.1796875" style="184" customWidth="1"/>
    <col min="13068" max="13068" width="14" style="184" customWidth="1"/>
    <col min="13069" max="13069" width="12.54296875" style="184" customWidth="1"/>
    <col min="13070" max="13071" width="13.1796875" style="184" customWidth="1"/>
    <col min="13072" max="13073" width="8.81640625" style="184"/>
    <col min="13074" max="13074" width="11" style="184" customWidth="1"/>
    <col min="13075" max="13317" width="8.81640625" style="184"/>
    <col min="13318" max="13318" width="26.81640625" style="184" customWidth="1"/>
    <col min="13319" max="13319" width="0" style="184" hidden="1" customWidth="1"/>
    <col min="13320" max="13320" width="12.453125" style="184" customWidth="1"/>
    <col min="13321" max="13322" width="11.1796875" style="184" customWidth="1"/>
    <col min="13323" max="13323" width="12.1796875" style="184" customWidth="1"/>
    <col min="13324" max="13324" width="14" style="184" customWidth="1"/>
    <col min="13325" max="13325" width="12.54296875" style="184" customWidth="1"/>
    <col min="13326" max="13327" width="13.1796875" style="184" customWidth="1"/>
    <col min="13328" max="13329" width="8.81640625" style="184"/>
    <col min="13330" max="13330" width="11" style="184" customWidth="1"/>
    <col min="13331" max="13573" width="8.81640625" style="184"/>
    <col min="13574" max="13574" width="26.81640625" style="184" customWidth="1"/>
    <col min="13575" max="13575" width="0" style="184" hidden="1" customWidth="1"/>
    <col min="13576" max="13576" width="12.453125" style="184" customWidth="1"/>
    <col min="13577" max="13578" width="11.1796875" style="184" customWidth="1"/>
    <col min="13579" max="13579" width="12.1796875" style="184" customWidth="1"/>
    <col min="13580" max="13580" width="14" style="184" customWidth="1"/>
    <col min="13581" max="13581" width="12.54296875" style="184" customWidth="1"/>
    <col min="13582" max="13583" width="13.1796875" style="184" customWidth="1"/>
    <col min="13584" max="13585" width="8.81640625" style="184"/>
    <col min="13586" max="13586" width="11" style="184" customWidth="1"/>
    <col min="13587" max="13829" width="8.81640625" style="184"/>
    <col min="13830" max="13830" width="26.81640625" style="184" customWidth="1"/>
    <col min="13831" max="13831" width="0" style="184" hidden="1" customWidth="1"/>
    <col min="13832" max="13832" width="12.453125" style="184" customWidth="1"/>
    <col min="13833" max="13834" width="11.1796875" style="184" customWidth="1"/>
    <col min="13835" max="13835" width="12.1796875" style="184" customWidth="1"/>
    <col min="13836" max="13836" width="14" style="184" customWidth="1"/>
    <col min="13837" max="13837" width="12.54296875" style="184" customWidth="1"/>
    <col min="13838" max="13839" width="13.1796875" style="184" customWidth="1"/>
    <col min="13840" max="13841" width="8.81640625" style="184"/>
    <col min="13842" max="13842" width="11" style="184" customWidth="1"/>
    <col min="13843" max="14085" width="8.81640625" style="184"/>
    <col min="14086" max="14086" width="26.81640625" style="184" customWidth="1"/>
    <col min="14087" max="14087" width="0" style="184" hidden="1" customWidth="1"/>
    <col min="14088" max="14088" width="12.453125" style="184" customWidth="1"/>
    <col min="14089" max="14090" width="11.1796875" style="184" customWidth="1"/>
    <col min="14091" max="14091" width="12.1796875" style="184" customWidth="1"/>
    <col min="14092" max="14092" width="14" style="184" customWidth="1"/>
    <col min="14093" max="14093" width="12.54296875" style="184" customWidth="1"/>
    <col min="14094" max="14095" width="13.1796875" style="184" customWidth="1"/>
    <col min="14096" max="14097" width="8.81640625" style="184"/>
    <col min="14098" max="14098" width="11" style="184" customWidth="1"/>
    <col min="14099" max="14341" width="8.81640625" style="184"/>
    <col min="14342" max="14342" width="26.81640625" style="184" customWidth="1"/>
    <col min="14343" max="14343" width="0" style="184" hidden="1" customWidth="1"/>
    <col min="14344" max="14344" width="12.453125" style="184" customWidth="1"/>
    <col min="14345" max="14346" width="11.1796875" style="184" customWidth="1"/>
    <col min="14347" max="14347" width="12.1796875" style="184" customWidth="1"/>
    <col min="14348" max="14348" width="14" style="184" customWidth="1"/>
    <col min="14349" max="14349" width="12.54296875" style="184" customWidth="1"/>
    <col min="14350" max="14351" width="13.1796875" style="184" customWidth="1"/>
    <col min="14352" max="14353" width="8.81640625" style="184"/>
    <col min="14354" max="14354" width="11" style="184" customWidth="1"/>
    <col min="14355" max="14597" width="8.81640625" style="184"/>
    <col min="14598" max="14598" width="26.81640625" style="184" customWidth="1"/>
    <col min="14599" max="14599" width="0" style="184" hidden="1" customWidth="1"/>
    <col min="14600" max="14600" width="12.453125" style="184" customWidth="1"/>
    <col min="14601" max="14602" width="11.1796875" style="184" customWidth="1"/>
    <col min="14603" max="14603" width="12.1796875" style="184" customWidth="1"/>
    <col min="14604" max="14604" width="14" style="184" customWidth="1"/>
    <col min="14605" max="14605" width="12.54296875" style="184" customWidth="1"/>
    <col min="14606" max="14607" width="13.1796875" style="184" customWidth="1"/>
    <col min="14608" max="14609" width="8.81640625" style="184"/>
    <col min="14610" max="14610" width="11" style="184" customWidth="1"/>
    <col min="14611" max="14853" width="8.81640625" style="184"/>
    <col min="14854" max="14854" width="26.81640625" style="184" customWidth="1"/>
    <col min="14855" max="14855" width="0" style="184" hidden="1" customWidth="1"/>
    <col min="14856" max="14856" width="12.453125" style="184" customWidth="1"/>
    <col min="14857" max="14858" width="11.1796875" style="184" customWidth="1"/>
    <col min="14859" max="14859" width="12.1796875" style="184" customWidth="1"/>
    <col min="14860" max="14860" width="14" style="184" customWidth="1"/>
    <col min="14861" max="14861" width="12.54296875" style="184" customWidth="1"/>
    <col min="14862" max="14863" width="13.1796875" style="184" customWidth="1"/>
    <col min="14864" max="14865" width="8.81640625" style="184"/>
    <col min="14866" max="14866" width="11" style="184" customWidth="1"/>
    <col min="14867" max="15109" width="8.81640625" style="184"/>
    <col min="15110" max="15110" width="26.81640625" style="184" customWidth="1"/>
    <col min="15111" max="15111" width="0" style="184" hidden="1" customWidth="1"/>
    <col min="15112" max="15112" width="12.453125" style="184" customWidth="1"/>
    <col min="15113" max="15114" width="11.1796875" style="184" customWidth="1"/>
    <col min="15115" max="15115" width="12.1796875" style="184" customWidth="1"/>
    <col min="15116" max="15116" width="14" style="184" customWidth="1"/>
    <col min="15117" max="15117" width="12.54296875" style="184" customWidth="1"/>
    <col min="15118" max="15119" width="13.1796875" style="184" customWidth="1"/>
    <col min="15120" max="15121" width="8.81640625" style="184"/>
    <col min="15122" max="15122" width="11" style="184" customWidth="1"/>
    <col min="15123" max="15365" width="8.81640625" style="184"/>
    <col min="15366" max="15366" width="26.81640625" style="184" customWidth="1"/>
    <col min="15367" max="15367" width="0" style="184" hidden="1" customWidth="1"/>
    <col min="15368" max="15368" width="12.453125" style="184" customWidth="1"/>
    <col min="15369" max="15370" width="11.1796875" style="184" customWidth="1"/>
    <col min="15371" max="15371" width="12.1796875" style="184" customWidth="1"/>
    <col min="15372" max="15372" width="14" style="184" customWidth="1"/>
    <col min="15373" max="15373" width="12.54296875" style="184" customWidth="1"/>
    <col min="15374" max="15375" width="13.1796875" style="184" customWidth="1"/>
    <col min="15376" max="15377" width="8.81640625" style="184"/>
    <col min="15378" max="15378" width="11" style="184" customWidth="1"/>
    <col min="15379" max="15621" width="8.81640625" style="184"/>
    <col min="15622" max="15622" width="26.81640625" style="184" customWidth="1"/>
    <col min="15623" max="15623" width="0" style="184" hidden="1" customWidth="1"/>
    <col min="15624" max="15624" width="12.453125" style="184" customWidth="1"/>
    <col min="15625" max="15626" width="11.1796875" style="184" customWidth="1"/>
    <col min="15627" max="15627" width="12.1796875" style="184" customWidth="1"/>
    <col min="15628" max="15628" width="14" style="184" customWidth="1"/>
    <col min="15629" max="15629" width="12.54296875" style="184" customWidth="1"/>
    <col min="15630" max="15631" width="13.1796875" style="184" customWidth="1"/>
    <col min="15632" max="15633" width="8.81640625" style="184"/>
    <col min="15634" max="15634" width="11" style="184" customWidth="1"/>
    <col min="15635" max="15877" width="8.81640625" style="184"/>
    <col min="15878" max="15878" width="26.81640625" style="184" customWidth="1"/>
    <col min="15879" max="15879" width="0" style="184" hidden="1" customWidth="1"/>
    <col min="15880" max="15880" width="12.453125" style="184" customWidth="1"/>
    <col min="15881" max="15882" width="11.1796875" style="184" customWidth="1"/>
    <col min="15883" max="15883" width="12.1796875" style="184" customWidth="1"/>
    <col min="15884" max="15884" width="14" style="184" customWidth="1"/>
    <col min="15885" max="15885" width="12.54296875" style="184" customWidth="1"/>
    <col min="15886" max="15887" width="13.1796875" style="184" customWidth="1"/>
    <col min="15888" max="15889" width="8.81640625" style="184"/>
    <col min="15890" max="15890" width="11" style="184" customWidth="1"/>
    <col min="15891" max="16133" width="8.81640625" style="184"/>
    <col min="16134" max="16134" width="26.81640625" style="184" customWidth="1"/>
    <col min="16135" max="16135" width="0" style="184" hidden="1" customWidth="1"/>
    <col min="16136" max="16136" width="12.453125" style="184" customWidth="1"/>
    <col min="16137" max="16138" width="11.1796875" style="184" customWidth="1"/>
    <col min="16139" max="16139" width="12.1796875" style="184" customWidth="1"/>
    <col min="16140" max="16140" width="14" style="184" customWidth="1"/>
    <col min="16141" max="16141" width="12.54296875" style="184" customWidth="1"/>
    <col min="16142" max="16143" width="13.1796875" style="184" customWidth="1"/>
    <col min="16144" max="16145" width="8.81640625" style="184"/>
    <col min="16146" max="16146" width="11" style="184" customWidth="1"/>
    <col min="16147" max="16384" width="8.81640625" style="184"/>
  </cols>
  <sheetData>
    <row r="1" spans="1:37" ht="13">
      <c r="O1" s="390" t="s">
        <v>340</v>
      </c>
      <c r="P1" s="390"/>
      <c r="Q1" s="390"/>
      <c r="R1" s="390"/>
      <c r="S1" s="390"/>
      <c r="T1" s="390"/>
      <c r="U1" s="390"/>
      <c r="V1" s="390"/>
      <c r="W1" s="390"/>
      <c r="X1" s="390"/>
    </row>
    <row r="2" spans="1:37" ht="13">
      <c r="O2" s="421" t="s">
        <v>165</v>
      </c>
      <c r="P2" s="421"/>
      <c r="Q2" s="421"/>
      <c r="R2" s="421"/>
      <c r="S2" s="421"/>
      <c r="T2" s="421"/>
      <c r="U2" s="421"/>
      <c r="V2" s="421"/>
      <c r="W2" s="421"/>
      <c r="X2" s="421"/>
      <c r="Y2" s="421"/>
    </row>
    <row r="3" spans="1:37" s="194" customFormat="1" ht="57" customHeight="1">
      <c r="B3" s="270" t="s">
        <v>166</v>
      </c>
      <c r="C3" s="270"/>
      <c r="D3" s="270"/>
      <c r="O3" s="328"/>
      <c r="P3" s="328" t="s">
        <v>291</v>
      </c>
      <c r="Q3" s="328" t="s">
        <v>167</v>
      </c>
      <c r="R3" s="328" t="s">
        <v>168</v>
      </c>
      <c r="S3" s="328" t="s">
        <v>169</v>
      </c>
      <c r="T3" s="328" t="s">
        <v>170</v>
      </c>
      <c r="U3" s="328" t="s">
        <v>171</v>
      </c>
      <c r="V3" s="328" t="s">
        <v>339</v>
      </c>
      <c r="W3" s="328" t="s">
        <v>172</v>
      </c>
      <c r="X3" s="328" t="s">
        <v>173</v>
      </c>
      <c r="AB3" s="328"/>
      <c r="AC3" s="328" t="s">
        <v>167</v>
      </c>
      <c r="AD3" s="328" t="s">
        <v>168</v>
      </c>
      <c r="AE3" s="328" t="s">
        <v>169</v>
      </c>
    </row>
    <row r="4" spans="1:37" ht="26.4" customHeight="1">
      <c r="O4" s="336" t="s">
        <v>174</v>
      </c>
      <c r="P4" s="337"/>
      <c r="Q4" s="337"/>
      <c r="R4" s="337"/>
      <c r="S4" s="337"/>
      <c r="T4" s="337"/>
      <c r="U4" s="337"/>
      <c r="V4" s="337"/>
      <c r="W4" s="337"/>
      <c r="X4" s="338"/>
      <c r="AB4" s="393" t="s">
        <v>334</v>
      </c>
      <c r="AC4" s="394"/>
      <c r="AD4" s="394"/>
      <c r="AE4" s="395"/>
      <c r="AG4" s="337"/>
      <c r="AH4" s="337"/>
      <c r="AI4" s="337"/>
      <c r="AJ4" s="337"/>
      <c r="AK4" s="338"/>
    </row>
    <row r="5" spans="1:37" ht="13.25" customHeight="1">
      <c r="A5" s="366" t="s">
        <v>289</v>
      </c>
      <c r="B5" s="366"/>
      <c r="C5" s="366"/>
      <c r="D5" s="366"/>
      <c r="E5" s="366"/>
      <c r="O5" s="185" t="s">
        <v>108</v>
      </c>
      <c r="P5" s="333">
        <f t="shared" ref="P5:P10" si="0">+R29</f>
        <v>4360158.4974347996</v>
      </c>
      <c r="Q5" s="334">
        <f>(3094448.44-22340.75+1637622.08)</f>
        <v>4709729.7699999996</v>
      </c>
      <c r="R5" s="334">
        <f>(4757807.77-30858.47)</f>
        <v>4726949.3</v>
      </c>
      <c r="S5" s="334">
        <f>(4631252.91-31206.56)</f>
        <v>4600046.3500000006</v>
      </c>
      <c r="T5" s="334">
        <f>(4703088.33)</f>
        <v>4703088.33</v>
      </c>
      <c r="U5" s="334">
        <f>(4847250.92)</f>
        <v>4847250.92</v>
      </c>
      <c r="V5" s="333">
        <v>4499738.29</v>
      </c>
      <c r="W5" s="333">
        <v>4497024</v>
      </c>
      <c r="X5" s="335"/>
      <c r="Y5" s="194"/>
      <c r="AB5" s="185" t="s">
        <v>108</v>
      </c>
      <c r="AC5" s="334">
        <f>(3094448.44+1637622.08)</f>
        <v>4732070.5199999996</v>
      </c>
      <c r="AD5" s="334">
        <f>(4757807.77)</f>
        <v>4757807.7699999996</v>
      </c>
      <c r="AE5" s="334">
        <f>(4631252.91)</f>
        <v>4631252.91</v>
      </c>
    </row>
    <row r="6" spans="1:37" ht="13.25" customHeight="1">
      <c r="A6" s="367"/>
      <c r="B6" s="367"/>
      <c r="C6" s="367"/>
      <c r="D6" s="367"/>
      <c r="E6" s="367"/>
      <c r="O6" s="185" t="s">
        <v>129</v>
      </c>
      <c r="P6" s="333">
        <f t="shared" si="0"/>
        <v>1605546.0332740799</v>
      </c>
      <c r="Q6" s="334">
        <f>(1192806.54-4387.25+568253.91)</f>
        <v>1756673.2000000002</v>
      </c>
      <c r="R6" s="334">
        <f>(1719682.52+-5855.47)</f>
        <v>1713827.05</v>
      </c>
      <c r="S6" s="334">
        <f>(1728865.87-5751.52)</f>
        <v>1723114.35</v>
      </c>
      <c r="T6" s="334">
        <f>(1746904.51)</f>
        <v>1746904.51</v>
      </c>
      <c r="U6" s="334">
        <f>(1783085.38)</f>
        <v>1783085.38</v>
      </c>
      <c r="V6" s="333">
        <v>1720733.66</v>
      </c>
      <c r="W6" s="333">
        <v>1719597</v>
      </c>
      <c r="X6" s="335"/>
      <c r="Y6" s="194"/>
      <c r="AB6" s="185" t="s">
        <v>129</v>
      </c>
      <c r="AC6" s="334">
        <f>(1192806.54+568253.91)</f>
        <v>1761060.4500000002</v>
      </c>
      <c r="AD6" s="334">
        <f>(1719682.52)</f>
        <v>1719682.52</v>
      </c>
      <c r="AE6" s="334">
        <f>(1728865.87)</f>
        <v>1728865.87</v>
      </c>
    </row>
    <row r="7" spans="1:37" ht="13.25" customHeight="1">
      <c r="A7" s="368" t="s">
        <v>290</v>
      </c>
      <c r="B7" s="368"/>
      <c r="C7" s="368"/>
      <c r="D7" s="368"/>
      <c r="E7" s="368"/>
      <c r="O7" s="185" t="s">
        <v>250</v>
      </c>
      <c r="P7" s="333">
        <f t="shared" si="0"/>
        <v>1431161.2836823999</v>
      </c>
      <c r="Q7" s="334">
        <f>(848309.52-236.75+495136.85)</f>
        <v>1343209.62</v>
      </c>
      <c r="R7" s="334">
        <f>(1352134.08-428.2)</f>
        <v>1351705.8800000001</v>
      </c>
      <c r="S7" s="334">
        <f>(1312690.19-379.79)</f>
        <v>1312310.3999999999</v>
      </c>
      <c r="T7" s="334">
        <f>(1306488.64)</f>
        <v>1306488.6399999999</v>
      </c>
      <c r="U7" s="334">
        <f>(1268340.22)</f>
        <v>1268340.22</v>
      </c>
      <c r="V7" s="333">
        <v>1259359.27</v>
      </c>
      <c r="W7" s="333">
        <v>1248004</v>
      </c>
      <c r="X7" s="335"/>
      <c r="Y7" s="194"/>
      <c r="AB7" s="185" t="s">
        <v>250</v>
      </c>
      <c r="AC7" s="334">
        <f>(848309.52+495136.85)</f>
        <v>1343446.37</v>
      </c>
      <c r="AD7" s="334">
        <f>(1352134.08)</f>
        <v>1352134.08</v>
      </c>
      <c r="AE7" s="334">
        <f>(1312690.19)</f>
        <v>1312690.19</v>
      </c>
    </row>
    <row r="8" spans="1:37" ht="13.25" customHeight="1">
      <c r="A8" s="367"/>
      <c r="B8" s="367"/>
      <c r="C8" s="367"/>
      <c r="D8" s="367"/>
      <c r="E8" s="367"/>
      <c r="O8" s="185" t="s">
        <v>176</v>
      </c>
      <c r="P8" s="333">
        <f t="shared" si="0"/>
        <v>6738.6785778399999</v>
      </c>
      <c r="Q8" s="334">
        <f>(5379.79-135.01+1260.03)</f>
        <v>6504.8099999999995</v>
      </c>
      <c r="R8" s="334">
        <f>(7488.45-163.81)</f>
        <v>7324.6399999999994</v>
      </c>
      <c r="S8" s="334">
        <f>(6066.41-161.83)</f>
        <v>5904.58</v>
      </c>
      <c r="T8" s="334">
        <f>(6780.59)</f>
        <v>6780.59</v>
      </c>
      <c r="U8" s="334">
        <f>(6089.83)</f>
        <v>6089.83</v>
      </c>
      <c r="V8" s="333">
        <v>6156.9</v>
      </c>
      <c r="W8" s="333">
        <v>6168</v>
      </c>
      <c r="X8" s="335"/>
      <c r="Y8" s="194"/>
      <c r="AB8" s="185" t="s">
        <v>176</v>
      </c>
      <c r="AC8" s="334">
        <f>(5379.79+1260.03)</f>
        <v>6639.82</v>
      </c>
      <c r="AD8" s="334">
        <f>(7488.45)</f>
        <v>7488.45</v>
      </c>
      <c r="AE8" s="334">
        <f>(6066.41)</f>
        <v>6066.41</v>
      </c>
    </row>
    <row r="9" spans="1:37" ht="13.25" customHeight="1">
      <c r="O9" s="186" t="s">
        <v>175</v>
      </c>
      <c r="P9" s="333">
        <f t="shared" si="0"/>
        <v>256330.87506176002</v>
      </c>
      <c r="Q9" s="334">
        <f>(176596.98-4382.25+97553.97)</f>
        <v>269768.7</v>
      </c>
      <c r="R9" s="334">
        <f>(278206.11-4370)</f>
        <v>273836.11</v>
      </c>
      <c r="S9" s="334">
        <f>(267094.72-7535.5)</f>
        <v>259559.21999999997</v>
      </c>
      <c r="T9" s="334">
        <f>(204295.08)</f>
        <v>204295.08</v>
      </c>
      <c r="U9" s="334">
        <f>(217360.31)</f>
        <v>217360.31</v>
      </c>
      <c r="V9" s="333">
        <v>236895.31</v>
      </c>
      <c r="W9" s="333">
        <v>236893</v>
      </c>
      <c r="X9" s="335"/>
      <c r="Y9" s="194"/>
      <c r="AB9" s="186" t="s">
        <v>175</v>
      </c>
      <c r="AC9" s="334">
        <f>(176596.98+97553.97)</f>
        <v>274150.95</v>
      </c>
      <c r="AD9" s="334">
        <f>(278206.11)</f>
        <v>278206.11</v>
      </c>
      <c r="AE9" s="334">
        <f>(267094.72)</f>
        <v>267094.71999999997</v>
      </c>
    </row>
    <row r="10" spans="1:37" ht="13.25" customHeight="1">
      <c r="O10" s="185" t="s">
        <v>177</v>
      </c>
      <c r="P10" s="333">
        <f t="shared" si="0"/>
        <v>18405.58316912</v>
      </c>
      <c r="Q10" s="334">
        <f>(7337.92-102+13962.43)</f>
        <v>21198.35</v>
      </c>
      <c r="R10" s="334">
        <f>(18809.41-158.31)</f>
        <v>18651.099999999999</v>
      </c>
      <c r="S10" s="334">
        <f>(18377.99-148.79)</f>
        <v>18229.2</v>
      </c>
      <c r="T10" s="334">
        <f>(18533.48)</f>
        <v>18533.48</v>
      </c>
      <c r="U10" s="334">
        <f>(18878.91)</f>
        <v>18878.91</v>
      </c>
      <c r="V10" s="333">
        <v>9001.3700000000008</v>
      </c>
      <c r="W10" s="333">
        <v>9001</v>
      </c>
      <c r="X10" s="335"/>
      <c r="Y10" s="194"/>
      <c r="AB10" s="185" t="s">
        <v>177</v>
      </c>
      <c r="AC10" s="334">
        <f>(7337.92+13962.43)</f>
        <v>21300.35</v>
      </c>
      <c r="AD10" s="334">
        <f>(18809.41)</f>
        <v>18809.41</v>
      </c>
      <c r="AE10" s="334">
        <f>(18377.99)</f>
        <v>18377.990000000002</v>
      </c>
    </row>
    <row r="11" spans="1:37" ht="13.25" customHeight="1">
      <c r="O11" s="377" t="s">
        <v>288</v>
      </c>
      <c r="P11" s="378" t="s">
        <v>341</v>
      </c>
      <c r="Q11" s="335"/>
      <c r="R11" s="335"/>
      <c r="S11" s="335"/>
      <c r="T11" s="335"/>
      <c r="U11" s="335"/>
      <c r="V11" s="335"/>
      <c r="W11" s="335"/>
      <c r="X11" s="335"/>
      <c r="AB11" s="361"/>
      <c r="AC11" s="362"/>
      <c r="AD11" s="362"/>
      <c r="AE11" s="362"/>
    </row>
    <row r="12" spans="1:37" ht="13.25" customHeight="1">
      <c r="O12" s="330" t="s">
        <v>10</v>
      </c>
      <c r="P12" s="339">
        <f>SUM(P5:P10)</f>
        <v>7678340.9512</v>
      </c>
      <c r="Q12" s="339">
        <f t="shared" ref="Q12:X12" si="1">SUM(Q5:Q10)</f>
        <v>8107084.4499999993</v>
      </c>
      <c r="R12" s="339">
        <f t="shared" si="1"/>
        <v>8092294.0799999991</v>
      </c>
      <c r="S12" s="339">
        <f t="shared" si="1"/>
        <v>7919164.1000000015</v>
      </c>
      <c r="T12" s="339">
        <f t="shared" si="1"/>
        <v>7986090.6299999999</v>
      </c>
      <c r="U12" s="339">
        <f t="shared" si="1"/>
        <v>8141005.5699999994</v>
      </c>
      <c r="V12" s="339">
        <f t="shared" si="1"/>
        <v>7731884.8000000007</v>
      </c>
      <c r="W12" s="339">
        <f t="shared" si="1"/>
        <v>7716687</v>
      </c>
      <c r="X12" s="339">
        <f t="shared" si="1"/>
        <v>0</v>
      </c>
      <c r="AB12" s="330" t="s">
        <v>336</v>
      </c>
      <c r="AC12" s="339">
        <f t="shared" ref="AC12:AE12" si="2">SUM(AC5:AC10)</f>
        <v>8138668.46</v>
      </c>
      <c r="AD12" s="339">
        <f t="shared" si="2"/>
        <v>8134128.3399999999</v>
      </c>
      <c r="AE12" s="339">
        <f t="shared" si="2"/>
        <v>7964348.0900000008</v>
      </c>
    </row>
    <row r="13" spans="1:37" ht="13.25" customHeight="1">
      <c r="O13" s="336" t="s">
        <v>178</v>
      </c>
      <c r="P13" s="363"/>
      <c r="Q13" s="364"/>
      <c r="R13" s="364"/>
      <c r="S13" s="364"/>
      <c r="T13" s="364"/>
      <c r="U13" s="364"/>
      <c r="V13" s="364"/>
      <c r="W13" s="364"/>
      <c r="X13" s="365"/>
      <c r="AB13" s="252" t="s">
        <v>337</v>
      </c>
      <c r="AC13" s="334">
        <f>-(22340.75+4387.25+236.75+135.01+4382.25+102)</f>
        <v>-31584.01</v>
      </c>
      <c r="AD13" s="334">
        <f>-(30858.47+5855.47+428.2+163.81+4370+158.31)</f>
        <v>-41834.259999999995</v>
      </c>
      <c r="AE13" s="334">
        <f>-(31206.56+5751.52+379.79+161.83+7535.5+148.79)</f>
        <v>-45183.990000000005</v>
      </c>
    </row>
    <row r="14" spans="1:37" ht="13.25" customHeight="1">
      <c r="O14" s="185" t="s">
        <v>179</v>
      </c>
      <c r="P14" s="333">
        <f>+R60</f>
        <v>87207.872435199999</v>
      </c>
      <c r="Q14" s="333">
        <v>78886.5</v>
      </c>
      <c r="R14" s="333">
        <v>73249</v>
      </c>
      <c r="S14" s="333">
        <v>78335</v>
      </c>
      <c r="T14" s="333">
        <v>91164</v>
      </c>
      <c r="U14" s="333">
        <v>77169</v>
      </c>
      <c r="V14" s="333">
        <v>78500</v>
      </c>
      <c r="W14" s="333">
        <v>78500</v>
      </c>
      <c r="X14" s="333">
        <f>+W14</f>
        <v>78500</v>
      </c>
      <c r="AB14" s="330" t="s">
        <v>335</v>
      </c>
      <c r="AC14" s="339">
        <f>+AC12+AC13</f>
        <v>8107084.4500000002</v>
      </c>
      <c r="AD14" s="339">
        <f t="shared" ref="AD14:AE14" si="3">+AD12+AD13</f>
        <v>8092294.0800000001</v>
      </c>
      <c r="AE14" s="339">
        <f t="shared" si="3"/>
        <v>7919164.1000000006</v>
      </c>
    </row>
    <row r="15" spans="1:37" ht="13.25" customHeight="1">
      <c r="O15" s="185" t="s">
        <v>180</v>
      </c>
      <c r="P15" s="333">
        <f t="shared" ref="P15:P17" si="4">+R61</f>
        <v>93690.15452312</v>
      </c>
      <c r="Q15" s="333">
        <v>100256.5</v>
      </c>
      <c r="R15" s="333">
        <v>112699</v>
      </c>
      <c r="S15" s="333">
        <v>137082</v>
      </c>
      <c r="T15" s="333">
        <v>84072</v>
      </c>
      <c r="U15" s="333">
        <v>93225</v>
      </c>
      <c r="V15" s="333">
        <v>83700</v>
      </c>
      <c r="W15" s="333">
        <v>83700</v>
      </c>
      <c r="X15" s="333">
        <f t="shared" ref="X15:X17" si="5">+W15</f>
        <v>83700</v>
      </c>
    </row>
    <row r="16" spans="1:37" ht="13.25" customHeight="1">
      <c r="O16" s="185" t="s">
        <v>181</v>
      </c>
      <c r="P16" s="333">
        <f t="shared" si="4"/>
        <v>189057.25660352001</v>
      </c>
      <c r="Q16" s="333">
        <v>313141</v>
      </c>
      <c r="R16" s="333">
        <v>230217.5</v>
      </c>
      <c r="S16" s="333">
        <v>281998.5</v>
      </c>
      <c r="T16" s="333">
        <v>268885</v>
      </c>
      <c r="U16" s="333">
        <v>277167</v>
      </c>
      <c r="V16" s="333">
        <v>298835</v>
      </c>
      <c r="W16" s="333">
        <v>452835</v>
      </c>
      <c r="X16" s="333">
        <f t="shared" si="5"/>
        <v>452835</v>
      </c>
    </row>
    <row r="17" spans="1:25" ht="13.25" customHeight="1">
      <c r="O17" s="185" t="s">
        <v>182</v>
      </c>
      <c r="P17" s="333">
        <f t="shared" si="4"/>
        <v>18694.727833199999</v>
      </c>
      <c r="Q17" s="333">
        <v>127554</v>
      </c>
      <c r="R17" s="333">
        <v>279084.5</v>
      </c>
      <c r="S17" s="333">
        <v>191159.5</v>
      </c>
      <c r="T17" s="333">
        <v>141471</v>
      </c>
      <c r="U17" s="333">
        <v>186010</v>
      </c>
      <c r="V17" s="333">
        <v>61783</v>
      </c>
      <c r="W17" s="333">
        <v>80053</v>
      </c>
      <c r="X17" s="333">
        <f t="shared" si="5"/>
        <v>80053</v>
      </c>
    </row>
    <row r="18" spans="1:25" ht="13.25" customHeight="1">
      <c r="O18" s="187" t="s">
        <v>10</v>
      </c>
      <c r="P18" s="339">
        <f t="shared" ref="P18:X18" si="6">SUM(P14:P17)</f>
        <v>388650.01139504003</v>
      </c>
      <c r="Q18" s="339">
        <f t="shared" si="6"/>
        <v>619838</v>
      </c>
      <c r="R18" s="339">
        <f t="shared" si="6"/>
        <v>695250</v>
      </c>
      <c r="S18" s="339">
        <f t="shared" si="6"/>
        <v>688575</v>
      </c>
      <c r="T18" s="339">
        <f t="shared" si="6"/>
        <v>585592</v>
      </c>
      <c r="U18" s="339">
        <f t="shared" si="6"/>
        <v>633571</v>
      </c>
      <c r="V18" s="339">
        <f t="shared" si="6"/>
        <v>522818</v>
      </c>
      <c r="W18" s="339">
        <f t="shared" si="6"/>
        <v>695088</v>
      </c>
      <c r="X18" s="339">
        <f t="shared" si="6"/>
        <v>695088</v>
      </c>
    </row>
    <row r="19" spans="1:25" ht="13.25" customHeight="1">
      <c r="O19" s="187" t="s">
        <v>183</v>
      </c>
      <c r="P19" s="339">
        <f t="shared" ref="P19:X19" si="7">P12+P18</f>
        <v>8066990.96259504</v>
      </c>
      <c r="Q19" s="339">
        <f t="shared" si="7"/>
        <v>8726922.4499999993</v>
      </c>
      <c r="R19" s="339">
        <f t="shared" si="7"/>
        <v>8787544.0799999982</v>
      </c>
      <c r="S19" s="339">
        <f t="shared" si="7"/>
        <v>8607739.1000000015</v>
      </c>
      <c r="T19" s="339">
        <f t="shared" si="7"/>
        <v>8571682.629999999</v>
      </c>
      <c r="U19" s="339">
        <f t="shared" si="7"/>
        <v>8774576.5700000003</v>
      </c>
      <c r="V19" s="339">
        <f t="shared" si="7"/>
        <v>8254702.8000000007</v>
      </c>
      <c r="W19" s="339">
        <f t="shared" si="7"/>
        <v>8411775</v>
      </c>
      <c r="X19" s="339">
        <f t="shared" si="7"/>
        <v>695088</v>
      </c>
    </row>
    <row r="20" spans="1:25" ht="13">
      <c r="A20" s="406" t="s">
        <v>252</v>
      </c>
      <c r="B20" s="406"/>
      <c r="C20" s="406"/>
      <c r="D20" s="406"/>
      <c r="E20" s="406"/>
      <c r="F20" s="406"/>
      <c r="G20" s="406"/>
    </row>
    <row r="21" spans="1:25" ht="25">
      <c r="A21" s="422" t="s">
        <v>251</v>
      </c>
      <c r="B21" s="422"/>
      <c r="C21" s="265" t="s">
        <v>22</v>
      </c>
      <c r="D21" s="265" t="s">
        <v>23</v>
      </c>
    </row>
    <row r="22" spans="1:25">
      <c r="A22" s="423" t="str">
        <f>'Rate Class Energy Model'!H2</f>
        <v xml:space="preserve">Residential </v>
      </c>
      <c r="B22" s="423"/>
      <c r="C22" s="271">
        <f>'Stats Sum'!E4</f>
        <v>0.96795684816018068</v>
      </c>
      <c r="D22" s="271">
        <f>'Stats Sum'!E5</f>
        <v>0.96655144676369742</v>
      </c>
      <c r="P22" s="184" t="s">
        <v>292</v>
      </c>
    </row>
    <row r="23" spans="1:25">
      <c r="A23" s="423" t="str">
        <f>Summary!A15</f>
        <v>General Service &lt; 50 kW</v>
      </c>
      <c r="B23" s="423"/>
      <c r="C23" s="271">
        <f>'Stats Sum'!B16</f>
        <v>0.90112040484394151</v>
      </c>
      <c r="D23" s="271">
        <f>'Stats Sum'!B17</f>
        <v>0.89768111457764388</v>
      </c>
    </row>
    <row r="24" spans="1:25">
      <c r="A24" s="423" t="str">
        <f>Summary!A19</f>
        <v>General Service 50 to 4,999 kW</v>
      </c>
      <c r="B24" s="423"/>
      <c r="C24" s="271">
        <f>'Stats Sum'!E16</f>
        <v>0.55142555619878786</v>
      </c>
      <c r="D24" s="271">
        <f>'Stats Sum'!E17</f>
        <v>0.52760744413854654</v>
      </c>
    </row>
    <row r="26" spans="1:25" ht="13">
      <c r="A26" s="406" t="s">
        <v>253</v>
      </c>
      <c r="B26" s="406"/>
      <c r="C26" s="406"/>
      <c r="D26" s="406"/>
      <c r="E26" s="406"/>
      <c r="F26" s="406"/>
      <c r="G26" s="406"/>
      <c r="H26" s="188"/>
      <c r="I26" s="188"/>
      <c r="J26" s="188"/>
      <c r="K26" s="188"/>
      <c r="O26" s="391" t="s">
        <v>293</v>
      </c>
      <c r="P26" s="391"/>
      <c r="Q26" s="391"/>
      <c r="R26" s="391"/>
      <c r="S26" s="392"/>
      <c r="T26" s="391"/>
      <c r="U26" s="391"/>
      <c r="V26" s="391"/>
      <c r="W26" s="391"/>
      <c r="X26" s="391"/>
    </row>
    <row r="27" spans="1:25" s="194" customFormat="1" ht="65">
      <c r="A27" s="187" t="s">
        <v>184</v>
      </c>
      <c r="B27" s="262" t="s">
        <v>185</v>
      </c>
      <c r="C27" s="262" t="s">
        <v>186</v>
      </c>
      <c r="D27" s="262" t="s">
        <v>187</v>
      </c>
      <c r="E27" s="262" t="s">
        <v>186</v>
      </c>
      <c r="F27" s="262" t="s">
        <v>188</v>
      </c>
      <c r="G27" s="262" t="s">
        <v>189</v>
      </c>
      <c r="H27" s="189"/>
      <c r="I27" s="189"/>
      <c r="J27" s="189"/>
      <c r="K27" s="189"/>
      <c r="O27" s="340" t="s">
        <v>294</v>
      </c>
      <c r="P27" s="328" t="s">
        <v>295</v>
      </c>
      <c r="Q27" s="328" t="s">
        <v>296</v>
      </c>
      <c r="R27" s="328" t="s">
        <v>297</v>
      </c>
      <c r="S27" s="341"/>
      <c r="T27" s="328" t="s">
        <v>298</v>
      </c>
      <c r="U27" s="328" t="s">
        <v>299</v>
      </c>
      <c r="V27" s="328" t="s">
        <v>300</v>
      </c>
      <c r="W27" s="184"/>
    </row>
    <row r="28" spans="1:25" ht="13">
      <c r="A28" s="405" t="s">
        <v>190</v>
      </c>
      <c r="B28" s="405"/>
      <c r="C28" s="405"/>
      <c r="D28" s="405"/>
      <c r="E28" s="405"/>
      <c r="F28" s="405"/>
      <c r="G28" s="405"/>
      <c r="H28" s="188"/>
      <c r="I28" s="188"/>
      <c r="J28" s="188"/>
      <c r="K28" s="188"/>
      <c r="O28" s="342"/>
      <c r="P28" s="342"/>
      <c r="Q28" s="342"/>
      <c r="R28" s="342"/>
      <c r="S28"/>
      <c r="T28" s="343"/>
      <c r="U28" s="344">
        <v>5.7999999999999996E-3</v>
      </c>
      <c r="V28" s="344">
        <v>1.0800000000000001E-2</v>
      </c>
    </row>
    <row r="29" spans="1:25">
      <c r="A29" s="190">
        <v>2008</v>
      </c>
      <c r="B29" s="191">
        <f>Summary!B8/1000000</f>
        <v>308.39557441958812</v>
      </c>
      <c r="C29" s="252"/>
      <c r="D29" s="191">
        <f t="shared" ref="D29:D40" si="8">B29*F272</f>
        <v>303.09608197823525</v>
      </c>
      <c r="E29" s="252"/>
      <c r="F29" s="192">
        <f>Summary!B39</f>
        <v>15732.666666666666</v>
      </c>
      <c r="G29" s="277"/>
      <c r="N29" s="191">
        <f>Summary!N8/1000000</f>
        <v>0</v>
      </c>
      <c r="O29" s="185" t="s">
        <v>108</v>
      </c>
      <c r="P29" s="334">
        <v>3033978</v>
      </c>
      <c r="Q29" s="334">
        <f>+V29</f>
        <v>1326180.4974347998</v>
      </c>
      <c r="R29" s="334">
        <f>+P29+Q29</f>
        <v>4360158.4974347996</v>
      </c>
      <c r="S29" s="351"/>
      <c r="T29" s="334">
        <v>1304445</v>
      </c>
      <c r="U29" s="334">
        <f>+T29*(1+$U$28)</f>
        <v>1312010.781</v>
      </c>
      <c r="V29" s="334">
        <f>+U29*(1+$V$28)</f>
        <v>1326180.4974347998</v>
      </c>
      <c r="W29" s="194"/>
      <c r="X29" s="194"/>
      <c r="Y29" s="194"/>
    </row>
    <row r="30" spans="1:25" ht="13">
      <c r="A30" s="190">
        <v>2009</v>
      </c>
      <c r="B30" s="191">
        <f>Summary!C8/1000000</f>
        <v>298.9270284315586</v>
      </c>
      <c r="C30" s="276">
        <f>B30-B29</f>
        <v>-9.4685459880295184</v>
      </c>
      <c r="D30" s="191">
        <f t="shared" si="8"/>
        <v>297.01775263918017</v>
      </c>
      <c r="E30" s="276">
        <f>D30-D29</f>
        <v>-6.0783293390550739</v>
      </c>
      <c r="F30" s="192">
        <f>Summary!C39</f>
        <v>15921.916666666666</v>
      </c>
      <c r="G30" s="277">
        <f t="shared" ref="G30:G40" si="9">F30-F29</f>
        <v>189.25</v>
      </c>
      <c r="H30" s="188"/>
      <c r="I30" s="188"/>
      <c r="J30" s="188"/>
      <c r="K30" s="188"/>
      <c r="O30" s="185" t="s">
        <v>129</v>
      </c>
      <c r="P30" s="334">
        <v>1184727</v>
      </c>
      <c r="Q30" s="334">
        <f t="shared" ref="Q30:Q34" si="10">+V30</f>
        <v>420819.03327407996</v>
      </c>
      <c r="R30" s="334">
        <f t="shared" ref="R30:R34" si="11">+P30+Q30</f>
        <v>1605546.0332740799</v>
      </c>
      <c r="S30" s="351"/>
      <c r="T30" s="334">
        <v>413922</v>
      </c>
      <c r="U30" s="334">
        <f t="shared" ref="U30:U34" si="12">+T30*(1+$U$28)</f>
        <v>416322.7476</v>
      </c>
      <c r="V30" s="334">
        <f t="shared" ref="V30:V34" si="13">+U30*(1+$V$28)</f>
        <v>420819.03327407996</v>
      </c>
      <c r="W30" s="194"/>
      <c r="X30" s="194"/>
      <c r="Y30" s="194"/>
    </row>
    <row r="31" spans="1:25">
      <c r="A31" s="190">
        <v>2010</v>
      </c>
      <c r="B31" s="191">
        <f>Summary!D8/1000000</f>
        <v>290.63842917956168</v>
      </c>
      <c r="C31" s="276">
        <f t="shared" ref="C31:E40" si="14">B31-B30</f>
        <v>-8.2885992519969136</v>
      </c>
      <c r="D31" s="191">
        <f t="shared" si="8"/>
        <v>292.27607064468469</v>
      </c>
      <c r="E31" s="276">
        <f t="shared" si="14"/>
        <v>-4.7416819944954796</v>
      </c>
      <c r="F31" s="192">
        <f>Summary!D39</f>
        <v>16025.416666666666</v>
      </c>
      <c r="G31" s="277">
        <f t="shared" si="9"/>
        <v>103.5</v>
      </c>
      <c r="H31" s="193"/>
      <c r="I31" s="193"/>
      <c r="J31" s="193"/>
      <c r="K31" s="193"/>
      <c r="O31" s="185" t="s">
        <v>250</v>
      </c>
      <c r="P31" s="334">
        <v>871580</v>
      </c>
      <c r="Q31" s="334">
        <f t="shared" si="10"/>
        <v>559581.28368240001</v>
      </c>
      <c r="R31" s="334">
        <f t="shared" si="11"/>
        <v>1431161.2836823999</v>
      </c>
      <c r="S31" s="351"/>
      <c r="T31" s="334">
        <v>550410</v>
      </c>
      <c r="U31" s="334">
        <f t="shared" si="12"/>
        <v>553602.37800000003</v>
      </c>
      <c r="V31" s="334">
        <f t="shared" si="13"/>
        <v>559581.28368240001</v>
      </c>
      <c r="W31" s="194"/>
      <c r="X31" s="194"/>
      <c r="Y31" s="194"/>
    </row>
    <row r="32" spans="1:25">
      <c r="A32" s="190">
        <v>2011</v>
      </c>
      <c r="B32" s="191">
        <f>Summary!E8/1000000</f>
        <v>290.46465219830435</v>
      </c>
      <c r="C32" s="276">
        <f t="shared" si="14"/>
        <v>-0.17377698125733332</v>
      </c>
      <c r="D32" s="191">
        <f t="shared" si="8"/>
        <v>293.03612603570963</v>
      </c>
      <c r="E32" s="276">
        <f t="shared" si="14"/>
        <v>0.76005539102493458</v>
      </c>
      <c r="F32" s="192">
        <f>Summary!E39</f>
        <v>16158.749999999998</v>
      </c>
      <c r="G32" s="277">
        <f t="shared" si="9"/>
        <v>133.33333333333212</v>
      </c>
      <c r="L32" s="194"/>
      <c r="O32" s="185" t="s">
        <v>176</v>
      </c>
      <c r="P32" s="334">
        <v>5538</v>
      </c>
      <c r="Q32" s="334">
        <f t="shared" si="10"/>
        <v>1200.6785778399999</v>
      </c>
      <c r="R32" s="334">
        <f t="shared" si="11"/>
        <v>6738.6785778399999</v>
      </c>
      <c r="S32" s="351"/>
      <c r="T32" s="334">
        <v>1181</v>
      </c>
      <c r="U32" s="334">
        <f t="shared" si="12"/>
        <v>1187.8498</v>
      </c>
      <c r="V32" s="334">
        <f t="shared" si="13"/>
        <v>1200.6785778399999</v>
      </c>
      <c r="W32" s="194"/>
      <c r="X32" s="194"/>
      <c r="Y32" s="194"/>
    </row>
    <row r="33" spans="1:25">
      <c r="A33" s="190">
        <v>2012</v>
      </c>
      <c r="B33" s="191">
        <f>Summary!F8/1000000</f>
        <v>288.1069000275354</v>
      </c>
      <c r="C33" s="276">
        <f t="shared" si="14"/>
        <v>-2.3577521707689471</v>
      </c>
      <c r="D33" s="191">
        <f t="shared" si="8"/>
        <v>291.74849924577558</v>
      </c>
      <c r="E33" s="276">
        <f t="shared" si="14"/>
        <v>-1.2876267899340519</v>
      </c>
      <c r="F33" s="192">
        <f>Summary!F39</f>
        <v>16105.416666666668</v>
      </c>
      <c r="G33" s="277">
        <f t="shared" si="9"/>
        <v>-53.333333333330302</v>
      </c>
      <c r="H33" s="193"/>
      <c r="I33" s="193"/>
      <c r="J33" s="193"/>
      <c r="K33" s="193"/>
      <c r="O33" s="186" t="s">
        <v>175</v>
      </c>
      <c r="P33" s="334">
        <v>207954</v>
      </c>
      <c r="Q33" s="334">
        <f t="shared" si="10"/>
        <v>48376.875061760002</v>
      </c>
      <c r="R33" s="334">
        <f t="shared" si="11"/>
        <v>256330.87506176002</v>
      </c>
      <c r="S33" s="351"/>
      <c r="T33" s="334">
        <v>47584</v>
      </c>
      <c r="U33" s="334">
        <f t="shared" si="12"/>
        <v>47859.987200000003</v>
      </c>
      <c r="V33" s="334">
        <f t="shared" si="13"/>
        <v>48376.875061760002</v>
      </c>
      <c r="W33" s="194"/>
      <c r="X33" s="194"/>
      <c r="Y33" s="194"/>
    </row>
    <row r="34" spans="1:25">
      <c r="A34" s="190">
        <v>2013</v>
      </c>
      <c r="B34" s="191">
        <f>Summary!G8/1000000</f>
        <v>293.26362105207426</v>
      </c>
      <c r="C34" s="276">
        <f t="shared" si="14"/>
        <v>5.1567210245388537</v>
      </c>
      <c r="D34" s="191">
        <f t="shared" si="8"/>
        <v>294.01063633169366</v>
      </c>
      <c r="E34" s="276">
        <f t="shared" si="14"/>
        <v>2.2621370859180843</v>
      </c>
      <c r="F34" s="192">
        <f>Summary!G39</f>
        <v>16094.333333333334</v>
      </c>
      <c r="G34" s="277">
        <f t="shared" si="9"/>
        <v>-11.08333333333394</v>
      </c>
      <c r="H34" s="193"/>
      <c r="I34" s="193"/>
      <c r="J34" s="193"/>
      <c r="K34" s="193"/>
      <c r="L34" s="194"/>
      <c r="O34" s="185" t="s">
        <v>177</v>
      </c>
      <c r="P34" s="334">
        <v>5740</v>
      </c>
      <c r="Q34" s="334">
        <f t="shared" si="10"/>
        <v>12665.58316912</v>
      </c>
      <c r="R34" s="334">
        <f t="shared" si="11"/>
        <v>18405.58316912</v>
      </c>
      <c r="S34" s="351"/>
      <c r="T34" s="334">
        <v>12458</v>
      </c>
      <c r="U34" s="334">
        <f t="shared" si="12"/>
        <v>12530.2564</v>
      </c>
      <c r="V34" s="334">
        <f t="shared" si="13"/>
        <v>12665.58316912</v>
      </c>
      <c r="W34" s="371"/>
      <c r="X34" s="194"/>
      <c r="Y34" s="194"/>
    </row>
    <row r="35" spans="1:25" ht="13">
      <c r="A35" s="190">
        <v>2014</v>
      </c>
      <c r="B35" s="191">
        <f>Summary!H8/1000000</f>
        <v>297.39839724340038</v>
      </c>
      <c r="C35" s="276">
        <f t="shared" si="14"/>
        <v>4.1347761913261252</v>
      </c>
      <c r="D35" s="191">
        <f t="shared" si="8"/>
        <v>293.70678227984899</v>
      </c>
      <c r="E35" s="276">
        <f t="shared" si="14"/>
        <v>-0.30385405184466663</v>
      </c>
      <c r="F35" s="192">
        <f>Summary!H39</f>
        <v>16197.166666666666</v>
      </c>
      <c r="G35" s="277">
        <f t="shared" si="9"/>
        <v>102.83333333333212</v>
      </c>
      <c r="H35" s="193"/>
      <c r="I35" s="193"/>
      <c r="J35" s="193"/>
      <c r="K35" s="193"/>
      <c r="O35" s="330" t="s">
        <v>10</v>
      </c>
      <c r="P35" s="356">
        <f>SUM(P29:P34)</f>
        <v>5309517</v>
      </c>
      <c r="Q35" s="356">
        <f>SUM(Q29:Q34)</f>
        <v>2368823.9511999995</v>
      </c>
      <c r="R35" s="356">
        <f>SUM(R29:R34)</f>
        <v>7678340.9512</v>
      </c>
      <c r="S35" s="372"/>
      <c r="T35" s="356">
        <f t="shared" ref="T35:V35" si="15">SUM(T29:T34)</f>
        <v>2330000</v>
      </c>
      <c r="U35" s="356">
        <f t="shared" si="15"/>
        <v>2343513.9999999995</v>
      </c>
      <c r="V35" s="356">
        <f t="shared" si="15"/>
        <v>2368823.9511999995</v>
      </c>
      <c r="W35" s="194"/>
      <c r="X35" s="194"/>
      <c r="Y35" s="194"/>
    </row>
    <row r="36" spans="1:25">
      <c r="A36" s="190">
        <v>2015</v>
      </c>
      <c r="B36" s="191">
        <f>Summary!I8/1000000</f>
        <v>288.75225473999996</v>
      </c>
      <c r="C36" s="276">
        <f t="shared" si="14"/>
        <v>-8.6461425034004264</v>
      </c>
      <c r="D36" s="191">
        <f t="shared" si="8"/>
        <v>286.96135147147947</v>
      </c>
      <c r="E36" s="276">
        <f t="shared" si="14"/>
        <v>-6.7454308083695196</v>
      </c>
      <c r="F36" s="192">
        <f>Summary!I39</f>
        <v>16180.583333333334</v>
      </c>
      <c r="G36" s="277">
        <f t="shared" si="9"/>
        <v>-16.583333333332121</v>
      </c>
      <c r="H36" s="193"/>
      <c r="I36" s="193"/>
      <c r="J36" s="193"/>
      <c r="K36" s="193"/>
      <c r="L36" s="194"/>
      <c r="O36" s="194" t="s">
        <v>301</v>
      </c>
      <c r="P36" s="345"/>
      <c r="Q36" s="345"/>
      <c r="R36" s="345"/>
      <c r="S36" s="345"/>
      <c r="T36" s="345"/>
      <c r="U36" s="345"/>
      <c r="V36" s="345"/>
    </row>
    <row r="37" spans="1:25">
      <c r="A37" s="190">
        <v>2016</v>
      </c>
      <c r="B37" s="191">
        <f>Summary!J8/1000000</f>
        <v>280.50507049164293</v>
      </c>
      <c r="C37" s="276">
        <f t="shared" si="14"/>
        <v>-8.2471842483570299</v>
      </c>
      <c r="D37" s="191">
        <f t="shared" si="8"/>
        <v>280.45225595271882</v>
      </c>
      <c r="E37" s="276">
        <f t="shared" si="14"/>
        <v>-6.5090955187606596</v>
      </c>
      <c r="F37" s="192">
        <f>Summary!J39</f>
        <v>16147.916666666666</v>
      </c>
      <c r="G37" s="277">
        <f t="shared" si="9"/>
        <v>-32.666666666667879</v>
      </c>
      <c r="J37"/>
      <c r="K37" s="193"/>
      <c r="O37" s="346" t="s">
        <v>302</v>
      </c>
      <c r="P37" s="347">
        <f>5097139+212377</f>
        <v>5309516</v>
      </c>
      <c r="Q37" s="347">
        <f t="shared" ref="Q37" si="16">+V37</f>
        <v>2368823.9512</v>
      </c>
      <c r="R37" s="347">
        <f t="shared" ref="R37" si="17">+P37+Q37</f>
        <v>7678339.9512</v>
      </c>
      <c r="S37" s="347"/>
      <c r="T37" s="347">
        <v>2330000</v>
      </c>
      <c r="U37" s="347">
        <f>+T37*(1+$U$28)</f>
        <v>2343514</v>
      </c>
      <c r="V37" s="348">
        <f>+U37*(1+$V$28)</f>
        <v>2368823.9512</v>
      </c>
    </row>
    <row r="38" spans="1:25" ht="12.75" customHeight="1">
      <c r="A38" s="190">
        <v>2017</v>
      </c>
      <c r="B38" s="191">
        <f>Summary!K8/1000000</f>
        <v>278.83324344205454</v>
      </c>
      <c r="C38" s="276">
        <f t="shared" si="14"/>
        <v>-1.6718270495883871</v>
      </c>
      <c r="D38" s="191">
        <f t="shared" si="8"/>
        <v>282.75345917311097</v>
      </c>
      <c r="E38" s="276">
        <f t="shared" si="14"/>
        <v>2.3012032203921535</v>
      </c>
      <c r="F38" s="192">
        <f>Summary!K39</f>
        <v>16395.916666666664</v>
      </c>
      <c r="G38" s="277">
        <f t="shared" si="9"/>
        <v>247.99999999999818</v>
      </c>
      <c r="H38" s="193"/>
      <c r="I38" s="193"/>
      <c r="J38" s="193"/>
      <c r="K38" s="193"/>
      <c r="L38" s="194"/>
      <c r="R38" s="349">
        <f>+R35-R37</f>
        <v>1</v>
      </c>
    </row>
    <row r="39" spans="1:25" ht="13">
      <c r="A39" s="190" t="s">
        <v>191</v>
      </c>
      <c r="B39" s="191">
        <f>Summary!L8/1000000</f>
        <v>281.82894800140457</v>
      </c>
      <c r="C39" s="276">
        <f t="shared" si="14"/>
        <v>2.9957045593500311</v>
      </c>
      <c r="D39" s="191">
        <f t="shared" si="8"/>
        <v>281.82894800140457</v>
      </c>
      <c r="E39" s="276">
        <f t="shared" si="14"/>
        <v>-0.92451117170639918</v>
      </c>
      <c r="F39" s="192">
        <f>Summary!L39</f>
        <v>16436</v>
      </c>
      <c r="G39" s="277">
        <f t="shared" si="9"/>
        <v>40.083333333335759</v>
      </c>
      <c r="H39" s="193"/>
      <c r="I39" s="195"/>
      <c r="J39" s="193"/>
      <c r="K39" s="193"/>
      <c r="L39" s="194"/>
      <c r="O39" s="369" t="s">
        <v>338</v>
      </c>
      <c r="P39" s="235"/>
      <c r="Q39" s="235"/>
      <c r="R39" s="235" t="s">
        <v>303</v>
      </c>
      <c r="S39" s="235"/>
      <c r="T39" s="235"/>
      <c r="U39" s="235"/>
      <c r="V39" s="235"/>
    </row>
    <row r="40" spans="1:25">
      <c r="A40" s="190" t="s">
        <v>192</v>
      </c>
      <c r="B40" s="191">
        <f>Summary!M8/1000000</f>
        <v>279.35583289782392</v>
      </c>
      <c r="C40" s="276">
        <f t="shared" si="14"/>
        <v>-2.4731151035806533</v>
      </c>
      <c r="D40" s="191">
        <f t="shared" si="8"/>
        <v>279.35583289782392</v>
      </c>
      <c r="E40" s="276">
        <f t="shared" si="14"/>
        <v>-2.4731151035806533</v>
      </c>
      <c r="F40" s="192">
        <f>Summary!M39</f>
        <v>16436</v>
      </c>
      <c r="G40" s="277">
        <f t="shared" si="9"/>
        <v>0</v>
      </c>
      <c r="H40" s="193"/>
      <c r="I40" s="195"/>
      <c r="J40" s="193"/>
      <c r="K40" s="193"/>
      <c r="L40" s="194"/>
      <c r="O40" s="370" t="s">
        <v>304</v>
      </c>
      <c r="Q40" s="370"/>
      <c r="R40" s="370"/>
      <c r="S40" s="370"/>
      <c r="T40" s="370"/>
      <c r="U40" s="370"/>
      <c r="V40" s="370"/>
    </row>
    <row r="41" spans="1:25">
      <c r="L41" s="194"/>
    </row>
    <row r="42" spans="1:25" ht="13">
      <c r="A42" s="196" t="s">
        <v>254</v>
      </c>
      <c r="B42" s="196"/>
      <c r="C42" s="196"/>
      <c r="D42" s="196"/>
      <c r="N42" s="392" t="s">
        <v>305</v>
      </c>
      <c r="O42" s="392"/>
      <c r="P42" s="392"/>
      <c r="Q42" s="392"/>
      <c r="R42" s="392"/>
      <c r="S42" s="392"/>
      <c r="T42" s="392"/>
      <c r="U42" s="392"/>
      <c r="V42" s="392"/>
    </row>
    <row r="43" spans="1:25" s="194" customFormat="1" ht="65">
      <c r="A43" s="272" t="s">
        <v>184</v>
      </c>
      <c r="B43" s="278" t="str">
        <f>Summary!A11</f>
        <v xml:space="preserve">Residential </v>
      </c>
      <c r="C43" s="278" t="str">
        <f>Summary!A15</f>
        <v>General Service &lt; 50 kW</v>
      </c>
      <c r="D43" s="278" t="str">
        <f>Summary!A19</f>
        <v>General Service 50 to 4,999 kW</v>
      </c>
      <c r="E43" s="278" t="str">
        <f>Summary!A24</f>
        <v>Sentinel Lights</v>
      </c>
      <c r="F43" s="278" t="str">
        <f>Summary!A29</f>
        <v>Street Lights</v>
      </c>
      <c r="G43" s="279" t="str">
        <f>Summary!A34</f>
        <v xml:space="preserve">Unmetered Scattered Loads </v>
      </c>
      <c r="H43" s="262" t="s">
        <v>10</v>
      </c>
      <c r="I43" s="275"/>
      <c r="N43" s="340" t="s">
        <v>306</v>
      </c>
      <c r="O43" s="340" t="s">
        <v>294</v>
      </c>
      <c r="P43" s="328" t="s">
        <v>295</v>
      </c>
      <c r="Q43" s="328" t="s">
        <v>296</v>
      </c>
      <c r="R43" s="328" t="s">
        <v>297</v>
      </c>
      <c r="S43" s="341"/>
      <c r="T43" s="328" t="s">
        <v>298</v>
      </c>
      <c r="U43" s="328" t="s">
        <v>299</v>
      </c>
      <c r="V43" s="328" t="s">
        <v>300</v>
      </c>
    </row>
    <row r="44" spans="1:25" ht="14.25" customHeight="1">
      <c r="A44" s="418" t="s">
        <v>193</v>
      </c>
      <c r="B44" s="419"/>
      <c r="C44" s="419"/>
      <c r="D44" s="419"/>
      <c r="E44" s="419"/>
      <c r="F44" s="419"/>
      <c r="G44" s="419"/>
      <c r="H44" s="420"/>
      <c r="I44" s="197"/>
      <c r="N44" s="342"/>
      <c r="O44" s="342"/>
      <c r="P44" s="342"/>
      <c r="Q44" s="342"/>
      <c r="R44" s="342"/>
      <c r="S44"/>
      <c r="T44" s="343"/>
      <c r="U44" s="344">
        <v>5.7999999999999996E-3</v>
      </c>
      <c r="V44" s="344">
        <v>1.0800000000000001E-2</v>
      </c>
    </row>
    <row r="45" spans="1:25" ht="14.25" customHeight="1">
      <c r="A45" s="198">
        <f t="shared" ref="A45:A46" si="18">A29</f>
        <v>2008</v>
      </c>
      <c r="B45" s="191">
        <f>'[13]Rate Class Energy Model'!H8/1000000</f>
        <v>80.889261000000005</v>
      </c>
      <c r="C45" s="191">
        <f>'[13]Rate Class Energy Model'!I8/1000000</f>
        <v>45.412233999999998</v>
      </c>
      <c r="D45" s="191">
        <f>'[13]Rate Class Energy Model'!J8/1000000</f>
        <v>90.745868000000002</v>
      </c>
      <c r="E45" s="280">
        <f>'[13]Rate Class Energy Model'!K8/1000000</f>
        <v>3.986E-2</v>
      </c>
      <c r="F45" s="191">
        <f>'[13]Rate Class Energy Model'!L8/1000000</f>
        <v>1.8722920000000001</v>
      </c>
      <c r="G45" s="191">
        <f>'[13]Rate Class Energy Model'!M8/1000000</f>
        <v>0.206728</v>
      </c>
      <c r="H45" s="191">
        <f t="shared" ref="H45:H46" si="19">SUM(B45:G45)</f>
        <v>219.16624300000001</v>
      </c>
      <c r="I45"/>
      <c r="N45" s="350">
        <v>4235</v>
      </c>
      <c r="O45" s="229" t="s">
        <v>307</v>
      </c>
      <c r="P45" s="348">
        <v>55000</v>
      </c>
      <c r="Q45" s="334">
        <f>+V45</f>
        <v>32207.872435199999</v>
      </c>
      <c r="R45" s="334">
        <f>+P45+Q45</f>
        <v>87207.872435199999</v>
      </c>
      <c r="S45" s="351"/>
      <c r="T45" s="334">
        <f>27880+3800</f>
        <v>31680</v>
      </c>
      <c r="U45" s="334">
        <f>+T45*(1+$U$28)</f>
        <v>31863.744000000002</v>
      </c>
      <c r="V45" s="334">
        <f>+U45*(1+$V$44)</f>
        <v>32207.872435199999</v>
      </c>
    </row>
    <row r="46" spans="1:25" ht="14.25" customHeight="1">
      <c r="A46" s="198">
        <f t="shared" si="18"/>
        <v>2009</v>
      </c>
      <c r="B46" s="191">
        <f>'[13]Rate Class Energy Model'!H9/1000000</f>
        <v>80.642283000000006</v>
      </c>
      <c r="C46" s="191">
        <f>'[13]Rate Class Energy Model'!I9/1000000</f>
        <v>43.415770000000002</v>
      </c>
      <c r="D46" s="191">
        <f>'[13]Rate Class Energy Model'!J9/1000000</f>
        <v>84.055244000000002</v>
      </c>
      <c r="E46" s="280">
        <f>'[13]Rate Class Energy Model'!K9/1000000</f>
        <v>4.0502000000000003E-2</v>
      </c>
      <c r="F46" s="191">
        <f>'[13]Rate Class Energy Model'!L9/1000000</f>
        <v>1.8700969999999999</v>
      </c>
      <c r="G46" s="191">
        <f>'[13]Rate Class Energy Model'!M9/1000000</f>
        <v>0.16642100000000001</v>
      </c>
      <c r="H46" s="191">
        <f t="shared" si="19"/>
        <v>210.19031699999999</v>
      </c>
      <c r="I46"/>
      <c r="N46" s="350">
        <v>4225</v>
      </c>
      <c r="O46" s="229" t="s">
        <v>180</v>
      </c>
      <c r="P46" s="334">
        <v>78000</v>
      </c>
      <c r="Q46" s="334">
        <f t="shared" ref="Q46:Q58" si="20">+V46</f>
        <v>15690.15452312</v>
      </c>
      <c r="R46" s="334">
        <f t="shared" ref="R46:R58" si="21">+P46+Q46</f>
        <v>93690.15452312</v>
      </c>
      <c r="S46" s="351"/>
      <c r="T46" s="334">
        <v>15433</v>
      </c>
      <c r="U46" s="334">
        <f t="shared" ref="U46:U58" si="22">+T46*(1+$U$28)</f>
        <v>15522.511400000001</v>
      </c>
      <c r="V46" s="334">
        <f t="shared" ref="V46:V58" si="23">+U46*(1+$V$44)</f>
        <v>15690.15452312</v>
      </c>
    </row>
    <row r="47" spans="1:25">
      <c r="A47" s="198">
        <f t="shared" ref="A47:A54" si="24">A31</f>
        <v>2010</v>
      </c>
      <c r="B47" s="191">
        <f>'[13]Rate Class Energy Model'!H10/1000000</f>
        <v>79.053121919999995</v>
      </c>
      <c r="C47" s="191">
        <f>'[13]Rate Class Energy Model'!I10/1000000</f>
        <v>42.988016000000002</v>
      </c>
      <c r="D47" s="191">
        <f>'[13]Rate Class Energy Model'!J10/1000000</f>
        <v>82.607939000000002</v>
      </c>
      <c r="E47" s="280">
        <f>'[13]Rate Class Energy Model'!K10/1000000</f>
        <v>4.0765119999999988E-2</v>
      </c>
      <c r="F47" s="191">
        <f>'[13]Rate Class Energy Model'!L10/1000000</f>
        <v>1.8700979499999999</v>
      </c>
      <c r="G47" s="191">
        <f>'[13]Rate Class Energy Model'!M10/1000000</f>
        <v>0.141736</v>
      </c>
      <c r="H47" s="191">
        <f t="shared" ref="H47:H54" si="25">SUM(B47:G47)</f>
        <v>206.70167599000001</v>
      </c>
      <c r="I47"/>
      <c r="J47" s="199"/>
      <c r="M47" s="197"/>
      <c r="N47" s="350">
        <v>4080</v>
      </c>
      <c r="O47" s="229" t="s">
        <v>308</v>
      </c>
      <c r="P47" s="334"/>
      <c r="Q47" s="334">
        <f t="shared" si="20"/>
        <v>0</v>
      </c>
      <c r="R47" s="334">
        <f t="shared" si="21"/>
        <v>0</v>
      </c>
      <c r="S47" s="351"/>
      <c r="T47" s="334"/>
      <c r="U47" s="334">
        <f t="shared" si="22"/>
        <v>0</v>
      </c>
      <c r="V47" s="334">
        <f t="shared" si="23"/>
        <v>0</v>
      </c>
    </row>
    <row r="48" spans="1:25">
      <c r="A48" s="198">
        <f t="shared" si="24"/>
        <v>2011</v>
      </c>
      <c r="B48" s="191">
        <f>'[13]Rate Class Energy Model'!H11/1000000</f>
        <v>77.644590609999995</v>
      </c>
      <c r="C48" s="191">
        <f>'[13]Rate Class Energy Model'!I11/1000000</f>
        <v>42.734764309999996</v>
      </c>
      <c r="D48" s="191">
        <f>'[13]Rate Class Energy Model'!J11/1000000</f>
        <v>83.596623950000009</v>
      </c>
      <c r="E48" s="280">
        <f>'[13]Rate Class Energy Model'!K11/1000000</f>
        <v>4.0667377999999997E-2</v>
      </c>
      <c r="F48" s="191">
        <f>'[13]Rate Class Energy Model'!L11/1000000</f>
        <v>1.87009223</v>
      </c>
      <c r="G48" s="191">
        <f>'[13]Rate Class Energy Model'!M11/1000000</f>
        <v>0.13190299999999999</v>
      </c>
      <c r="H48" s="191">
        <f t="shared" si="25"/>
        <v>206.01864147800001</v>
      </c>
      <c r="I48"/>
      <c r="J48" s="199"/>
      <c r="N48" s="350">
        <v>4082</v>
      </c>
      <c r="O48" s="229" t="s">
        <v>309</v>
      </c>
      <c r="P48" s="334"/>
      <c r="Q48" s="334">
        <f t="shared" si="20"/>
        <v>7156.2883229600002</v>
      </c>
      <c r="R48" s="334">
        <f t="shared" si="21"/>
        <v>7156.2883229600002</v>
      </c>
      <c r="S48" s="351"/>
      <c r="T48" s="334">
        <v>7039</v>
      </c>
      <c r="U48" s="334">
        <f t="shared" si="22"/>
        <v>7079.8262000000004</v>
      </c>
      <c r="V48" s="334">
        <f t="shared" si="23"/>
        <v>7156.2883229600002</v>
      </c>
    </row>
    <row r="49" spans="1:22">
      <c r="A49" s="198">
        <f t="shared" si="24"/>
        <v>2012</v>
      </c>
      <c r="B49" s="191">
        <f>'[13]Rate Class Energy Model'!H12/1000000</f>
        <v>76.69538322999999</v>
      </c>
      <c r="C49" s="191">
        <f>'[13]Rate Class Energy Model'!I12/1000000</f>
        <v>42.530712350000002</v>
      </c>
      <c r="D49" s="191">
        <f>'[13]Rate Class Energy Model'!J12/1000000</f>
        <v>85.769012790000005</v>
      </c>
      <c r="E49" s="280">
        <f>'[13]Rate Class Energy Model'!K12/1000000</f>
        <v>3.9720680000000001E-2</v>
      </c>
      <c r="F49" s="191">
        <f>'[13]Rate Class Energy Model'!L12/1000000</f>
        <v>1.6612600199999998</v>
      </c>
      <c r="G49" s="191">
        <f>'[13]Rate Class Energy Model'!M12/1000000</f>
        <v>0.12426</v>
      </c>
      <c r="H49" s="191">
        <f t="shared" si="25"/>
        <v>206.82034906999996</v>
      </c>
      <c r="I49"/>
      <c r="J49" s="199"/>
      <c r="N49" s="350">
        <v>4084</v>
      </c>
      <c r="O49" s="229" t="s">
        <v>310</v>
      </c>
      <c r="P49" s="334"/>
      <c r="Q49" s="334">
        <f t="shared" si="20"/>
        <v>145.38275751999998</v>
      </c>
      <c r="R49" s="334">
        <f t="shared" si="21"/>
        <v>145.38275751999998</v>
      </c>
      <c r="S49" s="351"/>
      <c r="T49" s="334">
        <v>143</v>
      </c>
      <c r="U49" s="334">
        <f t="shared" si="22"/>
        <v>143.82939999999999</v>
      </c>
      <c r="V49" s="334">
        <f t="shared" si="23"/>
        <v>145.38275751999998</v>
      </c>
    </row>
    <row r="50" spans="1:22">
      <c r="A50" s="198">
        <f t="shared" si="24"/>
        <v>2013</v>
      </c>
      <c r="B50" s="191">
        <f>'[13]Rate Class Energy Model'!H13/1000000</f>
        <v>80.685090820000013</v>
      </c>
      <c r="C50" s="191">
        <f>'[13]Rate Class Energy Model'!I13/1000000</f>
        <v>43.16333814</v>
      </c>
      <c r="D50" s="191">
        <f>'[13]Rate Class Energy Model'!J13/1000000</f>
        <v>84.112933400000003</v>
      </c>
      <c r="E50" s="280">
        <f>'[13]Rate Class Energy Model'!K13/1000000</f>
        <v>3.9693299999999994E-2</v>
      </c>
      <c r="F50" s="191">
        <f>'[13]Rate Class Energy Model'!L13/1000000</f>
        <v>1.5732098000000003</v>
      </c>
      <c r="G50" s="191">
        <f>'[13]Rate Class Energy Model'!M13/1000000</f>
        <v>0.12426</v>
      </c>
      <c r="H50" s="191">
        <f t="shared" si="25"/>
        <v>209.69852546000001</v>
      </c>
      <c r="I50"/>
      <c r="J50" s="199"/>
      <c r="N50" s="350">
        <v>4086</v>
      </c>
      <c r="O50" s="229" t="s">
        <v>311</v>
      </c>
      <c r="P50" s="334">
        <v>31020</v>
      </c>
      <c r="Q50" s="334">
        <f t="shared" si="20"/>
        <v>8747.3653545599991</v>
      </c>
      <c r="R50" s="334">
        <f t="shared" si="21"/>
        <v>39767.365354559995</v>
      </c>
      <c r="S50" s="351"/>
      <c r="T50" s="334">
        <v>8604</v>
      </c>
      <c r="U50" s="334">
        <f t="shared" si="22"/>
        <v>8653.9032000000007</v>
      </c>
      <c r="V50" s="334">
        <f t="shared" si="23"/>
        <v>8747.3653545599991</v>
      </c>
    </row>
    <row r="51" spans="1:22">
      <c r="A51" s="198">
        <f t="shared" si="24"/>
        <v>2014</v>
      </c>
      <c r="B51" s="191">
        <f>'[13]Rate Class Energy Model'!H14/1000000</f>
        <v>81.31416784999999</v>
      </c>
      <c r="C51" s="191">
        <f>'[13]Rate Class Energy Model'!I14/1000000</f>
        <v>43.372649669999994</v>
      </c>
      <c r="D51" s="191">
        <f>'[13]Rate Class Energy Model'!J14/1000000</f>
        <v>86.592246720000006</v>
      </c>
      <c r="E51" s="280">
        <f>'[13]Rate Class Energy Model'!K14/1000000</f>
        <v>3.9698100000000007E-2</v>
      </c>
      <c r="F51" s="191">
        <f>'[13]Rate Class Energy Model'!L14/1000000</f>
        <v>1.5413442300000002</v>
      </c>
      <c r="G51" s="191">
        <f>'[13]Rate Class Energy Model'!M14/1000000</f>
        <v>0.123236</v>
      </c>
      <c r="H51" s="191">
        <f t="shared" si="25"/>
        <v>212.98334256999996</v>
      </c>
      <c r="I51"/>
      <c r="J51" s="199"/>
      <c r="N51" s="350">
        <v>4210</v>
      </c>
      <c r="O51" s="229" t="s">
        <v>312</v>
      </c>
      <c r="P51" s="334">
        <v>105000</v>
      </c>
      <c r="Q51" s="334">
        <f t="shared" si="20"/>
        <v>36988.220168479995</v>
      </c>
      <c r="R51" s="334">
        <f t="shared" si="21"/>
        <v>141988.22016848001</v>
      </c>
      <c r="S51" s="351"/>
      <c r="T51" s="334">
        <f>52168-T48-T49-T50</f>
        <v>36382</v>
      </c>
      <c r="U51" s="334">
        <f t="shared" si="22"/>
        <v>36593.015599999999</v>
      </c>
      <c r="V51" s="334">
        <f t="shared" si="23"/>
        <v>36988.220168479995</v>
      </c>
    </row>
    <row r="52" spans="1:22">
      <c r="A52" s="198">
        <f t="shared" si="24"/>
        <v>2015</v>
      </c>
      <c r="B52" s="191">
        <f>'[13]Rate Class Energy Model'!H15/1000000</f>
        <v>77.590719209999989</v>
      </c>
      <c r="C52" s="191">
        <f>'[13]Rate Class Energy Model'!I15/1000000</f>
        <v>42.237975730000002</v>
      </c>
      <c r="D52" s="191">
        <f>'[13]Rate Class Energy Model'!J15/1000000</f>
        <v>86.837191189999999</v>
      </c>
      <c r="E52" s="280">
        <f>'[13]Rate Class Energy Model'!K15/1000000</f>
        <v>3.9318840000000001E-2</v>
      </c>
      <c r="F52" s="191">
        <f>'[13]Rate Class Energy Model'!L15/1000000</f>
        <v>1.4189682800000001</v>
      </c>
      <c r="G52" s="191">
        <f>'[13]Rate Class Energy Model'!M15/1000000</f>
        <v>0.11744400000000001</v>
      </c>
      <c r="H52" s="191">
        <f t="shared" si="25"/>
        <v>208.24161724999999</v>
      </c>
      <c r="I52"/>
      <c r="J52" s="199"/>
      <c r="N52" s="350">
        <v>4245</v>
      </c>
      <c r="O52" s="229" t="s">
        <v>313</v>
      </c>
      <c r="P52" s="334"/>
      <c r="Q52" s="334">
        <f t="shared" si="20"/>
        <v>0</v>
      </c>
      <c r="R52" s="334">
        <f t="shared" si="21"/>
        <v>0</v>
      </c>
      <c r="S52" s="351"/>
      <c r="T52" s="334"/>
      <c r="U52" s="334">
        <f t="shared" si="22"/>
        <v>0</v>
      </c>
      <c r="V52" s="334">
        <f t="shared" si="23"/>
        <v>0</v>
      </c>
    </row>
    <row r="53" spans="1:22">
      <c r="A53" s="198">
        <f t="shared" si="24"/>
        <v>2016</v>
      </c>
      <c r="B53" s="191">
        <f>'[13]Rate Class Energy Model'!H16/1000000</f>
        <v>75.735418159999995</v>
      </c>
      <c r="C53" s="191">
        <f>'[13]Rate Class Energy Model'!I16/1000000</f>
        <v>41.470835559999998</v>
      </c>
      <c r="D53" s="191">
        <f>'[13]Rate Class Energy Model'!J16/1000000</f>
        <v>85.261756117560282</v>
      </c>
      <c r="E53" s="280">
        <f>'[13]Rate Class Energy Model'!K16/1000000</f>
        <v>3.9385909999999996E-2</v>
      </c>
      <c r="F53" s="191">
        <f>'[13]Rate Class Energy Model'!L16/1000000</f>
        <v>0.81836592164293021</v>
      </c>
      <c r="G53" s="191">
        <f>'[13]Rate Class Energy Model'!M16/1000000</f>
        <v>0.109956</v>
      </c>
      <c r="H53" s="191">
        <f t="shared" si="25"/>
        <v>203.4357176692032</v>
      </c>
      <c r="I53"/>
      <c r="J53" s="199"/>
      <c r="N53" s="350">
        <v>4355</v>
      </c>
      <c r="O53" s="229" t="s">
        <v>314</v>
      </c>
      <c r="P53" s="334">
        <v>15000</v>
      </c>
      <c r="Q53" s="334">
        <f t="shared" si="20"/>
        <v>0</v>
      </c>
      <c r="R53" s="334">
        <f t="shared" si="21"/>
        <v>15000</v>
      </c>
      <c r="S53" s="351"/>
      <c r="T53" s="334"/>
      <c r="U53" s="334">
        <f t="shared" si="22"/>
        <v>0</v>
      </c>
      <c r="V53" s="334">
        <f t="shared" si="23"/>
        <v>0</v>
      </c>
    </row>
    <row r="54" spans="1:22">
      <c r="A54" s="198">
        <f t="shared" si="24"/>
        <v>2017</v>
      </c>
      <c r="B54" s="191">
        <f>'[14]Data Input'!$D$224/1000000</f>
        <v>74.763266999999985</v>
      </c>
      <c r="C54" s="191">
        <f>'[14]Data Input'!$H$224/1000000</f>
        <v>40.513997000000003</v>
      </c>
      <c r="D54" s="191">
        <f>'[14]Data Input'!$L$224/1000000</f>
        <v>86.744713498464122</v>
      </c>
      <c r="E54" s="280">
        <f>'[14]Data Input'!$V$224/1000000</f>
        <v>3.7099E-2</v>
      </c>
      <c r="F54" s="191">
        <f>'[14]Data Input'!$Q$224/1000000</f>
        <v>0.80569781224983705</v>
      </c>
      <c r="G54" s="191">
        <f>'[14]Data Input'!$AA$224/1000000</f>
        <v>0.109956</v>
      </c>
      <c r="H54" s="191">
        <f t="shared" si="25"/>
        <v>202.97473031071397</v>
      </c>
      <c r="I54"/>
      <c r="J54" s="197"/>
      <c r="N54" s="350">
        <v>4360</v>
      </c>
      <c r="O54" s="229" t="s">
        <v>315</v>
      </c>
      <c r="P54" s="334">
        <v>-57782</v>
      </c>
      <c r="Q54" s="334">
        <f t="shared" si="20"/>
        <v>0</v>
      </c>
      <c r="R54" s="334">
        <f t="shared" si="21"/>
        <v>-57782</v>
      </c>
      <c r="S54" s="351"/>
      <c r="T54" s="334"/>
      <c r="U54" s="334">
        <f t="shared" si="22"/>
        <v>0</v>
      </c>
      <c r="V54" s="334">
        <f t="shared" si="23"/>
        <v>0</v>
      </c>
    </row>
    <row r="55" spans="1:22" ht="14.25" customHeight="1">
      <c r="A55" s="418" t="s">
        <v>194</v>
      </c>
      <c r="B55" s="419"/>
      <c r="C55" s="419"/>
      <c r="D55" s="419"/>
      <c r="E55" s="419"/>
      <c r="F55" s="419"/>
      <c r="G55" s="419"/>
      <c r="H55" s="420"/>
      <c r="I55" s="197"/>
      <c r="N55" s="350">
        <v>4375</v>
      </c>
      <c r="O55" s="229" t="s">
        <v>316</v>
      </c>
      <c r="P55" s="334">
        <v>15000</v>
      </c>
      <c r="Q55" s="334">
        <f t="shared" si="20"/>
        <v>0</v>
      </c>
      <c r="R55" s="334">
        <f t="shared" si="21"/>
        <v>15000</v>
      </c>
      <c r="S55" s="351"/>
      <c r="T55" s="334"/>
      <c r="U55" s="334">
        <f t="shared" si="22"/>
        <v>0</v>
      </c>
      <c r="V55" s="334">
        <f t="shared" si="23"/>
        <v>0</v>
      </c>
    </row>
    <row r="56" spans="1:22" ht="14.25" customHeight="1">
      <c r="A56" s="198">
        <f t="shared" ref="A56:A57" si="26">A45</f>
        <v>2008</v>
      </c>
      <c r="B56" s="200">
        <f t="shared" ref="B56:B61" si="27">B45*F272</f>
        <v>79.499253935005981</v>
      </c>
      <c r="C56" s="200">
        <f t="shared" ref="C56:C61" si="28">C45*F272</f>
        <v>44.631866800240786</v>
      </c>
      <c r="D56" s="200">
        <f t="shared" ref="D56:D61" si="29">D45*F272</f>
        <v>89.186484268715631</v>
      </c>
      <c r="E56" s="284">
        <f t="shared" ref="E56:E61" si="30">E45*F272</f>
        <v>3.9175042801408932E-2</v>
      </c>
      <c r="F56" s="200">
        <f t="shared" ref="F56:F61" si="31">F45*F272</f>
        <v>1.8401183953019451</v>
      </c>
      <c r="G56" s="200">
        <f t="shared" ref="G56:G61" si="32">G45*F272</f>
        <v>0.20317557070370459</v>
      </c>
      <c r="H56" s="191">
        <f t="shared" ref="H56:H57" si="33">SUM(B56:G56)</f>
        <v>215.40007401276947</v>
      </c>
      <c r="I56" s="197"/>
      <c r="N56" s="350">
        <v>4380</v>
      </c>
      <c r="O56" s="229" t="s">
        <v>317</v>
      </c>
      <c r="P56" s="334">
        <v>-8000</v>
      </c>
      <c r="Q56" s="334">
        <f t="shared" si="20"/>
        <v>0</v>
      </c>
      <c r="R56" s="334">
        <f t="shared" si="21"/>
        <v>-8000</v>
      </c>
      <c r="S56" s="351"/>
      <c r="T56" s="334"/>
      <c r="U56" s="334">
        <f t="shared" si="22"/>
        <v>0</v>
      </c>
      <c r="V56" s="334">
        <f t="shared" si="23"/>
        <v>0</v>
      </c>
    </row>
    <row r="57" spans="1:22" ht="14.25" customHeight="1">
      <c r="A57" s="198">
        <f t="shared" si="26"/>
        <v>2009</v>
      </c>
      <c r="B57" s="200">
        <f t="shared" si="27"/>
        <v>80.127212952363678</v>
      </c>
      <c r="C57" s="200">
        <f t="shared" si="28"/>
        <v>43.138469285162003</v>
      </c>
      <c r="D57" s="200">
        <f t="shared" si="29"/>
        <v>83.518375040930934</v>
      </c>
      <c r="E57" s="284">
        <f t="shared" si="30"/>
        <v>4.0243309815480216E-2</v>
      </c>
      <c r="F57" s="200">
        <f t="shared" si="31"/>
        <v>1.8581525099007481</v>
      </c>
      <c r="G57" s="200">
        <f t="shared" si="32"/>
        <v>0.16535805300484008</v>
      </c>
      <c r="H57" s="191">
        <f t="shared" si="33"/>
        <v>208.84781115117767</v>
      </c>
      <c r="I57" s="197"/>
      <c r="N57" s="350">
        <v>4390</v>
      </c>
      <c r="O57" s="229" t="s">
        <v>318</v>
      </c>
      <c r="P57" s="334">
        <v>48880</v>
      </c>
      <c r="Q57" s="334">
        <f t="shared" si="20"/>
        <v>0</v>
      </c>
      <c r="R57" s="334">
        <f t="shared" si="21"/>
        <v>48880</v>
      </c>
      <c r="S57" s="351"/>
      <c r="T57" s="334"/>
      <c r="U57" s="334">
        <f t="shared" si="22"/>
        <v>0</v>
      </c>
      <c r="V57" s="334">
        <f t="shared" si="23"/>
        <v>0</v>
      </c>
    </row>
    <row r="58" spans="1:22">
      <c r="A58" s="198">
        <f>A47</f>
        <v>2010</v>
      </c>
      <c r="B58" s="200">
        <f t="shared" si="27"/>
        <v>79.498557407554301</v>
      </c>
      <c r="C58" s="200">
        <f t="shared" si="28"/>
        <v>43.230237779493166</v>
      </c>
      <c r="D58" s="200">
        <f t="shared" si="29"/>
        <v>83.073404584288497</v>
      </c>
      <c r="E58" s="284">
        <f t="shared" si="30"/>
        <v>4.0994816571892315E-2</v>
      </c>
      <c r="F58" s="200">
        <f t="shared" si="31"/>
        <v>1.8806352693607147</v>
      </c>
      <c r="G58" s="200">
        <f t="shared" si="32"/>
        <v>0.14253463062622485</v>
      </c>
      <c r="H58" s="191">
        <f t="shared" ref="H58:H66" si="34">SUM(B58:G58)</f>
        <v>207.86636448789477</v>
      </c>
      <c r="I58" s="201"/>
      <c r="N58" s="350">
        <v>4405</v>
      </c>
      <c r="O58" s="229" t="s">
        <v>319</v>
      </c>
      <c r="P58" s="334"/>
      <c r="Q58" s="334">
        <f t="shared" si="20"/>
        <v>5596.7278331999996</v>
      </c>
      <c r="R58" s="334">
        <f t="shared" si="21"/>
        <v>5596.7278331999996</v>
      </c>
      <c r="T58" s="334">
        <v>5505</v>
      </c>
      <c r="U58" s="334">
        <f t="shared" si="22"/>
        <v>5536.9290000000001</v>
      </c>
      <c r="V58" s="334">
        <f t="shared" si="23"/>
        <v>5596.7278331999996</v>
      </c>
    </row>
    <row r="59" spans="1:22">
      <c r="A59" s="198">
        <f>A48</f>
        <v>2011</v>
      </c>
      <c r="B59" s="200">
        <f t="shared" si="27"/>
        <v>78.331975570127071</v>
      </c>
      <c r="C59" s="200">
        <f t="shared" si="28"/>
        <v>43.113093747124829</v>
      </c>
      <c r="D59" s="200">
        <f t="shared" si="29"/>
        <v>84.336702061935199</v>
      </c>
      <c r="E59" s="284">
        <f t="shared" si="30"/>
        <v>4.1027404935365185E-2</v>
      </c>
      <c r="F59" s="200">
        <f t="shared" si="31"/>
        <v>1.88664809387736</v>
      </c>
      <c r="G59" s="200">
        <f t="shared" si="32"/>
        <v>0.13307073284118473</v>
      </c>
      <c r="H59" s="191">
        <f t="shared" si="34"/>
        <v>207.84251761084101</v>
      </c>
      <c r="I59" s="201"/>
      <c r="N59" s="352"/>
      <c r="O59" s="352"/>
      <c r="P59" s="352"/>
      <c r="Q59" s="352"/>
      <c r="R59" s="352"/>
      <c r="S59" s="352"/>
      <c r="T59" s="352"/>
      <c r="U59" s="352"/>
      <c r="V59" s="352"/>
    </row>
    <row r="60" spans="1:22">
      <c r="A60" s="198">
        <f>A49</f>
        <v>2012</v>
      </c>
      <c r="B60" s="200">
        <f t="shared" si="27"/>
        <v>77.664793707799404</v>
      </c>
      <c r="C60" s="200">
        <f t="shared" si="28"/>
        <v>43.068289925650419</v>
      </c>
      <c r="D60" s="200">
        <f t="shared" si="29"/>
        <v>86.853111677931693</v>
      </c>
      <c r="E60" s="284">
        <f t="shared" si="30"/>
        <v>4.0222739468975387E-2</v>
      </c>
      <c r="F60" s="200">
        <f t="shared" si="31"/>
        <v>1.682257931502805</v>
      </c>
      <c r="G60" s="200">
        <f t="shared" si="32"/>
        <v>0.12583061534734252</v>
      </c>
      <c r="H60" s="191">
        <f t="shared" si="34"/>
        <v>209.43450659770068</v>
      </c>
      <c r="I60" s="201"/>
      <c r="N60" s="353" t="s">
        <v>179</v>
      </c>
      <c r="O60" s="229"/>
      <c r="P60" s="334">
        <f t="shared" ref="P60:R61" si="35">+P45</f>
        <v>55000</v>
      </c>
      <c r="Q60" s="334">
        <f t="shared" si="35"/>
        <v>32207.872435199999</v>
      </c>
      <c r="R60" s="334">
        <f t="shared" si="35"/>
        <v>87207.872435199999</v>
      </c>
      <c r="T60" s="334">
        <f t="shared" ref="T60:V61" si="36">+T45</f>
        <v>31680</v>
      </c>
      <c r="U60" s="334">
        <f t="shared" si="36"/>
        <v>31863.744000000002</v>
      </c>
      <c r="V60" s="334">
        <f t="shared" si="36"/>
        <v>32207.872435199999</v>
      </c>
    </row>
    <row r="61" spans="1:22">
      <c r="A61" s="198">
        <f>A50</f>
        <v>2013</v>
      </c>
      <c r="B61" s="200">
        <f t="shared" si="27"/>
        <v>80.890615785775836</v>
      </c>
      <c r="C61" s="200">
        <f t="shared" si="28"/>
        <v>43.273285882561069</v>
      </c>
      <c r="D61" s="200">
        <f t="shared" si="29"/>
        <v>84.32718993218765</v>
      </c>
      <c r="E61" s="284">
        <f t="shared" si="30"/>
        <v>3.9794408693577955E-2</v>
      </c>
      <c r="F61" s="200">
        <f t="shared" si="31"/>
        <v>1.5772171560928938</v>
      </c>
      <c r="G61" s="200">
        <f t="shared" si="32"/>
        <v>0.12457652108199614</v>
      </c>
      <c r="H61" s="191">
        <f t="shared" si="34"/>
        <v>210.23267968639303</v>
      </c>
      <c r="I61" s="201"/>
      <c r="N61" s="353" t="s">
        <v>180</v>
      </c>
      <c r="O61" s="229"/>
      <c r="P61" s="334">
        <f t="shared" si="35"/>
        <v>78000</v>
      </c>
      <c r="Q61" s="334">
        <f t="shared" si="35"/>
        <v>15690.15452312</v>
      </c>
      <c r="R61" s="334">
        <f t="shared" si="35"/>
        <v>93690.15452312</v>
      </c>
      <c r="T61" s="334">
        <f t="shared" si="36"/>
        <v>15433</v>
      </c>
      <c r="U61" s="334">
        <f t="shared" si="36"/>
        <v>15522.511400000001</v>
      </c>
      <c r="V61" s="334">
        <f t="shared" si="36"/>
        <v>15690.15452312</v>
      </c>
    </row>
    <row r="62" spans="1:22">
      <c r="A62" s="198" t="s">
        <v>256</v>
      </c>
      <c r="B62" s="200">
        <f>78665227/1000000</f>
        <v>78.665227000000002</v>
      </c>
      <c r="C62" s="200">
        <f>42466804/1000000</f>
        <v>42.466804000000003</v>
      </c>
      <c r="D62" s="200">
        <f>83505877/1000000</f>
        <v>83.505876999999998</v>
      </c>
      <c r="E62" s="284">
        <f>39534/1000000</f>
        <v>3.9534E-2</v>
      </c>
      <c r="F62" s="200">
        <f>1858492/1000000</f>
        <v>1.858492</v>
      </c>
      <c r="G62" s="200">
        <f>107219/1000000</f>
        <v>0.10721899999999999</v>
      </c>
      <c r="H62" s="191">
        <f>SUM(B62:G62)</f>
        <v>206.64315300000001</v>
      </c>
      <c r="I62" s="201"/>
      <c r="N62" s="353" t="s">
        <v>181</v>
      </c>
      <c r="O62" s="229"/>
      <c r="P62" s="334">
        <f>SUM(P47:P52)</f>
        <v>136020</v>
      </c>
      <c r="Q62" s="334">
        <f>SUM(Q47:Q52)</f>
        <v>53037.256603519992</v>
      </c>
      <c r="R62" s="334">
        <f>SUM(R47:R52)</f>
        <v>189057.25660352001</v>
      </c>
      <c r="T62" s="334">
        <f>SUM(T47:T52)</f>
        <v>52168</v>
      </c>
      <c r="U62" s="334">
        <f>SUM(U47:U52)</f>
        <v>52470.574399999998</v>
      </c>
      <c r="V62" s="334">
        <f>SUM(V47:V52)</f>
        <v>53037.256603519992</v>
      </c>
    </row>
    <row r="63" spans="1:22">
      <c r="A63" s="198">
        <f>A51</f>
        <v>2014</v>
      </c>
      <c r="B63" s="200">
        <f>B51*F278</f>
        <v>80.304812717066596</v>
      </c>
      <c r="C63" s="200">
        <f>C51*F278</f>
        <v>42.834263706878609</v>
      </c>
      <c r="D63" s="200">
        <f>D51*F278</f>
        <v>85.517374640385327</v>
      </c>
      <c r="E63" s="284">
        <f>E51*F278</f>
        <v>3.9205326328914554E-2</v>
      </c>
      <c r="F63" s="200">
        <f>F51*F278</f>
        <v>1.5222114791977333</v>
      </c>
      <c r="G63" s="200">
        <f>G51*F278</f>
        <v>0.12170626794406063</v>
      </c>
      <c r="H63" s="191">
        <f t="shared" si="34"/>
        <v>210.33957413780124</v>
      </c>
      <c r="I63" s="201"/>
      <c r="N63" s="353" t="s">
        <v>182</v>
      </c>
      <c r="O63" s="229"/>
      <c r="P63" s="334">
        <f>SUM(P53:P58)</f>
        <v>13098</v>
      </c>
      <c r="Q63" s="334">
        <f>SUM(Q53:Q58)</f>
        <v>5596.7278331999996</v>
      </c>
      <c r="R63" s="334">
        <f>SUM(R53:R58)</f>
        <v>18694.727833199999</v>
      </c>
      <c r="T63" s="334">
        <f>SUM(T53:T58)</f>
        <v>5505</v>
      </c>
      <c r="U63" s="334">
        <f>SUM(U53:U58)</f>
        <v>5536.9290000000001</v>
      </c>
      <c r="V63" s="334">
        <f>SUM(V53:V58)</f>
        <v>5596.7278331999996</v>
      </c>
    </row>
    <row r="64" spans="1:22" ht="13">
      <c r="A64" s="198">
        <f>A52</f>
        <v>2015</v>
      </c>
      <c r="B64" s="200">
        <f>B52*F279</f>
        <v>77.109484967291948</v>
      </c>
      <c r="C64" s="200">
        <f>C52*F279</f>
        <v>41.976006766818543</v>
      </c>
      <c r="D64" s="200">
        <f>D52*F279</f>
        <v>86.298608349594673</v>
      </c>
      <c r="E64" s="284">
        <f>E52*F279</f>
        <v>3.9074976141226535E-2</v>
      </c>
      <c r="F64" s="200">
        <f>F52*F279</f>
        <v>1.4101675351093079</v>
      </c>
      <c r="G64" s="200">
        <f>G52*F279</f>
        <v>0.11671558718238406</v>
      </c>
      <c r="H64" s="191">
        <f t="shared" si="34"/>
        <v>206.95005818213809</v>
      </c>
      <c r="I64" s="201"/>
      <c r="N64" s="354" t="s">
        <v>10</v>
      </c>
      <c r="O64" s="355"/>
      <c r="P64" s="356">
        <f>SUM(P60:P63)</f>
        <v>282118</v>
      </c>
      <c r="Q64" s="356">
        <f>SUM(Q60:Q63)</f>
        <v>106532.01139503998</v>
      </c>
      <c r="R64" s="356">
        <f>SUM(R60:R63)</f>
        <v>388650.01139504003</v>
      </c>
      <c r="S64" s="196"/>
      <c r="T64" s="356">
        <f>SUM(T60:T63)</f>
        <v>104786</v>
      </c>
      <c r="U64" s="356">
        <f>SUM(U60:U63)</f>
        <v>105393.75880000001</v>
      </c>
      <c r="V64" s="356">
        <f>SUM(V60:V63)</f>
        <v>106532.01139503998</v>
      </c>
    </row>
    <row r="65" spans="1:12">
      <c r="A65" s="198">
        <f>A53</f>
        <v>2016</v>
      </c>
      <c r="B65" s="200">
        <f>B53*F280</f>
        <v>75.72115841352435</v>
      </c>
      <c r="C65" s="200">
        <f>C53*F280</f>
        <v>41.463027276694959</v>
      </c>
      <c r="D65" s="200">
        <f>D53*F280</f>
        <v>85.245702716709744</v>
      </c>
      <c r="E65" s="284">
        <f>E53*F280</f>
        <v>3.937849427424106E-2</v>
      </c>
      <c r="F65" s="200">
        <f>F53*F280</f>
        <v>0.81821183666062658</v>
      </c>
      <c r="G65" s="200">
        <f>G53*F280</f>
        <v>0.10993529707498063</v>
      </c>
      <c r="H65" s="191">
        <f t="shared" si="34"/>
        <v>203.39741403493889</v>
      </c>
      <c r="I65" s="201"/>
    </row>
    <row r="66" spans="1:12" ht="15" customHeight="1">
      <c r="A66" s="198">
        <f>A54</f>
        <v>2017</v>
      </c>
      <c r="B66" s="200">
        <f>B54*F281</f>
        <v>75.814390358823886</v>
      </c>
      <c r="C66" s="200">
        <f>C54*F281</f>
        <v>41.083597691821311</v>
      </c>
      <c r="D66" s="200">
        <f>D54*F281</f>
        <v>87.964288274573391</v>
      </c>
      <c r="E66" s="284">
        <f>E54*F281</f>
        <v>3.7620588034522458E-2</v>
      </c>
      <c r="F66" s="200">
        <f>F54*F281</f>
        <v>0.817025404322681</v>
      </c>
      <c r="G66" s="200">
        <f>G54*F281</f>
        <v>0.11150191050766736</v>
      </c>
      <c r="H66" s="191">
        <f t="shared" si="34"/>
        <v>205.82842422808346</v>
      </c>
      <c r="I66" s="197"/>
    </row>
    <row r="67" spans="1:12">
      <c r="A67" s="202"/>
      <c r="B67" s="203"/>
      <c r="C67" s="203"/>
      <c r="D67" s="203"/>
      <c r="E67" s="204"/>
      <c r="F67" s="203"/>
      <c r="G67" s="203"/>
      <c r="H67" s="203"/>
      <c r="I67" s="203"/>
      <c r="J67" s="203"/>
      <c r="K67" s="203"/>
      <c r="L67" s="201"/>
    </row>
    <row r="68" spans="1:12" ht="13">
      <c r="A68" s="406" t="s">
        <v>255</v>
      </c>
      <c r="B68" s="406"/>
      <c r="C68" s="406"/>
      <c r="D68" s="406"/>
      <c r="E68" s="406"/>
      <c r="F68" s="406"/>
      <c r="G68" s="406"/>
      <c r="H68" s="406"/>
      <c r="I68" s="406"/>
      <c r="J68" s="406"/>
      <c r="K68" s="188"/>
    </row>
    <row r="69" spans="1:12" s="194" customFormat="1" ht="39">
      <c r="A69" s="272" t="str">
        <f t="shared" ref="A69:H69" si="37">A43</f>
        <v>Year</v>
      </c>
      <c r="B69" s="273" t="str">
        <f t="shared" si="37"/>
        <v xml:space="preserve">Residential </v>
      </c>
      <c r="C69" s="273" t="str">
        <f t="shared" si="37"/>
        <v>General Service &lt; 50 kW</v>
      </c>
      <c r="D69" s="273" t="str">
        <f t="shared" si="37"/>
        <v>General Service 50 to 4,999 kW</v>
      </c>
      <c r="E69" s="273" t="str">
        <f t="shared" si="37"/>
        <v>Sentinel Lights</v>
      </c>
      <c r="F69" s="273" t="str">
        <f t="shared" si="37"/>
        <v>Street Lights</v>
      </c>
      <c r="G69" s="263" t="str">
        <f t="shared" si="37"/>
        <v xml:space="preserve">Unmetered Scattered Loads </v>
      </c>
      <c r="H69" s="263" t="str">
        <f t="shared" si="37"/>
        <v>Total</v>
      </c>
      <c r="I69" s="205"/>
    </row>
    <row r="70" spans="1:12" ht="13">
      <c r="A70" s="407" t="s">
        <v>196</v>
      </c>
      <c r="B70" s="408"/>
      <c r="C70" s="408"/>
      <c r="D70" s="408"/>
      <c r="E70" s="408"/>
      <c r="F70" s="408"/>
      <c r="G70" s="408"/>
      <c r="H70" s="409"/>
      <c r="I70" s="205"/>
    </row>
    <row r="71" spans="1:12" ht="13">
      <c r="A71" s="198">
        <f t="shared" ref="A71:A76" si="38">A45</f>
        <v>2008</v>
      </c>
      <c r="B71" s="206">
        <f>'[13]Rate Class Customer Model'!B4</f>
        <v>7528.25</v>
      </c>
      <c r="C71" s="206">
        <f>'[13]Rate Class Customer Model'!C4</f>
        <v>1537.0833333333333</v>
      </c>
      <c r="D71" s="206">
        <f>'[13]Rate Class Customer Model'!D4</f>
        <v>99</v>
      </c>
      <c r="E71" s="206">
        <f>'[13]Rate Class Customer Model'!E4</f>
        <v>44.25</v>
      </c>
      <c r="F71" s="206">
        <f>'[13]Rate Class Customer Model'!F4</f>
        <v>2106</v>
      </c>
      <c r="G71" s="206">
        <f>'[13]Rate Class Customer Model'!G4</f>
        <v>49</v>
      </c>
      <c r="H71" s="207">
        <f t="shared" ref="H71:H72" si="39">SUM(B71:G71)</f>
        <v>11363.583333333334</v>
      </c>
      <c r="I71" s="205"/>
    </row>
    <row r="72" spans="1:12" ht="13">
      <c r="A72" s="198">
        <f t="shared" si="38"/>
        <v>2009</v>
      </c>
      <c r="B72" s="206">
        <f>'[13]Rate Class Customer Model'!B5</f>
        <v>7655.5</v>
      </c>
      <c r="C72" s="206">
        <f>'[13]Rate Class Customer Model'!C5</f>
        <v>1548.25</v>
      </c>
      <c r="D72" s="206">
        <f>'[13]Rate Class Customer Model'!D5</f>
        <v>100</v>
      </c>
      <c r="E72" s="206">
        <f>'[13]Rate Class Customer Model'!E5</f>
        <v>44.916666666666664</v>
      </c>
      <c r="F72" s="206">
        <f>'[13]Rate Class Customer Model'!F5</f>
        <v>2130</v>
      </c>
      <c r="G72" s="206">
        <f>'[13]Rate Class Customer Model'!G5</f>
        <v>43.916666666666664</v>
      </c>
      <c r="H72" s="207">
        <f t="shared" si="39"/>
        <v>11522.583333333332</v>
      </c>
      <c r="I72" s="205"/>
    </row>
    <row r="73" spans="1:12">
      <c r="A73" s="198">
        <f t="shared" si="38"/>
        <v>2010</v>
      </c>
      <c r="B73" s="206">
        <f>'[13]Rate Class Customer Model'!B6</f>
        <v>7747.916666666667</v>
      </c>
      <c r="C73" s="206">
        <f>'[13]Rate Class Customer Model'!C6</f>
        <v>1552.75</v>
      </c>
      <c r="D73" s="206">
        <f>'[13]Rate Class Customer Model'!D6</f>
        <v>99.833333333333329</v>
      </c>
      <c r="E73" s="206">
        <f>'[13]Rate Class Customer Model'!E6</f>
        <v>44.583333333333336</v>
      </c>
      <c r="F73" s="206">
        <f>'[13]Rate Class Customer Model'!F6</f>
        <v>2130</v>
      </c>
      <c r="G73" s="206">
        <f>'[13]Rate Class Customer Model'!G6</f>
        <v>41.166666666666664</v>
      </c>
      <c r="H73" s="207">
        <f t="shared" ref="H73:H81" si="40">SUM(B73:G73)</f>
        <v>11616.250000000002</v>
      </c>
      <c r="I73" s="208"/>
    </row>
    <row r="74" spans="1:12">
      <c r="A74" s="198">
        <f t="shared" si="38"/>
        <v>2011</v>
      </c>
      <c r="B74" s="206">
        <f>'[13]Rate Class Customer Model'!B7</f>
        <v>7885.166666666667</v>
      </c>
      <c r="C74" s="206">
        <f>'[13]Rate Class Customer Model'!C7</f>
        <v>1563.25</v>
      </c>
      <c r="D74" s="206">
        <f>'[13]Rate Class Customer Model'!D7</f>
        <v>100.66666666666667</v>
      </c>
      <c r="E74" s="206">
        <f>'[13]Rate Class Customer Model'!E7</f>
        <v>44.666666666666664</v>
      </c>
      <c r="F74" s="206">
        <f>'[13]Rate Class Customer Model'!F7</f>
        <v>2130</v>
      </c>
      <c r="G74" s="206">
        <f>'[13]Rate Class Customer Model'!G7</f>
        <v>39.5</v>
      </c>
      <c r="H74" s="207">
        <f t="shared" si="40"/>
        <v>11763.25</v>
      </c>
      <c r="I74" s="208"/>
    </row>
    <row r="75" spans="1:12">
      <c r="A75" s="198">
        <f t="shared" si="38"/>
        <v>2012</v>
      </c>
      <c r="B75" s="206">
        <f>'[13]Rate Class Customer Model'!B8</f>
        <v>7962.5</v>
      </c>
      <c r="C75" s="206">
        <f>'[13]Rate Class Customer Model'!C8</f>
        <v>1572.75</v>
      </c>
      <c r="D75" s="206">
        <f>'[13]Rate Class Customer Model'!D8</f>
        <v>100.5</v>
      </c>
      <c r="E75" s="206">
        <f>'[13]Rate Class Customer Model'!E8</f>
        <v>45.833333333333336</v>
      </c>
      <c r="F75" s="206">
        <f>'[13]Rate Class Customer Model'!F8</f>
        <v>1953.8333333333333</v>
      </c>
      <c r="G75" s="206">
        <f>'[13]Rate Class Customer Model'!G8</f>
        <v>38</v>
      </c>
      <c r="H75" s="207">
        <f t="shared" si="40"/>
        <v>11673.416666666668</v>
      </c>
      <c r="I75" s="208"/>
    </row>
    <row r="76" spans="1:12">
      <c r="A76" s="198">
        <f t="shared" si="38"/>
        <v>2013</v>
      </c>
      <c r="B76" s="206">
        <f>'[13]Rate Class Customer Model'!B9</f>
        <v>8031.166666666667</v>
      </c>
      <c r="C76" s="206">
        <f>'[13]Rate Class Customer Model'!C9</f>
        <v>1582.0833333333333</v>
      </c>
      <c r="D76" s="206">
        <f>'[13]Rate Class Customer Model'!D9</f>
        <v>101.33333333333333</v>
      </c>
      <c r="E76" s="206">
        <f>'[13]Rate Class Customer Model'!E9</f>
        <v>45</v>
      </c>
      <c r="F76" s="206">
        <f>'[13]Rate Class Customer Model'!F9</f>
        <v>1802.75</v>
      </c>
      <c r="G76" s="206">
        <f>'[13]Rate Class Customer Model'!G9</f>
        <v>38</v>
      </c>
      <c r="H76" s="207">
        <f t="shared" si="40"/>
        <v>11600.333333333334</v>
      </c>
      <c r="I76" s="208"/>
    </row>
    <row r="77" spans="1:12">
      <c r="A77" s="198" t="str">
        <f>A62</f>
        <v>2013 Board Approved</v>
      </c>
      <c r="B77" s="206">
        <v>8063</v>
      </c>
      <c r="C77" s="206">
        <v>1591</v>
      </c>
      <c r="D77" s="206">
        <v>103</v>
      </c>
      <c r="E77" s="206">
        <v>44</v>
      </c>
      <c r="F77" s="206">
        <v>2147</v>
      </c>
      <c r="G77" s="206">
        <v>35</v>
      </c>
      <c r="H77" s="207">
        <f t="shared" si="40"/>
        <v>11983</v>
      </c>
      <c r="I77" s="208"/>
    </row>
    <row r="78" spans="1:12">
      <c r="A78" s="198">
        <f>A51</f>
        <v>2014</v>
      </c>
      <c r="B78" s="206">
        <f>'[13]Rate Class Customer Model'!B10</f>
        <v>8085.833333333333</v>
      </c>
      <c r="C78" s="206">
        <f>'[13]Rate Class Customer Model'!C10</f>
        <v>1592.8333333333333</v>
      </c>
      <c r="D78" s="206">
        <f>'[13]Rate Class Customer Model'!D10</f>
        <v>100.91666666666667</v>
      </c>
      <c r="E78" s="206">
        <f>'[13]Rate Class Customer Model'!E10</f>
        <v>44</v>
      </c>
      <c r="F78" s="206">
        <f>'[13]Rate Class Customer Model'!F10</f>
        <v>1797.6666666666667</v>
      </c>
      <c r="G78" s="206">
        <f>'[13]Rate Class Customer Model'!G10</f>
        <v>37</v>
      </c>
      <c r="H78" s="207">
        <f t="shared" si="40"/>
        <v>11658.249999999998</v>
      </c>
      <c r="I78" s="208"/>
    </row>
    <row r="79" spans="1:12">
      <c r="A79" s="198">
        <f>A52</f>
        <v>2015</v>
      </c>
      <c r="B79" s="206">
        <f>'[13]Rate Class Customer Model'!B11</f>
        <v>8125.833333333333</v>
      </c>
      <c r="C79" s="206">
        <f>'[13]Rate Class Customer Model'!C11</f>
        <v>1595.1666666666667</v>
      </c>
      <c r="D79" s="206">
        <f>'[13]Rate Class Customer Model'!D11</f>
        <v>100.75</v>
      </c>
      <c r="E79" s="206">
        <f>'[13]Rate Class Customer Model'!E11</f>
        <v>44</v>
      </c>
      <c r="F79" s="206">
        <f>'[13]Rate Class Customer Model'!F11</f>
        <v>1788.8333333333333</v>
      </c>
      <c r="G79" s="206">
        <f>'[13]Rate Class Customer Model'!G11</f>
        <v>35.166666666666664</v>
      </c>
      <c r="H79" s="207">
        <f t="shared" si="40"/>
        <v>11689.75</v>
      </c>
      <c r="I79" s="208"/>
    </row>
    <row r="80" spans="1:12" ht="12.75" customHeight="1">
      <c r="A80" s="198">
        <f>A53</f>
        <v>2016</v>
      </c>
      <c r="B80" s="206">
        <f>'[13]Rate Class Customer Model'!B12</f>
        <v>8182.5</v>
      </c>
      <c r="C80" s="206">
        <f>'[13]Rate Class Customer Model'!C12</f>
        <v>1592.9166666666667</v>
      </c>
      <c r="D80" s="206">
        <f>'[13]Rate Class Customer Model'!D12</f>
        <v>98.833333333333329</v>
      </c>
      <c r="E80" s="206">
        <f>'[13]Rate Class Customer Model'!E12</f>
        <v>43.833333333333336</v>
      </c>
      <c r="F80" s="206">
        <f>'[13]Rate Class Customer Model'!F12</f>
        <v>1783</v>
      </c>
      <c r="G80" s="206">
        <f>'[13]Rate Class Customer Model'!G12</f>
        <v>34</v>
      </c>
      <c r="H80" s="207">
        <f t="shared" si="40"/>
        <v>11735.083333333334</v>
      </c>
      <c r="I80" s="208"/>
    </row>
    <row r="81" spans="1:22" ht="12.75" customHeight="1">
      <c r="A81" s="198">
        <f>A54</f>
        <v>2017</v>
      </c>
      <c r="B81" s="206">
        <f>AVERAGE('[14]Data Input'!$F$185:$F$196)</f>
        <v>8242.8333333333339</v>
      </c>
      <c r="C81" s="206">
        <f>AVERAGE('[14]Data Input'!$J$185:$J$196)</f>
        <v>1596.1666666666667</v>
      </c>
      <c r="D81" s="206">
        <f>AVERAGE('[14]Data Input'!$O$185:$O$196)</f>
        <v>94.666666666666671</v>
      </c>
      <c r="E81" s="206">
        <f>AVERAGE('[14]Data Input'!$Y$185:$Y$196)</f>
        <v>39.5</v>
      </c>
      <c r="F81" s="206">
        <f>AVERAGE('[14]Data Input'!$T$185:$T$196)</f>
        <v>1785.3333333333333</v>
      </c>
      <c r="G81" s="206">
        <f>AVERAGE('[14]Data Input'!$AC$185:$AC$196)</f>
        <v>34</v>
      </c>
      <c r="H81" s="207">
        <f t="shared" si="40"/>
        <v>11792.5</v>
      </c>
      <c r="I81" s="208"/>
    </row>
    <row r="82" spans="1:22" ht="13">
      <c r="A82" s="407" t="s">
        <v>197</v>
      </c>
      <c r="B82" s="408"/>
      <c r="C82" s="408"/>
      <c r="D82" s="408"/>
      <c r="E82" s="408"/>
      <c r="F82" s="408"/>
      <c r="G82" s="409"/>
      <c r="H82" s="424"/>
    </row>
    <row r="83" spans="1:22">
      <c r="A83" s="209">
        <f t="shared" ref="A83:A92" si="41">A29</f>
        <v>2008</v>
      </c>
      <c r="B83" s="210">
        <f>B45*1000000/B71</f>
        <v>10744.762859894397</v>
      </c>
      <c r="C83" s="210">
        <f t="shared" ref="C83:F83" si="42">C45*1000000/C71</f>
        <v>29544.418975332072</v>
      </c>
      <c r="D83" s="210">
        <f t="shared" si="42"/>
        <v>916624.92929292924</v>
      </c>
      <c r="E83" s="210">
        <f t="shared" si="42"/>
        <v>900.79096045197741</v>
      </c>
      <c r="F83" s="210">
        <f t="shared" si="42"/>
        <v>889.02754036087367</v>
      </c>
      <c r="G83" s="210">
        <f>G45*1000000/G71</f>
        <v>4218.9387755102043</v>
      </c>
      <c r="H83" s="425"/>
    </row>
    <row r="84" spans="1:22">
      <c r="A84" s="209">
        <f t="shared" si="41"/>
        <v>2009</v>
      </c>
      <c r="B84" s="210">
        <f t="shared" ref="B84:F87" si="43">B46*1000000/B72</f>
        <v>10533.901508719222</v>
      </c>
      <c r="C84" s="210">
        <f t="shared" si="43"/>
        <v>28041.834329081219</v>
      </c>
      <c r="D84" s="210">
        <f t="shared" si="43"/>
        <v>840552.44</v>
      </c>
      <c r="E84" s="210">
        <f t="shared" si="43"/>
        <v>901.71428571428578</v>
      </c>
      <c r="F84" s="210">
        <f t="shared" si="43"/>
        <v>877.97981220657277</v>
      </c>
      <c r="G84" s="210">
        <f t="shared" ref="G84" si="44">G46*1000000/G72</f>
        <v>3789.472485768501</v>
      </c>
      <c r="H84" s="425"/>
    </row>
    <row r="85" spans="1:22">
      <c r="A85" s="209">
        <f t="shared" si="41"/>
        <v>2010</v>
      </c>
      <c r="B85" s="210">
        <f t="shared" si="43"/>
        <v>10203.145609464909</v>
      </c>
      <c r="C85" s="210">
        <f t="shared" si="43"/>
        <v>27685.085171469971</v>
      </c>
      <c r="D85" s="210">
        <f t="shared" si="43"/>
        <v>827458.4874791319</v>
      </c>
      <c r="E85" s="210">
        <f t="shared" si="43"/>
        <v>914.35783177570067</v>
      </c>
      <c r="F85" s="210">
        <f t="shared" si="43"/>
        <v>877.98025821596241</v>
      </c>
      <c r="G85" s="210">
        <f t="shared" ref="G85" si="45">G47*1000000/G73</f>
        <v>3442.9797570850205</v>
      </c>
      <c r="H85" s="425"/>
      <c r="J85" s="211"/>
      <c r="K85" s="211"/>
      <c r="L85" s="211"/>
      <c r="M85" s="211"/>
      <c r="N85" s="211"/>
      <c r="P85" s="211"/>
      <c r="Q85" s="211"/>
      <c r="R85" s="211"/>
      <c r="S85" s="211"/>
    </row>
    <row r="86" spans="1:22">
      <c r="A86" s="209">
        <f t="shared" si="41"/>
        <v>2011</v>
      </c>
      <c r="B86" s="210">
        <f t="shared" si="43"/>
        <v>9846.9181302445522</v>
      </c>
      <c r="C86" s="210">
        <f t="shared" si="43"/>
        <v>27337.127337278103</v>
      </c>
      <c r="D86" s="210">
        <f t="shared" si="43"/>
        <v>830430.03923841054</v>
      </c>
      <c r="E86" s="210">
        <f t="shared" si="43"/>
        <v>910.46368656716413</v>
      </c>
      <c r="F86" s="210">
        <f t="shared" si="43"/>
        <v>877.9775727699531</v>
      </c>
      <c r="G86" s="210">
        <f t="shared" ref="G86" si="46">G48*1000000/G74</f>
        <v>3339.3164556962024</v>
      </c>
      <c r="H86" s="425"/>
      <c r="J86" s="211"/>
      <c r="K86" s="211"/>
      <c r="L86" s="211"/>
      <c r="M86" s="211"/>
      <c r="N86" s="211"/>
      <c r="P86" s="211"/>
      <c r="Q86" s="211"/>
      <c r="R86" s="211"/>
      <c r="S86" s="211"/>
    </row>
    <row r="87" spans="1:22">
      <c r="A87" s="209">
        <f t="shared" si="41"/>
        <v>2012</v>
      </c>
      <c r="B87" s="210">
        <f t="shared" si="43"/>
        <v>9632.0732470957591</v>
      </c>
      <c r="C87" s="210">
        <f t="shared" si="43"/>
        <v>27042.258687013193</v>
      </c>
      <c r="D87" s="210">
        <f t="shared" si="43"/>
        <v>853423.0128358209</v>
      </c>
      <c r="E87" s="210">
        <f t="shared" si="43"/>
        <v>866.6330181818181</v>
      </c>
      <c r="F87" s="210">
        <f t="shared" si="43"/>
        <v>850.25677045124962</v>
      </c>
      <c r="G87" s="210">
        <f t="shared" ref="G87" si="47">G49*1000000/G75</f>
        <v>3270</v>
      </c>
      <c r="H87" s="425"/>
      <c r="J87" s="211"/>
      <c r="K87" s="211"/>
      <c r="L87" s="211"/>
      <c r="M87" s="211"/>
      <c r="N87" s="211"/>
      <c r="P87" s="211"/>
      <c r="Q87" s="211"/>
      <c r="R87" s="211"/>
      <c r="S87" s="211"/>
    </row>
    <row r="88" spans="1:22">
      <c r="A88" s="209">
        <f t="shared" si="41"/>
        <v>2013</v>
      </c>
      <c r="B88" s="210">
        <f>B50*1000000/B76</f>
        <v>10046.496875090792</v>
      </c>
      <c r="C88" s="210">
        <f t="shared" ref="C88:F88" si="48">C50*1000000/C76</f>
        <v>27282.594557808799</v>
      </c>
      <c r="D88" s="210">
        <f t="shared" si="48"/>
        <v>830061.84276315803</v>
      </c>
      <c r="E88" s="210">
        <f t="shared" si="48"/>
        <v>882.07333333333327</v>
      </c>
      <c r="F88" s="210">
        <f t="shared" si="48"/>
        <v>872.67219525724602</v>
      </c>
      <c r="G88" s="210">
        <f>G50*1000000/G76</f>
        <v>3270</v>
      </c>
      <c r="H88" s="425"/>
      <c r="J88" s="211"/>
      <c r="K88" s="211"/>
      <c r="L88" s="211"/>
      <c r="M88" s="211"/>
      <c r="N88" s="211"/>
      <c r="P88" s="211"/>
      <c r="Q88" s="211"/>
      <c r="R88" s="211"/>
      <c r="S88" s="211"/>
    </row>
    <row r="89" spans="1:22">
      <c r="A89" s="209">
        <f t="shared" si="41"/>
        <v>2014</v>
      </c>
      <c r="B89" s="210">
        <f>B51*1000000/B78</f>
        <v>10056.374463567969</v>
      </c>
      <c r="C89" s="210">
        <f t="shared" ref="C89:F89" si="49">C51*1000000/C78</f>
        <v>27229.873184053569</v>
      </c>
      <c r="D89" s="210">
        <f t="shared" si="49"/>
        <v>858056.94520231208</v>
      </c>
      <c r="E89" s="210">
        <f t="shared" si="49"/>
        <v>902.22954545454559</v>
      </c>
      <c r="F89" s="210">
        <f t="shared" si="49"/>
        <v>857.41381234934181</v>
      </c>
      <c r="G89" s="210">
        <f>G51*1000000/G78</f>
        <v>3330.7027027027025</v>
      </c>
      <c r="H89" s="425"/>
      <c r="J89" s="211"/>
      <c r="K89" s="211"/>
      <c r="L89" s="211"/>
      <c r="M89" s="211"/>
      <c r="N89" s="211"/>
      <c r="P89" s="211"/>
      <c r="Q89" s="211"/>
      <c r="R89" s="211"/>
      <c r="S89" s="211"/>
    </row>
    <row r="90" spans="1:22">
      <c r="A90" s="209">
        <f t="shared" si="41"/>
        <v>2015</v>
      </c>
      <c r="B90" s="210">
        <f>B52*1000000/B79</f>
        <v>9548.6476312173108</v>
      </c>
      <c r="C90" s="210">
        <f t="shared" ref="C90:F90" si="50">C52*1000000/C79</f>
        <v>26478.722639222655</v>
      </c>
      <c r="D90" s="210">
        <f t="shared" si="50"/>
        <v>861907.60486352351</v>
      </c>
      <c r="E90" s="210">
        <f t="shared" si="50"/>
        <v>893.61000000000013</v>
      </c>
      <c r="F90" s="210">
        <f t="shared" si="50"/>
        <v>793.23671666821951</v>
      </c>
      <c r="G90" s="210">
        <f>G52*1000000/G79</f>
        <v>3339.6398104265404</v>
      </c>
      <c r="H90" s="425"/>
      <c r="J90" s="211"/>
      <c r="K90" s="211"/>
      <c r="L90" s="211"/>
      <c r="M90" s="211"/>
      <c r="N90" s="211"/>
      <c r="P90" s="211"/>
      <c r="Q90" s="211"/>
      <c r="R90" s="211"/>
      <c r="S90" s="211"/>
    </row>
    <row r="91" spans="1:22">
      <c r="A91" s="209">
        <f t="shared" si="41"/>
        <v>2016</v>
      </c>
      <c r="B91" s="210">
        <f>B53*1000000/B80</f>
        <v>9255.7797934616556</v>
      </c>
      <c r="C91" s="210">
        <f t="shared" ref="C91:F91" si="51">C53*1000000/C80</f>
        <v>26034.529255558456</v>
      </c>
      <c r="D91" s="210">
        <f t="shared" si="51"/>
        <v>862682.18668695062</v>
      </c>
      <c r="E91" s="210">
        <f t="shared" si="51"/>
        <v>898.53787072243335</v>
      </c>
      <c r="F91" s="210">
        <f t="shared" si="51"/>
        <v>458.98256962587226</v>
      </c>
      <c r="G91" s="210">
        <f>G53*1000000/G80</f>
        <v>3234</v>
      </c>
      <c r="H91" s="425"/>
      <c r="J91" s="211"/>
      <c r="K91" s="211"/>
      <c r="L91" s="211"/>
      <c r="M91" s="211"/>
      <c r="N91" s="211"/>
      <c r="P91" s="211"/>
      <c r="Q91" s="211"/>
      <c r="R91" s="211"/>
      <c r="S91" s="211"/>
    </row>
    <row r="92" spans="1:22">
      <c r="A92" s="209">
        <f t="shared" si="41"/>
        <v>2017</v>
      </c>
      <c r="B92" s="210">
        <f>B54*1000000/B81</f>
        <v>9070.0932527245859</v>
      </c>
      <c r="C92" s="210">
        <f t="shared" ref="C92:F92" si="52">C54*1000000/C81</f>
        <v>25382.05930876057</v>
      </c>
      <c r="D92" s="210">
        <f t="shared" si="52"/>
        <v>916317.39611053641</v>
      </c>
      <c r="E92" s="210">
        <f t="shared" si="52"/>
        <v>939.21518987341767</v>
      </c>
      <c r="F92" s="210">
        <f t="shared" si="52"/>
        <v>451.28704943045398</v>
      </c>
      <c r="G92" s="210">
        <f>G54*1000000/G81</f>
        <v>3234</v>
      </c>
      <c r="H92" s="425"/>
      <c r="J92" s="211"/>
      <c r="K92" s="211"/>
      <c r="L92" s="211"/>
      <c r="M92" s="211"/>
      <c r="N92" s="211"/>
      <c r="P92" s="211"/>
      <c r="Q92" s="211"/>
      <c r="R92" s="211"/>
      <c r="S92" s="211"/>
    </row>
    <row r="93" spans="1:22" ht="13">
      <c r="A93" s="407" t="s">
        <v>198</v>
      </c>
      <c r="B93" s="408"/>
      <c r="C93" s="408"/>
      <c r="D93" s="408"/>
      <c r="E93" s="408"/>
      <c r="F93" s="408"/>
      <c r="G93" s="409"/>
      <c r="H93" s="425"/>
    </row>
    <row r="94" spans="1:22">
      <c r="A94" s="209">
        <f t="shared" ref="A94:A104" si="53">A56</f>
        <v>2008</v>
      </c>
      <c r="B94" s="210">
        <f t="shared" ref="B94:G104" si="54">B56*1000000/B71</f>
        <v>10560.124057384648</v>
      </c>
      <c r="C94" s="210">
        <f t="shared" si="54"/>
        <v>29036.725486738382</v>
      </c>
      <c r="D94" s="210">
        <f t="shared" si="54"/>
        <v>900873.57847187505</v>
      </c>
      <c r="E94" s="210">
        <f t="shared" si="54"/>
        <v>885.31170172675559</v>
      </c>
      <c r="F94" s="210">
        <f t="shared" si="54"/>
        <v>873.75042511963204</v>
      </c>
      <c r="G94" s="210">
        <f t="shared" si="54"/>
        <v>4146.4402184429509</v>
      </c>
      <c r="H94" s="425"/>
    </row>
    <row r="95" spans="1:22">
      <c r="A95" s="209">
        <f t="shared" si="53"/>
        <v>2009</v>
      </c>
      <c r="B95" s="210">
        <f t="shared" si="54"/>
        <v>10466.620462721401</v>
      </c>
      <c r="C95" s="210">
        <f t="shared" si="54"/>
        <v>27862.728425746489</v>
      </c>
      <c r="D95" s="210">
        <f t="shared" si="54"/>
        <v>835183.75040930929</v>
      </c>
      <c r="E95" s="210">
        <f t="shared" si="54"/>
        <v>895.95494950976365</v>
      </c>
      <c r="F95" s="210">
        <f t="shared" si="54"/>
        <v>872.37207037593805</v>
      </c>
      <c r="G95" s="210">
        <f t="shared" si="54"/>
        <v>3765.2687591234931</v>
      </c>
      <c r="H95" s="425"/>
    </row>
    <row r="96" spans="1:22">
      <c r="A96" s="209">
        <f t="shared" si="53"/>
        <v>2010</v>
      </c>
      <c r="B96" s="210">
        <f t="shared" si="54"/>
        <v>10260.636610816366</v>
      </c>
      <c r="C96" s="210">
        <f t="shared" si="54"/>
        <v>27841.08052132872</v>
      </c>
      <c r="D96" s="210">
        <f t="shared" si="54"/>
        <v>832120.91403293982</v>
      </c>
      <c r="E96" s="210">
        <f t="shared" si="54"/>
        <v>919.50990441627607</v>
      </c>
      <c r="F96" s="210">
        <f t="shared" si="54"/>
        <v>882.92735650737779</v>
      </c>
      <c r="G96" s="210">
        <f t="shared" si="54"/>
        <v>3462.3796913253004</v>
      </c>
      <c r="H96" s="425"/>
      <c r="T96" s="211"/>
      <c r="U96" s="211"/>
      <c r="V96" s="211"/>
    </row>
    <row r="97" spans="1:24">
      <c r="A97" s="209">
        <f t="shared" si="53"/>
        <v>2011</v>
      </c>
      <c r="B97" s="210">
        <f t="shared" si="54"/>
        <v>9934.0925666496678</v>
      </c>
      <c r="C97" s="210">
        <f t="shared" si="54"/>
        <v>27579.142009995092</v>
      </c>
      <c r="D97" s="210">
        <f t="shared" si="54"/>
        <v>837781.80856227013</v>
      </c>
      <c r="E97" s="210">
        <f t="shared" si="54"/>
        <v>918.52399109026544</v>
      </c>
      <c r="F97" s="210">
        <f t="shared" si="54"/>
        <v>885.750278815662</v>
      </c>
      <c r="G97" s="210">
        <f t="shared" si="54"/>
        <v>3368.8793124350568</v>
      </c>
      <c r="H97" s="425"/>
      <c r="T97" s="211"/>
      <c r="U97" s="211"/>
      <c r="V97" s="211"/>
    </row>
    <row r="98" spans="1:24" ht="12.75" customHeight="1">
      <c r="A98" s="209">
        <f t="shared" si="53"/>
        <v>2012</v>
      </c>
      <c r="B98" s="210">
        <f t="shared" si="54"/>
        <v>9753.8202458774758</v>
      </c>
      <c r="C98" s="210">
        <f t="shared" si="54"/>
        <v>27384.066078938431</v>
      </c>
      <c r="D98" s="210">
        <f t="shared" si="54"/>
        <v>864210.06644708151</v>
      </c>
      <c r="E98" s="210">
        <f t="shared" si="54"/>
        <v>877.58704295946291</v>
      </c>
      <c r="F98" s="210">
        <f t="shared" si="54"/>
        <v>861.00380355001539</v>
      </c>
      <c r="G98" s="210">
        <f t="shared" si="54"/>
        <v>3311.3319828248032</v>
      </c>
      <c r="H98" s="425"/>
      <c r="T98" s="211"/>
      <c r="U98" s="211"/>
      <c r="V98" s="211"/>
    </row>
    <row r="99" spans="1:24">
      <c r="A99" s="209">
        <f t="shared" si="53"/>
        <v>2013</v>
      </c>
      <c r="B99" s="210">
        <f t="shared" si="54"/>
        <v>10072.087797842883</v>
      </c>
      <c r="C99" s="210">
        <f t="shared" si="54"/>
        <v>27352.090102224542</v>
      </c>
      <c r="D99" s="210">
        <f t="shared" si="54"/>
        <v>832176.21643606236</v>
      </c>
      <c r="E99" s="210">
        <f t="shared" si="54"/>
        <v>884.32019319062124</v>
      </c>
      <c r="F99" s="210">
        <f t="shared" si="54"/>
        <v>874.89510808092848</v>
      </c>
      <c r="G99" s="210">
        <f t="shared" si="54"/>
        <v>3278.3295021577928</v>
      </c>
      <c r="H99" s="425"/>
      <c r="T99" s="211"/>
      <c r="U99" s="211"/>
      <c r="V99" s="211"/>
    </row>
    <row r="100" spans="1:24">
      <c r="A100" s="209" t="str">
        <f t="shared" si="53"/>
        <v>2013 Board Approved</v>
      </c>
      <c r="B100" s="210">
        <f>B62*1000000/B77</f>
        <v>9756.3223365992799</v>
      </c>
      <c r="C100" s="210">
        <f t="shared" ref="C100:F100" si="55">C62*1000000/C77</f>
        <v>26691.894406033942</v>
      </c>
      <c r="D100" s="210">
        <f t="shared" si="55"/>
        <v>810736.66990291257</v>
      </c>
      <c r="E100" s="210">
        <f t="shared" si="55"/>
        <v>898.5</v>
      </c>
      <c r="F100" s="210">
        <f t="shared" si="55"/>
        <v>865.62272938984631</v>
      </c>
      <c r="G100" s="210">
        <f>G62*1000000/G77</f>
        <v>3063.4</v>
      </c>
      <c r="H100" s="425"/>
      <c r="T100" s="211"/>
      <c r="U100" s="211"/>
      <c r="V100" s="211"/>
    </row>
    <row r="101" spans="1:24">
      <c r="A101" s="209">
        <f t="shared" si="53"/>
        <v>2014</v>
      </c>
      <c r="B101" s="210">
        <f>B63*1000000/B78</f>
        <v>9931.5443945666211</v>
      </c>
      <c r="C101" s="210">
        <f t="shared" ref="C101:G101" si="56">C63*1000000/C78</f>
        <v>26891.86797543912</v>
      </c>
      <c r="D101" s="210">
        <f t="shared" si="56"/>
        <v>847405.85935972247</v>
      </c>
      <c r="E101" s="210">
        <f t="shared" si="56"/>
        <v>891.03014383896709</v>
      </c>
      <c r="F101" s="210">
        <f t="shared" si="56"/>
        <v>846.77070973358059</v>
      </c>
      <c r="G101" s="210">
        <f t="shared" si="56"/>
        <v>3289.3585930827198</v>
      </c>
      <c r="H101" s="425"/>
      <c r="T101" s="211"/>
      <c r="U101" s="211"/>
      <c r="V101" s="211"/>
    </row>
    <row r="102" spans="1:24">
      <c r="A102" s="209">
        <f t="shared" si="53"/>
        <v>2015</v>
      </c>
      <c r="B102" s="210">
        <f t="shared" si="54"/>
        <v>9489.4248754743458</v>
      </c>
      <c r="C102" s="210">
        <f t="shared" si="54"/>
        <v>26314.495935734121</v>
      </c>
      <c r="D102" s="210">
        <f t="shared" si="54"/>
        <v>856561.86947488505</v>
      </c>
      <c r="E102" s="210">
        <f t="shared" si="54"/>
        <v>888.06763957333033</v>
      </c>
      <c r="F102" s="210">
        <f t="shared" si="54"/>
        <v>788.31689282175046</v>
      </c>
      <c r="G102" s="210">
        <f t="shared" si="54"/>
        <v>3318.92664973604</v>
      </c>
      <c r="H102" s="425"/>
      <c r="T102" s="211"/>
      <c r="U102" s="211"/>
      <c r="V102" s="211"/>
    </row>
    <row r="103" spans="1:24" ht="12.75" customHeight="1">
      <c r="A103" s="209">
        <f t="shared" si="53"/>
        <v>2016</v>
      </c>
      <c r="B103" s="210">
        <f t="shared" si="54"/>
        <v>9254.0370807851323</v>
      </c>
      <c r="C103" s="210">
        <f t="shared" si="54"/>
        <v>26029.627377470024</v>
      </c>
      <c r="D103" s="210">
        <f t="shared" si="54"/>
        <v>862519.7576732859</v>
      </c>
      <c r="E103" s="210">
        <f t="shared" si="54"/>
        <v>898.36869066709642</v>
      </c>
      <c r="F103" s="210">
        <f t="shared" si="54"/>
        <v>458.89615067898296</v>
      </c>
      <c r="G103" s="210">
        <f t="shared" si="54"/>
        <v>3233.3910904406071</v>
      </c>
      <c r="H103" s="425"/>
      <c r="T103" s="211"/>
      <c r="U103" s="211"/>
      <c r="V103" s="211"/>
    </row>
    <row r="104" spans="1:24">
      <c r="A104" s="209">
        <f t="shared" si="53"/>
        <v>2017</v>
      </c>
      <c r="B104" s="210">
        <f t="shared" si="54"/>
        <v>9197.6129193631496</v>
      </c>
      <c r="C104" s="210">
        <f t="shared" si="54"/>
        <v>25738.914707207667</v>
      </c>
      <c r="D104" s="210">
        <f t="shared" si="54"/>
        <v>929200.22825253569</v>
      </c>
      <c r="E104" s="210">
        <f t="shared" si="54"/>
        <v>952.41995024107484</v>
      </c>
      <c r="F104" s="210">
        <f t="shared" si="54"/>
        <v>457.63185454967197</v>
      </c>
      <c r="G104" s="210">
        <f t="shared" si="54"/>
        <v>3279.4679561078633</v>
      </c>
      <c r="H104" s="425"/>
      <c r="T104" s="211"/>
      <c r="U104" s="211"/>
      <c r="V104" s="211"/>
    </row>
    <row r="105" spans="1:24">
      <c r="A105" s="202"/>
      <c r="B105" s="212"/>
      <c r="C105" s="212"/>
      <c r="D105" s="212"/>
      <c r="E105" s="212"/>
      <c r="F105" s="212"/>
      <c r="G105" s="212"/>
      <c r="H105" s="212"/>
      <c r="I105" s="212"/>
      <c r="V105" s="211"/>
      <c r="W105" s="211"/>
      <c r="X105" s="211"/>
    </row>
    <row r="106" spans="1:24" ht="13">
      <c r="A106" s="196" t="s">
        <v>257</v>
      </c>
      <c r="B106" s="196"/>
      <c r="C106" s="196"/>
      <c r="D106" s="196"/>
      <c r="V106" s="211"/>
      <c r="W106" s="211"/>
      <c r="X106" s="211"/>
    </row>
    <row r="107" spans="1:24" s="194" customFormat="1" ht="39">
      <c r="A107" s="272" t="s">
        <v>184</v>
      </c>
      <c r="B107" s="273" t="str">
        <f t="shared" ref="B107:G107" si="57">B69</f>
        <v xml:space="preserve">Residential </v>
      </c>
      <c r="C107" s="273" t="str">
        <f t="shared" si="57"/>
        <v>General Service &lt; 50 kW</v>
      </c>
      <c r="D107" s="273" t="str">
        <f t="shared" si="57"/>
        <v>General Service 50 to 4,999 kW</v>
      </c>
      <c r="E107" s="273" t="str">
        <f t="shared" si="57"/>
        <v>Sentinel Lights</v>
      </c>
      <c r="F107" s="273" t="str">
        <f t="shared" si="57"/>
        <v>Street Lights</v>
      </c>
      <c r="G107" s="273" t="str">
        <f t="shared" si="57"/>
        <v xml:space="preserve">Unmetered Scattered Loads </v>
      </c>
      <c r="H107" s="263" t="s">
        <v>10</v>
      </c>
      <c r="S107" s="285"/>
      <c r="T107" s="285"/>
    </row>
    <row r="108" spans="1:24" ht="12.75" customHeight="1">
      <c r="A108" s="418" t="s">
        <v>193</v>
      </c>
      <c r="B108" s="419"/>
      <c r="C108" s="419"/>
      <c r="D108" s="419"/>
      <c r="E108" s="419"/>
      <c r="F108" s="419"/>
      <c r="G108" s="419"/>
      <c r="H108" s="420"/>
      <c r="I108" s="197"/>
      <c r="S108" s="211"/>
      <c r="T108" s="211"/>
    </row>
    <row r="109" spans="1:24" ht="12.75" customHeight="1">
      <c r="A109" s="198">
        <f t="shared" ref="A109:A118" si="58">A45</f>
        <v>2008</v>
      </c>
      <c r="B109" s="191">
        <f>'[15]Rate Class Energy Model'!H8/1000000</f>
        <v>34.709665718873978</v>
      </c>
      <c r="C109" s="191">
        <f>'[15]Rate Class Energy Model'!I8/1000000</f>
        <v>17.104385849234831</v>
      </c>
      <c r="D109" s="191">
        <f>'[15]Rate Class Energy Model'!J8/1000000</f>
        <v>36.469789845078402</v>
      </c>
      <c r="E109" s="280">
        <f>'[15]Rate Class Energy Model'!K8/1000000</f>
        <v>1.5088191951634234E-2</v>
      </c>
      <c r="F109" s="191">
        <f>'[15]Rate Class Energy Model'!L8/1000000</f>
        <v>0.87072437181182694</v>
      </c>
      <c r="G109" s="191">
        <f>'[15]Rate Class Energy Model'!M8/1000000</f>
        <v>5.9578282637445676E-2</v>
      </c>
      <c r="H109" s="191">
        <f t="shared" ref="H109:H110" si="59">SUM(B109:G109)</f>
        <v>89.22923225958813</v>
      </c>
      <c r="I109" s="197"/>
      <c r="S109" s="211"/>
      <c r="T109" s="211"/>
    </row>
    <row r="110" spans="1:24" ht="12.75" customHeight="1">
      <c r="A110" s="198">
        <f t="shared" si="58"/>
        <v>2009</v>
      </c>
      <c r="B110" s="191">
        <f>'[15]Rate Class Energy Model'!H9/1000000</f>
        <v>34.307485991141114</v>
      </c>
      <c r="C110" s="191">
        <f>'[15]Rate Class Energy Model'!I9/1000000</f>
        <v>16.28587821203854</v>
      </c>
      <c r="D110" s="191">
        <f>'[15]Rate Class Energy Model'!J9/1000000</f>
        <v>37.203370716040055</v>
      </c>
      <c r="E110" s="280">
        <f>'[15]Rate Class Energy Model'!K9/1000000</f>
        <v>1.2745000054789343E-2</v>
      </c>
      <c r="F110" s="191">
        <f>'[15]Rate Class Energy Model'!L9/1000000</f>
        <v>0.86784586245985262</v>
      </c>
      <c r="G110" s="191">
        <f>'[15]Rate Class Energy Model'!M9/1000000</f>
        <v>5.9286009824296243E-2</v>
      </c>
      <c r="H110" s="191">
        <f t="shared" si="59"/>
        <v>88.736611791558659</v>
      </c>
      <c r="I110" s="197"/>
      <c r="S110" s="211"/>
      <c r="T110" s="211"/>
    </row>
    <row r="111" spans="1:24">
      <c r="A111" s="198">
        <f t="shared" si="58"/>
        <v>2010</v>
      </c>
      <c r="B111" s="191">
        <f>'[15]Rate Class Energy Model'!H10/1000000</f>
        <v>32.087425902134918</v>
      </c>
      <c r="C111" s="191">
        <f>'[15]Rate Class Energy Model'!I10/1000000</f>
        <v>15.577192650670696</v>
      </c>
      <c r="D111" s="191">
        <f>'[15]Rate Class Energy Model'!J10/1000000</f>
        <v>35.288048592480635</v>
      </c>
      <c r="E111" s="280">
        <f>'[15]Rate Class Energy Model'!K10/1000000</f>
        <v>1.232042320045343E-2</v>
      </c>
      <c r="F111" s="191">
        <f>'[15]Rate Class Energy Model'!L10/1000000</f>
        <v>0.91573282999999983</v>
      </c>
      <c r="G111" s="191">
        <f>'[15]Rate Class Energy Model'!M10/1000000</f>
        <v>5.6186671075004718E-2</v>
      </c>
      <c r="H111" s="191">
        <f t="shared" ref="H111:H118" si="60">SUM(B111:G111)</f>
        <v>83.936907069561713</v>
      </c>
      <c r="I111" s="197"/>
      <c r="P111" s="197"/>
      <c r="Q111" s="197"/>
      <c r="R111" s="197"/>
      <c r="S111" s="197"/>
      <c r="T111" s="197"/>
      <c r="U111" s="197"/>
      <c r="V111" s="197"/>
    </row>
    <row r="112" spans="1:24">
      <c r="A112" s="198">
        <f t="shared" si="58"/>
        <v>2011</v>
      </c>
      <c r="B112" s="191">
        <f>'[15]Rate Class Energy Model'!H11/1000000</f>
        <v>32.495032851650627</v>
      </c>
      <c r="C112" s="191">
        <f>'[15]Rate Class Energy Model'!I11/1000000</f>
        <v>16.100165209793179</v>
      </c>
      <c r="D112" s="191">
        <f>'[15]Rate Class Energy Model'!J11/1000000</f>
        <v>34.916048268261278</v>
      </c>
      <c r="E112" s="280">
        <f>'[15]Rate Class Energy Model'!K11/1000000</f>
        <v>1.1992599712015148E-2</v>
      </c>
      <c r="F112" s="191">
        <f>'[15]Rate Class Energy Model'!L11/1000000</f>
        <v>0.8647720823775249</v>
      </c>
      <c r="G112" s="191">
        <f>'[15]Rate Class Energy Model'!M11/1000000</f>
        <v>5.7999708509766934E-2</v>
      </c>
      <c r="H112" s="191">
        <f t="shared" si="60"/>
        <v>84.4460107203044</v>
      </c>
      <c r="I112" s="197"/>
      <c r="S112" s="211"/>
      <c r="T112" s="211"/>
    </row>
    <row r="113" spans="1:20">
      <c r="A113" s="198">
        <f t="shared" si="58"/>
        <v>2012</v>
      </c>
      <c r="B113" s="191">
        <f>'[15]Rate Class Energy Model'!H12/1000000</f>
        <v>31.022599306133767</v>
      </c>
      <c r="C113" s="191">
        <f>'[15]Rate Class Energy Model'!I12/1000000</f>
        <v>14.963752530298828</v>
      </c>
      <c r="D113" s="191">
        <f>'[15]Rate Class Energy Model'!J12/1000000</f>
        <v>34.359905745212316</v>
      </c>
      <c r="E113" s="280">
        <f>'[15]Rate Class Energy Model'!K12/1000000</f>
        <v>1.183691368304191E-2</v>
      </c>
      <c r="F113" s="191">
        <f>'[15]Rate Class Energy Model'!L12/1000000</f>
        <v>0.87072435007863824</v>
      </c>
      <c r="G113" s="191">
        <f>'[15]Rate Class Energy Model'!M12/1000000</f>
        <v>5.7732112128781585E-2</v>
      </c>
      <c r="H113" s="191">
        <f t="shared" si="60"/>
        <v>81.286550957535368</v>
      </c>
      <c r="I113" s="197"/>
      <c r="S113" s="211"/>
      <c r="T113" s="211"/>
    </row>
    <row r="114" spans="1:20">
      <c r="A114" s="198">
        <f t="shared" si="58"/>
        <v>2013</v>
      </c>
      <c r="B114" s="191">
        <f>'[15]Rate Class Energy Model'!H13/1000000</f>
        <v>32.83545890461653</v>
      </c>
      <c r="C114" s="191">
        <f>'[15]Rate Class Energy Model'!I13/1000000</f>
        <v>14.688905661948374</v>
      </c>
      <c r="D114" s="191">
        <f>'[15]Rate Class Energy Model'!J13/1000000</f>
        <v>35.103776857686185</v>
      </c>
      <c r="E114" s="280">
        <f>'[15]Rate Class Energy Model'!K13/1000000</f>
        <v>1.1688222777315196E-2</v>
      </c>
      <c r="F114" s="191">
        <f>'[15]Rate Class Energy Model'!L13/1000000</f>
        <v>0.86784585067998898</v>
      </c>
      <c r="G114" s="191">
        <f>'[15]Rate Class Energy Model'!M13/1000000</f>
        <v>5.7420094365806279E-2</v>
      </c>
      <c r="H114" s="191">
        <f t="shared" si="60"/>
        <v>83.565095592074186</v>
      </c>
      <c r="I114" s="197"/>
      <c r="S114" s="211"/>
      <c r="T114" s="211"/>
    </row>
    <row r="115" spans="1:20">
      <c r="A115" s="198">
        <f t="shared" si="58"/>
        <v>2014</v>
      </c>
      <c r="B115" s="191">
        <f>'[15]Rate Class Energy Model'!H14/1000000</f>
        <v>33.119214374991209</v>
      </c>
      <c r="C115" s="191">
        <f>'[15]Rate Class Energy Model'!I14/1000000</f>
        <v>15.070832429599426</v>
      </c>
      <c r="D115" s="191">
        <f>'[15]Rate Class Energy Model'!J14/1000000</f>
        <v>35.293482507375799</v>
      </c>
      <c r="E115" s="280">
        <f>'[15]Rate Class Energy Model'!K14/1000000</f>
        <v>1.0305762623739478E-2</v>
      </c>
      <c r="F115" s="191">
        <f>'[15]Rate Class Energy Model'!L14/1000000</f>
        <v>0.86429053192154692</v>
      </c>
      <c r="G115" s="191">
        <f>'[15]Rate Class Energy Model'!M14/1000000</f>
        <v>5.6929066888703861E-2</v>
      </c>
      <c r="H115" s="191">
        <f t="shared" si="60"/>
        <v>84.415054673400419</v>
      </c>
      <c r="I115" s="197"/>
      <c r="S115" s="211"/>
      <c r="T115" s="211"/>
    </row>
    <row r="116" spans="1:20">
      <c r="A116" s="198">
        <f t="shared" si="58"/>
        <v>2015</v>
      </c>
      <c r="B116" s="191">
        <f>'[15]Rate Class Energy Model'!H15/1000000</f>
        <v>30.653237230000006</v>
      </c>
      <c r="C116" s="191">
        <f>'[15]Rate Class Energy Model'!I15/1000000</f>
        <v>16.254135709999996</v>
      </c>
      <c r="D116" s="191">
        <f>'[15]Rate Class Energy Model'!J15/1000000</f>
        <v>32.926646330000004</v>
      </c>
      <c r="E116" s="280">
        <f>'[15]Rate Class Energy Model'!K15/1000000</f>
        <v>9.7896000000000007E-3</v>
      </c>
      <c r="F116" s="191">
        <f>'[15]Rate Class Energy Model'!L15/1000000</f>
        <v>0.61071662000000004</v>
      </c>
      <c r="G116" s="191">
        <f>'[15]Rate Class Energy Model'!M15/1000000</f>
        <v>5.6112000000000002E-2</v>
      </c>
      <c r="H116" s="191">
        <f t="shared" si="60"/>
        <v>80.510637490000008</v>
      </c>
      <c r="I116" s="197"/>
      <c r="S116" s="211"/>
      <c r="T116" s="211"/>
    </row>
    <row r="117" spans="1:20">
      <c r="A117" s="198">
        <f t="shared" si="58"/>
        <v>2016</v>
      </c>
      <c r="B117" s="191">
        <f>'[15]Rate Class Energy Model'!H16/1000000</f>
        <v>28.61274315</v>
      </c>
      <c r="C117" s="191">
        <f>'[15]Rate Class Energy Model'!I16/1000000</f>
        <v>16.697865769999996</v>
      </c>
      <c r="D117" s="191">
        <f>'[15]Rate Class Energy Model'!J16/1000000</f>
        <v>31.363756609265433</v>
      </c>
      <c r="E117" s="280">
        <f>'[15]Rate Class Energy Model'!K16/1000000</f>
        <v>9.3950800000000001E-3</v>
      </c>
      <c r="F117" s="191">
        <f>'[15]Rate Class Energy Model'!L16/1000000</f>
        <v>0.31711533197150521</v>
      </c>
      <c r="G117" s="191">
        <f>'[15]Rate Class Energy Model'!M16/1000000</f>
        <v>5.6112000000000002E-2</v>
      </c>
      <c r="H117" s="191">
        <f t="shared" si="60"/>
        <v>77.05698794123694</v>
      </c>
      <c r="I117" s="197"/>
      <c r="S117" s="211"/>
      <c r="T117" s="211"/>
    </row>
    <row r="118" spans="1:20">
      <c r="A118" s="198">
        <f t="shared" si="58"/>
        <v>2017</v>
      </c>
      <c r="B118" s="191">
        <f>'[16]PSP less Loss factor'!$D$227/1000000</f>
        <v>28.366364999999998</v>
      </c>
      <c r="C118" s="191">
        <f>'[16]PSP less Loss factor'!$G$227/1000000</f>
        <v>17.071355000000001</v>
      </c>
      <c r="D118" s="191">
        <f>'[16]PSP less Loss factor'!$J$227/1000000</f>
        <v>30.008790345175317</v>
      </c>
      <c r="E118" s="280">
        <f>'[16]PSP less Loss factor'!$R$227/1000000</f>
        <v>7.1346000000000014E-3</v>
      </c>
      <c r="F118" s="191">
        <f>'[16]PSP less Loss factor'!$N$227/1000000</f>
        <v>0.34875618616523263</v>
      </c>
      <c r="G118" s="191">
        <f>'[16]PSP less Loss factor'!$V$227/1000000</f>
        <v>5.6112000000000002E-2</v>
      </c>
      <c r="H118" s="191">
        <f t="shared" si="60"/>
        <v>75.858513131340544</v>
      </c>
      <c r="I118" s="197"/>
      <c r="S118" s="211"/>
      <c r="T118" s="211"/>
    </row>
    <row r="119" spans="1:20" ht="12.75" customHeight="1">
      <c r="A119" s="418" t="s">
        <v>194</v>
      </c>
      <c r="B119" s="419"/>
      <c r="C119" s="419"/>
      <c r="D119" s="419"/>
      <c r="E119" s="419"/>
      <c r="F119" s="419"/>
      <c r="G119" s="419"/>
      <c r="H119" s="420"/>
      <c r="S119" s="211"/>
      <c r="T119" s="211"/>
    </row>
    <row r="120" spans="1:20" ht="12.75" customHeight="1">
      <c r="A120" s="198">
        <f t="shared" ref="A120:A121" si="61">A109</f>
        <v>2008</v>
      </c>
      <c r="B120" s="200">
        <f>B109*F272</f>
        <v>34.113212246851091</v>
      </c>
      <c r="C120" s="200">
        <f>C109*F272</f>
        <v>16.810462813236018</v>
      </c>
      <c r="D120" s="200">
        <f>D109*F272</f>
        <v>35.843090269426369</v>
      </c>
      <c r="E120" s="284">
        <f>E109*F272</f>
        <v>1.4828915341222902E-2</v>
      </c>
      <c r="F120" s="200">
        <f>F109*F272</f>
        <v>0.85576177957747679</v>
      </c>
      <c r="G120" s="200">
        <f>G109*F272</f>
        <v>5.8554485006431838E-2</v>
      </c>
      <c r="H120" s="191">
        <f t="shared" ref="H120:H121" si="62">SUM(B120:G120)</f>
        <v>87.695910509438605</v>
      </c>
      <c r="S120" s="211"/>
      <c r="T120" s="211"/>
    </row>
    <row r="121" spans="1:20" ht="12.75" customHeight="1">
      <c r="A121" s="198">
        <f t="shared" si="61"/>
        <v>2009</v>
      </c>
      <c r="B121" s="200">
        <f>B110*F273</f>
        <v>34.088360765684143</v>
      </c>
      <c r="C121" s="200">
        <f>C110*F273</f>
        <v>16.181858735475927</v>
      </c>
      <c r="D121" s="200">
        <f>D110*F273</f>
        <v>36.965749195243788</v>
      </c>
      <c r="E121" s="284">
        <f>E110*F273</f>
        <v>1.2663596508893383E-2</v>
      </c>
      <c r="F121" s="200">
        <f>F110*F273</f>
        <v>0.86230284714469607</v>
      </c>
      <c r="G121" s="200">
        <f>G110*F273</f>
        <v>5.8907344355408557E-2</v>
      </c>
      <c r="H121" s="191">
        <f t="shared" si="62"/>
        <v>88.16984248441284</v>
      </c>
      <c r="S121" s="211"/>
      <c r="T121" s="211"/>
    </row>
    <row r="122" spans="1:20">
      <c r="A122" s="198">
        <f>A111</f>
        <v>2010</v>
      </c>
      <c r="B122" s="200">
        <f>B111*F274</f>
        <v>32.268226835152397</v>
      </c>
      <c r="C122" s="200">
        <f>C111*F274</f>
        <v>15.664964445567053</v>
      </c>
      <c r="D122" s="200">
        <f>D111*F274</f>
        <v>35.486883866127876</v>
      </c>
      <c r="E122" s="284">
        <f>E111*F274</f>
        <v>1.2389844288221768E-2</v>
      </c>
      <c r="F122" s="200">
        <f>F111*F274</f>
        <v>0.9208926502536936</v>
      </c>
      <c r="G122" s="200">
        <f>G111*F274</f>
        <v>5.650326245832385E-2</v>
      </c>
      <c r="H122" s="191">
        <f t="shared" ref="H122:H130" si="63">SUM(B122:G122)</f>
        <v>84.409860903847559</v>
      </c>
      <c r="S122" s="211"/>
      <c r="T122" s="211"/>
    </row>
    <row r="123" spans="1:20">
      <c r="A123" s="198">
        <f>A112</f>
        <v>2011</v>
      </c>
      <c r="B123" s="200">
        <f>B112*F275</f>
        <v>32.782710289133092</v>
      </c>
      <c r="C123" s="200">
        <f>C112*F275</f>
        <v>16.242699433154101</v>
      </c>
      <c r="D123" s="200">
        <f>D112*F275</f>
        <v>35.225158874140149</v>
      </c>
      <c r="E123" s="284">
        <f>E112*F275</f>
        <v>1.209876979559856E-2</v>
      </c>
      <c r="F123" s="200">
        <f>F112*F275</f>
        <v>0.87242788065907995</v>
      </c>
      <c r="G123" s="200">
        <f>G112*F275</f>
        <v>5.8513177986624906E-2</v>
      </c>
      <c r="H123" s="191">
        <f t="shared" si="63"/>
        <v>85.193608424868643</v>
      </c>
      <c r="S123" s="211"/>
      <c r="T123" s="211"/>
    </row>
    <row r="124" spans="1:20">
      <c r="A124" s="198" t="s">
        <v>195</v>
      </c>
      <c r="B124" s="200">
        <f>33572049/1000000</f>
        <v>33.572049</v>
      </c>
      <c r="C124" s="200">
        <f>16873256/1000000</f>
        <v>16.873256000000001</v>
      </c>
      <c r="D124" s="200">
        <f>38118657/1000000</f>
        <v>38.118656999999999</v>
      </c>
      <c r="E124" s="284">
        <f>12745/1000000</f>
        <v>1.2744999999999999E-2</v>
      </c>
      <c r="F124" s="200">
        <f>867846/1000000</f>
        <v>0.86784600000000001</v>
      </c>
      <c r="G124" s="200">
        <f>58750/1000000</f>
        <v>5.8749999999999997E-2</v>
      </c>
      <c r="H124" s="191">
        <f t="shared" si="63"/>
        <v>89.503303000000002</v>
      </c>
      <c r="S124" s="211"/>
      <c r="T124" s="211"/>
    </row>
    <row r="125" spans="1:20">
      <c r="A125" s="198">
        <f t="shared" ref="A125:A130" si="64">A113</f>
        <v>2012</v>
      </c>
      <c r="B125" s="200">
        <f t="shared" ref="B125:B130" si="65">B113*F276</f>
        <v>31.414717208794894</v>
      </c>
      <c r="C125" s="200">
        <f t="shared" ref="C125:C130" si="66">C113*F276</f>
        <v>15.152890622829997</v>
      </c>
      <c r="D125" s="200">
        <f t="shared" ref="D125:D130" si="67">D113*F276</f>
        <v>34.794206367268274</v>
      </c>
      <c r="E125" s="284">
        <f t="shared" ref="E125:E130" si="68">E113*F276</f>
        <v>1.198652931394288E-2</v>
      </c>
      <c r="F125" s="200">
        <f t="shared" ref="F125:F130" si="69">F113*F276</f>
        <v>0.88173008826903221</v>
      </c>
      <c r="G125" s="200">
        <f t="shared" ref="G125:G130" si="70">G113*F276</f>
        <v>5.8461831598795783E-2</v>
      </c>
      <c r="H125" s="191">
        <f t="shared" si="63"/>
        <v>82.313992648074944</v>
      </c>
      <c r="S125" s="211"/>
      <c r="T125" s="211"/>
    </row>
    <row r="126" spans="1:20">
      <c r="A126" s="198">
        <f t="shared" si="64"/>
        <v>2013</v>
      </c>
      <c r="B126" s="200">
        <f t="shared" si="65"/>
        <v>32.91909897366795</v>
      </c>
      <c r="C126" s="200">
        <f t="shared" si="66"/>
        <v>14.726321952898472</v>
      </c>
      <c r="D126" s="200">
        <f t="shared" si="67"/>
        <v>35.1931948959378</v>
      </c>
      <c r="E126" s="284">
        <f t="shared" si="68"/>
        <v>1.1717995583689635E-2</v>
      </c>
      <c r="F126" s="200">
        <f t="shared" si="69"/>
        <v>0.87005646960533178</v>
      </c>
      <c r="G126" s="200">
        <f t="shared" si="70"/>
        <v>5.7566357607372234E-2</v>
      </c>
      <c r="H126" s="191">
        <f t="shared" si="63"/>
        <v>83.77795664530062</v>
      </c>
      <c r="S126" s="211"/>
      <c r="T126" s="211"/>
    </row>
    <row r="127" spans="1:20">
      <c r="A127" s="198">
        <f t="shared" si="64"/>
        <v>2014</v>
      </c>
      <c r="B127" s="200">
        <f t="shared" si="65"/>
        <v>32.708104602709149</v>
      </c>
      <c r="C127" s="200">
        <f t="shared" si="66"/>
        <v>14.883757747872911</v>
      </c>
      <c r="D127" s="200">
        <f t="shared" si="67"/>
        <v>34.855383481463988</v>
      </c>
      <c r="E127" s="284">
        <f t="shared" si="68"/>
        <v>1.0177836892245141E-2</v>
      </c>
      <c r="F127" s="200">
        <f t="shared" si="69"/>
        <v>0.8535620683855244</v>
      </c>
      <c r="G127" s="200">
        <f t="shared" si="70"/>
        <v>5.6222404723960062E-2</v>
      </c>
      <c r="H127" s="191">
        <f t="shared" si="63"/>
        <v>83.367208142047772</v>
      </c>
      <c r="S127" s="211"/>
      <c r="T127" s="211"/>
    </row>
    <row r="128" spans="1:20">
      <c r="A128" s="198">
        <f t="shared" si="64"/>
        <v>2015</v>
      </c>
      <c r="B128" s="200">
        <f t="shared" si="65"/>
        <v>30.463119293794204</v>
      </c>
      <c r="C128" s="200">
        <f t="shared" si="66"/>
        <v>16.153324082412098</v>
      </c>
      <c r="D128" s="200">
        <f t="shared" si="67"/>
        <v>32.722428224112271</v>
      </c>
      <c r="E128" s="284">
        <f t="shared" si="68"/>
        <v>9.7288828061090141E-3</v>
      </c>
      <c r="F128" s="200">
        <f t="shared" si="69"/>
        <v>0.60692882484708388</v>
      </c>
      <c r="G128" s="200">
        <f t="shared" si="70"/>
        <v>5.5763981369656469E-2</v>
      </c>
      <c r="H128" s="191">
        <f t="shared" si="63"/>
        <v>80.011293289341438</v>
      </c>
      <c r="S128" s="211"/>
      <c r="T128" s="211"/>
    </row>
    <row r="129" spans="1:22">
      <c r="A129" s="198">
        <f t="shared" si="64"/>
        <v>2016</v>
      </c>
      <c r="B129" s="200">
        <f t="shared" si="65"/>
        <v>28.607355836201457</v>
      </c>
      <c r="C129" s="200">
        <f t="shared" si="66"/>
        <v>16.694721833670741</v>
      </c>
      <c r="D129" s="200">
        <f t="shared" si="67"/>
        <v>31.357851324411428</v>
      </c>
      <c r="E129" s="284">
        <f t="shared" si="68"/>
        <v>9.3933110593620098E-3</v>
      </c>
      <c r="F129" s="200">
        <f t="shared" si="69"/>
        <v>0.31705562431625861</v>
      </c>
      <c r="G129" s="200">
        <f t="shared" si="70"/>
        <v>5.6101435023748716E-2</v>
      </c>
      <c r="H129" s="191">
        <f t="shared" si="63"/>
        <v>77.04247936468299</v>
      </c>
      <c r="S129" s="211"/>
      <c r="T129" s="211"/>
    </row>
    <row r="130" spans="1:22">
      <c r="A130" s="198">
        <f t="shared" si="64"/>
        <v>2017</v>
      </c>
      <c r="B130" s="200">
        <f t="shared" si="65"/>
        <v>28.765177813469275</v>
      </c>
      <c r="C130" s="200">
        <f t="shared" si="66"/>
        <v>17.311367251033321</v>
      </c>
      <c r="D130" s="200">
        <f t="shared" si="67"/>
        <v>30.430694600668364</v>
      </c>
      <c r="E130" s="284">
        <f t="shared" si="68"/>
        <v>7.2349078786787778E-3</v>
      </c>
      <c r="F130" s="200">
        <f t="shared" si="69"/>
        <v>0.35365947341473997</v>
      </c>
      <c r="G130" s="200">
        <f t="shared" si="70"/>
        <v>5.6900898563118259E-2</v>
      </c>
      <c r="H130" s="191">
        <f t="shared" si="63"/>
        <v>76.925034945027491</v>
      </c>
      <c r="S130" s="211"/>
      <c r="T130" s="211"/>
    </row>
    <row r="131" spans="1:22">
      <c r="A131" s="202"/>
      <c r="B131" s="203"/>
      <c r="C131" s="203"/>
      <c r="D131" s="203"/>
      <c r="E131" s="204"/>
      <c r="F131" s="203"/>
      <c r="G131" s="203"/>
      <c r="H131" s="203"/>
      <c r="T131" s="211"/>
      <c r="U131" s="211"/>
      <c r="V131" s="211"/>
    </row>
    <row r="132" spans="1:22" ht="13">
      <c r="A132" s="242" t="s">
        <v>258</v>
      </c>
      <c r="B132" s="242"/>
      <c r="C132" s="242"/>
      <c r="D132" s="242"/>
      <c r="E132" s="242"/>
      <c r="F132" s="242"/>
      <c r="G132" s="242"/>
      <c r="H132" s="242"/>
      <c r="T132" s="211"/>
      <c r="U132" s="211"/>
      <c r="V132" s="211"/>
    </row>
    <row r="133" spans="1:22" s="194" customFormat="1" ht="39">
      <c r="A133" s="272" t="str">
        <f t="shared" ref="A133:H133" si="71">A107</f>
        <v>Year</v>
      </c>
      <c r="B133" s="273" t="str">
        <f t="shared" si="71"/>
        <v xml:space="preserve">Residential </v>
      </c>
      <c r="C133" s="273" t="str">
        <f t="shared" si="71"/>
        <v>General Service &lt; 50 kW</v>
      </c>
      <c r="D133" s="273" t="str">
        <f t="shared" si="71"/>
        <v>General Service 50 to 4,999 kW</v>
      </c>
      <c r="E133" s="273" t="str">
        <f t="shared" si="71"/>
        <v>Sentinel Lights</v>
      </c>
      <c r="F133" s="273" t="str">
        <f t="shared" si="71"/>
        <v>Street Lights</v>
      </c>
      <c r="G133" s="263" t="str">
        <f t="shared" si="71"/>
        <v xml:space="preserve">Unmetered Scattered Loads </v>
      </c>
      <c r="H133" s="263" t="str">
        <f t="shared" si="71"/>
        <v>Total</v>
      </c>
      <c r="S133" s="285"/>
      <c r="T133" s="285"/>
    </row>
    <row r="134" spans="1:22" ht="13">
      <c r="A134" s="407" t="s">
        <v>196</v>
      </c>
      <c r="B134" s="408"/>
      <c r="C134" s="408"/>
      <c r="D134" s="408"/>
      <c r="E134" s="408"/>
      <c r="F134" s="408"/>
      <c r="G134" s="408"/>
      <c r="H134" s="409"/>
      <c r="S134" s="211"/>
      <c r="T134" s="211"/>
    </row>
    <row r="135" spans="1:22">
      <c r="A135" s="198">
        <f>A120</f>
        <v>2008</v>
      </c>
      <c r="B135" s="206">
        <f>'[15]Rate Class Customer Model'!B4</f>
        <v>2704.25</v>
      </c>
      <c r="C135" s="206">
        <f>'[15]Rate Class Customer Model'!C4</f>
        <v>508.33333333333331</v>
      </c>
      <c r="D135" s="206">
        <f>'[15]Rate Class Customer Model'!D4</f>
        <v>65.583333333333329</v>
      </c>
      <c r="E135" s="206">
        <f>'[15]Rate Class Customer Model'!E4</f>
        <v>12.5</v>
      </c>
      <c r="F135" s="206">
        <f>'[15]Rate Class Customer Model'!F4</f>
        <v>1061</v>
      </c>
      <c r="G135" s="206">
        <f>'[15]Rate Class Customer Model'!G4</f>
        <v>17.416666666666668</v>
      </c>
      <c r="H135" s="206">
        <f t="shared" ref="H135:H136" si="72">SUM(B135:G135)</f>
        <v>4369.0833333333339</v>
      </c>
      <c r="S135" s="211"/>
      <c r="T135" s="211"/>
    </row>
    <row r="136" spans="1:22">
      <c r="A136" s="198">
        <f>A121</f>
        <v>2009</v>
      </c>
      <c r="B136" s="206">
        <f>'[15]Rate Class Customer Model'!B5</f>
        <v>2744.0833333333335</v>
      </c>
      <c r="C136" s="206">
        <f>'[15]Rate Class Customer Model'!C5</f>
        <v>497.91666666666669</v>
      </c>
      <c r="D136" s="206">
        <f>'[15]Rate Class Customer Model'!D5</f>
        <v>66.333333333333329</v>
      </c>
      <c r="E136" s="206">
        <f>'[15]Rate Class Customer Model'!E5</f>
        <v>12</v>
      </c>
      <c r="F136" s="206">
        <f>'[15]Rate Class Customer Model'!F5</f>
        <v>1061</v>
      </c>
      <c r="G136" s="206">
        <f>'[15]Rate Class Customer Model'!G5</f>
        <v>18</v>
      </c>
      <c r="H136" s="206">
        <f t="shared" si="72"/>
        <v>4399.3333333333339</v>
      </c>
      <c r="S136" s="211"/>
      <c r="T136" s="211"/>
    </row>
    <row r="137" spans="1:22">
      <c r="A137" s="198">
        <f>A122</f>
        <v>2010</v>
      </c>
      <c r="B137" s="206">
        <f>'[15]Rate Class Customer Model'!B6</f>
        <v>2757</v>
      </c>
      <c r="C137" s="206">
        <f>'[15]Rate Class Customer Model'!C6</f>
        <v>495.58333333333331</v>
      </c>
      <c r="D137" s="206">
        <f>'[15]Rate Class Customer Model'!D6</f>
        <v>66.083333333333329</v>
      </c>
      <c r="E137" s="206">
        <f>'[15]Rate Class Customer Model'!E6</f>
        <v>11.5</v>
      </c>
      <c r="F137" s="206">
        <f>'[15]Rate Class Customer Model'!F6</f>
        <v>1061</v>
      </c>
      <c r="G137" s="206">
        <f>'[15]Rate Class Customer Model'!G6</f>
        <v>18</v>
      </c>
      <c r="H137" s="206">
        <f t="shared" ref="H137:H145" si="73">SUM(B137:G137)</f>
        <v>4409.166666666667</v>
      </c>
      <c r="I137" s="197"/>
      <c r="S137" s="211"/>
      <c r="T137" s="211"/>
    </row>
    <row r="138" spans="1:22">
      <c r="A138" s="198">
        <f>A123</f>
        <v>2011</v>
      </c>
      <c r="B138" s="206">
        <f>'[15]Rate Class Customer Model'!B7</f>
        <v>2794.0833333333335</v>
      </c>
      <c r="C138" s="206">
        <f>'[15]Rate Class Customer Model'!C7</f>
        <v>503.91666666666669</v>
      </c>
      <c r="D138" s="206">
        <f>'[15]Rate Class Customer Model'!D7</f>
        <v>64.5</v>
      </c>
      <c r="E138" s="206">
        <f>'[15]Rate Class Customer Model'!E7</f>
        <v>11</v>
      </c>
      <c r="F138" s="206">
        <f>'[15]Rate Class Customer Model'!F7</f>
        <v>1004</v>
      </c>
      <c r="G138" s="206">
        <f>'[15]Rate Class Customer Model'!G7</f>
        <v>18</v>
      </c>
      <c r="H138" s="206">
        <f t="shared" si="73"/>
        <v>4395.5</v>
      </c>
      <c r="I138" s="197"/>
      <c r="S138" s="211"/>
      <c r="T138" s="211"/>
    </row>
    <row r="139" spans="1:22">
      <c r="A139" s="198" t="s">
        <v>195</v>
      </c>
      <c r="B139" s="206">
        <v>2812</v>
      </c>
      <c r="C139" s="206">
        <v>493</v>
      </c>
      <c r="D139" s="206">
        <v>68</v>
      </c>
      <c r="E139" s="206">
        <v>12</v>
      </c>
      <c r="F139" s="206">
        <v>1004</v>
      </c>
      <c r="G139" s="206">
        <v>18</v>
      </c>
      <c r="H139" s="206">
        <f t="shared" si="73"/>
        <v>4407</v>
      </c>
      <c r="I139" s="197"/>
      <c r="S139" s="211"/>
      <c r="T139" s="211"/>
    </row>
    <row r="140" spans="1:22">
      <c r="A140" s="198">
        <f t="shared" ref="A140:A145" si="74">A125</f>
        <v>2012</v>
      </c>
      <c r="B140" s="206">
        <f>'[15]Rate Class Customer Model'!B8</f>
        <v>2838</v>
      </c>
      <c r="C140" s="206">
        <f>'[15]Rate Class Customer Model'!C8</f>
        <v>494.41666666666669</v>
      </c>
      <c r="D140" s="206">
        <f>'[15]Rate Class Customer Model'!D8</f>
        <v>66.583333333333329</v>
      </c>
      <c r="E140" s="206">
        <f>'[15]Rate Class Customer Model'!E8</f>
        <v>11</v>
      </c>
      <c r="F140" s="206">
        <f>'[15]Rate Class Customer Model'!F8</f>
        <v>1004</v>
      </c>
      <c r="G140" s="206">
        <f>'[15]Rate Class Customer Model'!G8</f>
        <v>18</v>
      </c>
      <c r="H140" s="206">
        <f t="shared" si="73"/>
        <v>4432</v>
      </c>
      <c r="I140" s="197"/>
      <c r="S140" s="211"/>
      <c r="T140" s="211"/>
    </row>
    <row r="141" spans="1:22">
      <c r="A141" s="198">
        <f t="shared" si="74"/>
        <v>2013</v>
      </c>
      <c r="B141" s="206">
        <f>'[15]Rate Class Customer Model'!B9</f>
        <v>2858.5</v>
      </c>
      <c r="C141" s="206">
        <f>'[15]Rate Class Customer Model'!C9</f>
        <v>492.75</v>
      </c>
      <c r="D141" s="206">
        <f>'[15]Rate Class Customer Model'!D9</f>
        <v>70</v>
      </c>
      <c r="E141" s="206">
        <f>'[15]Rate Class Customer Model'!E9</f>
        <v>14</v>
      </c>
      <c r="F141" s="206">
        <f>'[15]Rate Class Customer Model'!F9</f>
        <v>1040.5</v>
      </c>
      <c r="G141" s="206">
        <f>'[15]Rate Class Customer Model'!G9</f>
        <v>18.25</v>
      </c>
      <c r="H141" s="206">
        <f t="shared" si="73"/>
        <v>4494</v>
      </c>
      <c r="I141" s="197"/>
      <c r="S141" s="211"/>
      <c r="T141" s="211"/>
    </row>
    <row r="142" spans="1:22">
      <c r="A142" s="198">
        <f t="shared" si="74"/>
        <v>2014</v>
      </c>
      <c r="B142" s="206">
        <f>'[15]Rate Class Customer Model'!B10</f>
        <v>2878.25</v>
      </c>
      <c r="C142" s="206">
        <f>'[15]Rate Class Customer Model'!C10</f>
        <v>513.16666666666663</v>
      </c>
      <c r="D142" s="206">
        <f>'[15]Rate Class Customer Model'!D10</f>
        <v>71.083333333333329</v>
      </c>
      <c r="E142" s="206">
        <f>'[15]Rate Class Customer Model'!E10</f>
        <v>12.666666666666666</v>
      </c>
      <c r="F142" s="206">
        <f>'[15]Rate Class Customer Model'!F10</f>
        <v>1046</v>
      </c>
      <c r="G142" s="206">
        <f>'[15]Rate Class Customer Model'!G10</f>
        <v>17.75</v>
      </c>
      <c r="H142" s="206">
        <f t="shared" si="73"/>
        <v>4538.9166666666661</v>
      </c>
      <c r="I142" s="197"/>
      <c r="S142" s="211"/>
      <c r="T142" s="211"/>
    </row>
    <row r="143" spans="1:22">
      <c r="A143" s="198">
        <f t="shared" si="74"/>
        <v>2015</v>
      </c>
      <c r="B143" s="206">
        <f>'[15]Rate Class Customer Model'!B11</f>
        <v>2895.0833333333335</v>
      </c>
      <c r="C143" s="206">
        <f>'[15]Rate Class Customer Model'!C11</f>
        <v>537.41666666666663</v>
      </c>
      <c r="D143" s="206">
        <f>'[15]Rate Class Customer Model'!D11</f>
        <v>55.083333333333336</v>
      </c>
      <c r="E143" s="206">
        <f>'[15]Rate Class Customer Model'!E11</f>
        <v>9</v>
      </c>
      <c r="F143" s="206">
        <f>'[15]Rate Class Customer Model'!F11</f>
        <v>977.25</v>
      </c>
      <c r="G143" s="206">
        <f>'[15]Rate Class Customer Model'!G11</f>
        <v>17</v>
      </c>
      <c r="H143" s="206">
        <f t="shared" si="73"/>
        <v>4490.8333333333339</v>
      </c>
      <c r="I143" s="197"/>
      <c r="S143" s="211"/>
      <c r="T143" s="211"/>
    </row>
    <row r="144" spans="1:22">
      <c r="A144" s="198">
        <f t="shared" si="74"/>
        <v>2016</v>
      </c>
      <c r="B144" s="206">
        <f>'[15]Rate Class Customer Model'!B12</f>
        <v>2895.9166666666665</v>
      </c>
      <c r="C144" s="206">
        <f>'[15]Rate Class Customer Model'!C12</f>
        <v>544.75</v>
      </c>
      <c r="D144" s="206">
        <f>'[15]Rate Class Customer Model'!D12</f>
        <v>50.5</v>
      </c>
      <c r="E144" s="206">
        <f>'[15]Rate Class Customer Model'!E12</f>
        <v>8.5</v>
      </c>
      <c r="F144" s="206">
        <f>'[15]Rate Class Customer Model'!F12</f>
        <v>896.16666666666663</v>
      </c>
      <c r="G144" s="206">
        <f>'[15]Rate Class Customer Model'!G12</f>
        <v>17</v>
      </c>
      <c r="H144" s="206">
        <f t="shared" si="73"/>
        <v>4412.833333333333</v>
      </c>
      <c r="I144" s="197"/>
      <c r="S144" s="211"/>
      <c r="T144" s="211"/>
    </row>
    <row r="145" spans="1:20">
      <c r="A145" s="198">
        <f t="shared" si="74"/>
        <v>2017</v>
      </c>
      <c r="B145" s="206">
        <f>AVERAGE('[16]PSP less Loss factor'!$E$194:$E$205)</f>
        <v>2925.9166666666665</v>
      </c>
      <c r="C145" s="206">
        <f>AVERAGE('[16]PSP less Loss factor'!$H$194:$H$205)</f>
        <v>548.25</v>
      </c>
      <c r="D145" s="206">
        <f>AVERAGE('[16]PSP less Loss factor'!$L$194:$L$205)</f>
        <v>43.25</v>
      </c>
      <c r="E145" s="206">
        <f>AVERAGE('[16]PSP less Loss factor'!$T$194:$T$205)</f>
        <v>6</v>
      </c>
      <c r="F145" s="206">
        <f>AVERAGE('[16]PSP less Loss factor'!$P$194:$P$205)</f>
        <v>1063</v>
      </c>
      <c r="G145" s="206">
        <f>AVERAGE('[16]PSP less Loss factor'!$W$194:$W$205)</f>
        <v>17</v>
      </c>
      <c r="H145" s="206">
        <f t="shared" si="73"/>
        <v>4603.4166666666661</v>
      </c>
      <c r="I145" s="197"/>
      <c r="S145" s="211"/>
      <c r="T145" s="211"/>
    </row>
    <row r="146" spans="1:20" ht="13">
      <c r="A146" s="407" t="s">
        <v>197</v>
      </c>
      <c r="B146" s="408"/>
      <c r="C146" s="408"/>
      <c r="D146" s="408"/>
      <c r="E146" s="408"/>
      <c r="F146" s="408"/>
      <c r="G146" s="409"/>
      <c r="H146" s="424"/>
      <c r="S146" s="211"/>
      <c r="T146" s="211"/>
    </row>
    <row r="147" spans="1:20">
      <c r="A147" s="209">
        <f t="shared" ref="A147:A148" si="75">A135</f>
        <v>2008</v>
      </c>
      <c r="B147" s="210">
        <f t="shared" ref="B147:G150" si="76">B109*1000000/B135</f>
        <v>12835.228147868716</v>
      </c>
      <c r="C147" s="210">
        <f t="shared" si="76"/>
        <v>33647.972162429178</v>
      </c>
      <c r="D147" s="210">
        <f t="shared" si="76"/>
        <v>556083.19967082702</v>
      </c>
      <c r="E147" s="210">
        <f t="shared" si="76"/>
        <v>1207.0553561307386</v>
      </c>
      <c r="F147" s="210">
        <f t="shared" si="76"/>
        <v>820.66387541171252</v>
      </c>
      <c r="G147" s="210">
        <f>G109*1000000/G135</f>
        <v>3420.7626394705649</v>
      </c>
      <c r="H147" s="425"/>
      <c r="S147" s="211"/>
      <c r="T147" s="211"/>
    </row>
    <row r="148" spans="1:20">
      <c r="A148" s="209">
        <f t="shared" si="75"/>
        <v>2009</v>
      </c>
      <c r="B148" s="210">
        <f t="shared" si="76"/>
        <v>12502.348443429601</v>
      </c>
      <c r="C148" s="210">
        <f t="shared" si="76"/>
        <v>32708.039923759407</v>
      </c>
      <c r="D148" s="210">
        <f t="shared" si="76"/>
        <v>560854.83491517673</v>
      </c>
      <c r="E148" s="210">
        <f t="shared" si="76"/>
        <v>1062.0833378991119</v>
      </c>
      <c r="F148" s="210">
        <f t="shared" si="76"/>
        <v>817.95085999986111</v>
      </c>
      <c r="G148" s="210">
        <f t="shared" si="76"/>
        <v>3293.6672124609022</v>
      </c>
      <c r="H148" s="425"/>
      <c r="S148" s="211"/>
      <c r="T148" s="211"/>
    </row>
    <row r="149" spans="1:20">
      <c r="A149" s="209">
        <f>A137</f>
        <v>2010</v>
      </c>
      <c r="B149" s="210">
        <f t="shared" si="76"/>
        <v>11638.52952562021</v>
      </c>
      <c r="C149" s="210">
        <f t="shared" si="76"/>
        <v>31432.034943340903</v>
      </c>
      <c r="D149" s="210">
        <f t="shared" si="76"/>
        <v>533993.16911698319</v>
      </c>
      <c r="E149" s="210">
        <f t="shared" si="76"/>
        <v>1071.3411478655157</v>
      </c>
      <c r="F149" s="210">
        <f t="shared" si="76"/>
        <v>863.08466540999041</v>
      </c>
      <c r="G149" s="210">
        <f t="shared" si="76"/>
        <v>3121.4817263891509</v>
      </c>
      <c r="H149" s="425"/>
      <c r="S149" s="211"/>
      <c r="T149" s="211"/>
    </row>
    <row r="150" spans="1:20">
      <c r="A150" s="209">
        <f>A138</f>
        <v>2011</v>
      </c>
      <c r="B150" s="210">
        <f t="shared" si="76"/>
        <v>11629.944054991427</v>
      </c>
      <c r="C150" s="210">
        <f t="shared" si="76"/>
        <v>31950.054988840438</v>
      </c>
      <c r="D150" s="210">
        <f t="shared" si="76"/>
        <v>541334.08167846943</v>
      </c>
      <c r="E150" s="210">
        <f t="shared" si="76"/>
        <v>1090.2363374559225</v>
      </c>
      <c r="F150" s="210">
        <f t="shared" si="76"/>
        <v>861.3267752764192</v>
      </c>
      <c r="G150" s="210">
        <f t="shared" si="76"/>
        <v>3222.206028320385</v>
      </c>
      <c r="H150" s="425"/>
      <c r="S150" s="211"/>
      <c r="T150" s="211"/>
    </row>
    <row r="151" spans="1:20">
      <c r="A151" s="209">
        <f t="shared" ref="A151:A156" si="77">A140</f>
        <v>2012</v>
      </c>
      <c r="B151" s="210">
        <f t="shared" ref="B151:B156" si="78">B113*1000000/B140</f>
        <v>10931.148451773703</v>
      </c>
      <c r="C151" s="210">
        <f t="shared" ref="C151:G151" si="79">C113*1000000/C140</f>
        <v>30265.469469675703</v>
      </c>
      <c r="D151" s="210">
        <f t="shared" si="79"/>
        <v>516043.64072909614</v>
      </c>
      <c r="E151" s="210">
        <f t="shared" si="79"/>
        <v>1076.083062094719</v>
      </c>
      <c r="F151" s="210">
        <f t="shared" si="79"/>
        <v>867.25532876358398</v>
      </c>
      <c r="G151" s="210">
        <f t="shared" si="79"/>
        <v>3207.3395627100881</v>
      </c>
      <c r="H151" s="425"/>
      <c r="S151" s="211"/>
      <c r="T151" s="211"/>
    </row>
    <row r="152" spans="1:20">
      <c r="A152" s="209">
        <f t="shared" si="77"/>
        <v>2013</v>
      </c>
      <c r="B152" s="210">
        <f t="shared" si="78"/>
        <v>11486.954313316961</v>
      </c>
      <c r="C152" s="210">
        <f t="shared" ref="C152:F152" si="80">C114*1000000/C141</f>
        <v>29810.057152609585</v>
      </c>
      <c r="D152" s="210">
        <f t="shared" si="80"/>
        <v>501482.52653837408</v>
      </c>
      <c r="E152" s="210">
        <f t="shared" si="80"/>
        <v>834.87305552251405</v>
      </c>
      <c r="F152" s="210">
        <f t="shared" si="80"/>
        <v>834.06617076404518</v>
      </c>
      <c r="G152" s="210">
        <f>G114*1000000/G141</f>
        <v>3146.3065405921252</v>
      </c>
      <c r="H152" s="425"/>
      <c r="S152" s="211"/>
      <c r="T152" s="211"/>
    </row>
    <row r="153" spans="1:20">
      <c r="A153" s="209">
        <f t="shared" si="77"/>
        <v>2014</v>
      </c>
      <c r="B153" s="210">
        <f t="shared" si="78"/>
        <v>11506.719143573771</v>
      </c>
      <c r="C153" s="210">
        <f t="shared" ref="C153:G153" si="81">C115*1000000/C142</f>
        <v>29368.29963546494</v>
      </c>
      <c r="D153" s="210">
        <f t="shared" si="81"/>
        <v>496508.54641091399</v>
      </c>
      <c r="E153" s="210">
        <f t="shared" si="81"/>
        <v>813.61283871627461</v>
      </c>
      <c r="F153" s="210">
        <f t="shared" si="81"/>
        <v>826.28157927490145</v>
      </c>
      <c r="G153" s="210">
        <f t="shared" si="81"/>
        <v>3207.271374011485</v>
      </c>
      <c r="H153" s="425"/>
      <c r="S153" s="211"/>
      <c r="T153" s="211"/>
    </row>
    <row r="154" spans="1:20">
      <c r="A154" s="209">
        <f t="shared" si="77"/>
        <v>2015</v>
      </c>
      <c r="B154" s="210">
        <f t="shared" si="78"/>
        <v>10588.032778561355</v>
      </c>
      <c r="C154" s="210">
        <f t="shared" ref="C154:G154" si="82">C116*1000000/C143</f>
        <v>30244.941621956888</v>
      </c>
      <c r="D154" s="210">
        <f t="shared" si="82"/>
        <v>597760.59903177014</v>
      </c>
      <c r="E154" s="210">
        <f t="shared" si="82"/>
        <v>1087.7333333333333</v>
      </c>
      <c r="F154" s="210">
        <f t="shared" si="82"/>
        <v>624.93386543873112</v>
      </c>
      <c r="G154" s="210">
        <f t="shared" si="82"/>
        <v>3300.705882352941</v>
      </c>
      <c r="H154" s="425"/>
      <c r="S154" s="211"/>
      <c r="T154" s="211"/>
    </row>
    <row r="155" spans="1:20">
      <c r="A155" s="209">
        <f t="shared" si="77"/>
        <v>2016</v>
      </c>
      <c r="B155" s="210">
        <f t="shared" si="78"/>
        <v>9880.3751776927274</v>
      </c>
      <c r="C155" s="210">
        <f t="shared" ref="C155:G155" si="83">C117*1000000/C144</f>
        <v>30652.346525929319</v>
      </c>
      <c r="D155" s="210">
        <f t="shared" si="83"/>
        <v>621064.48731218674</v>
      </c>
      <c r="E155" s="210">
        <f t="shared" si="83"/>
        <v>1105.3035294117647</v>
      </c>
      <c r="F155" s="210">
        <f t="shared" si="83"/>
        <v>353.85753986033683</v>
      </c>
      <c r="G155" s="210">
        <f t="shared" si="83"/>
        <v>3300.705882352941</v>
      </c>
      <c r="H155" s="425"/>
      <c r="S155" s="211"/>
      <c r="T155" s="211"/>
    </row>
    <row r="156" spans="1:20">
      <c r="A156" s="209">
        <f t="shared" si="77"/>
        <v>2017</v>
      </c>
      <c r="B156" s="210">
        <f t="shared" si="78"/>
        <v>9694.8642875452151</v>
      </c>
      <c r="C156" s="210">
        <f t="shared" ref="C156:F156" si="84">C118*1000000/C145</f>
        <v>31137.902416780667</v>
      </c>
      <c r="D156" s="210">
        <f t="shared" si="84"/>
        <v>693844.8634722617</v>
      </c>
      <c r="E156" s="210">
        <f t="shared" si="84"/>
        <v>1189.1000000000001</v>
      </c>
      <c r="F156" s="210">
        <f t="shared" si="84"/>
        <v>328.08672263897705</v>
      </c>
      <c r="G156" s="210">
        <f>G118*1000000/G145</f>
        <v>3300.705882352941</v>
      </c>
      <c r="H156" s="425"/>
      <c r="S156" s="211"/>
      <c r="T156" s="211"/>
    </row>
    <row r="157" spans="1:20" ht="13">
      <c r="A157" s="407" t="s">
        <v>198</v>
      </c>
      <c r="B157" s="408"/>
      <c r="C157" s="408"/>
      <c r="D157" s="408"/>
      <c r="E157" s="408"/>
      <c r="F157" s="408"/>
      <c r="G157" s="409"/>
      <c r="H157" s="425"/>
      <c r="S157" s="211"/>
      <c r="T157" s="211"/>
    </row>
    <row r="158" spans="1:20">
      <c r="A158" s="209">
        <f t="shared" ref="A158:A159" si="85">A135</f>
        <v>2008</v>
      </c>
      <c r="B158" s="210">
        <f>B120*1000000/B135</f>
        <v>12614.666634686546</v>
      </c>
      <c r="C158" s="210">
        <f t="shared" ref="C158:G158" si="86">C120*1000000/C135</f>
        <v>33069.762911283971</v>
      </c>
      <c r="D158" s="210">
        <f t="shared" si="86"/>
        <v>546527.42469265114</v>
      </c>
      <c r="E158" s="210">
        <f t="shared" si="86"/>
        <v>1186.3132272978321</v>
      </c>
      <c r="F158" s="210">
        <f t="shared" si="86"/>
        <v>806.56152646322039</v>
      </c>
      <c r="G158" s="210">
        <f t="shared" si="86"/>
        <v>3361.9800003692917</v>
      </c>
      <c r="H158" s="425"/>
      <c r="S158" s="211"/>
      <c r="T158" s="211"/>
    </row>
    <row r="159" spans="1:20">
      <c r="A159" s="209">
        <f t="shared" si="85"/>
        <v>2009</v>
      </c>
      <c r="B159" s="210">
        <f t="shared" ref="B159:G168" si="87">B121*1000000/B136</f>
        <v>12422.494736803719</v>
      </c>
      <c r="C159" s="210">
        <f t="shared" si="87"/>
        <v>32499.130514763368</v>
      </c>
      <c r="D159" s="210">
        <f t="shared" si="87"/>
        <v>557272.6009333235</v>
      </c>
      <c r="E159" s="210">
        <f t="shared" si="87"/>
        <v>1055.2997090744486</v>
      </c>
      <c r="F159" s="210">
        <f t="shared" si="87"/>
        <v>812.72652888284267</v>
      </c>
      <c r="G159" s="210">
        <f t="shared" si="87"/>
        <v>3272.6302419671424</v>
      </c>
      <c r="H159" s="425"/>
      <c r="S159" s="211"/>
      <c r="T159" s="211"/>
    </row>
    <row r="160" spans="1:20">
      <c r="A160" s="209">
        <f t="shared" ref="A160:A168" si="88">A137</f>
        <v>2010</v>
      </c>
      <c r="B160" s="210">
        <f t="shared" si="87"/>
        <v>11704.108391422706</v>
      </c>
      <c r="C160" s="210">
        <f t="shared" si="87"/>
        <v>31609.142987523901</v>
      </c>
      <c r="D160" s="210">
        <f t="shared" si="87"/>
        <v>537002.02571694145</v>
      </c>
      <c r="E160" s="210">
        <f t="shared" si="87"/>
        <v>1077.3777641931972</v>
      </c>
      <c r="F160" s="210">
        <f t="shared" si="87"/>
        <v>867.94783247284977</v>
      </c>
      <c r="G160" s="210">
        <f t="shared" si="87"/>
        <v>3139.0701365735472</v>
      </c>
      <c r="H160" s="425"/>
      <c r="S160" s="211"/>
      <c r="T160" s="211"/>
    </row>
    <row r="161" spans="1:24">
      <c r="A161" s="209">
        <f t="shared" si="88"/>
        <v>2011</v>
      </c>
      <c r="B161" s="210">
        <f t="shared" si="87"/>
        <v>11732.903560189599</v>
      </c>
      <c r="C161" s="210">
        <f t="shared" si="87"/>
        <v>32232.907755556342</v>
      </c>
      <c r="D161" s="210">
        <f t="shared" si="87"/>
        <v>546126.49417271547</v>
      </c>
      <c r="E161" s="210">
        <f t="shared" si="87"/>
        <v>1099.8881632362327</v>
      </c>
      <c r="F161" s="210">
        <f t="shared" si="87"/>
        <v>868.95207236960164</v>
      </c>
      <c r="G161" s="210">
        <f t="shared" si="87"/>
        <v>3250.7321103680501</v>
      </c>
      <c r="H161" s="425"/>
      <c r="S161" s="211"/>
      <c r="T161" s="211"/>
    </row>
    <row r="162" spans="1:24">
      <c r="A162" s="209" t="str">
        <f t="shared" si="88"/>
        <v>2011 Board Approved</v>
      </c>
      <c r="B162" s="210">
        <f t="shared" si="87"/>
        <v>11938.850995732575</v>
      </c>
      <c r="C162" s="210">
        <f t="shared" si="87"/>
        <v>34225.671399594321</v>
      </c>
      <c r="D162" s="210">
        <f t="shared" si="87"/>
        <v>560568.48529411759</v>
      </c>
      <c r="E162" s="210">
        <f t="shared" si="87"/>
        <v>1062.0833333333333</v>
      </c>
      <c r="F162" s="210">
        <f t="shared" si="87"/>
        <v>864.38844621513942</v>
      </c>
      <c r="G162" s="210">
        <f t="shared" si="87"/>
        <v>3263.8888888888887</v>
      </c>
      <c r="H162" s="425"/>
      <c r="S162" s="211"/>
      <c r="T162" s="211"/>
    </row>
    <row r="163" spans="1:24">
      <c r="A163" s="209">
        <f t="shared" si="88"/>
        <v>2012</v>
      </c>
      <c r="B163" s="210">
        <f t="shared" si="87"/>
        <v>11069.315436502782</v>
      </c>
      <c r="C163" s="210">
        <f t="shared" si="87"/>
        <v>30648.017440411251</v>
      </c>
      <c r="D163" s="210">
        <f t="shared" si="87"/>
        <v>522566.30338825943</v>
      </c>
      <c r="E163" s="210">
        <f t="shared" si="87"/>
        <v>1089.6844830857162</v>
      </c>
      <c r="F163" s="210">
        <f t="shared" si="87"/>
        <v>878.2172193914663</v>
      </c>
      <c r="G163" s="210">
        <f t="shared" si="87"/>
        <v>3247.8795332664322</v>
      </c>
      <c r="H163" s="425"/>
      <c r="S163" s="211"/>
      <c r="T163" s="211"/>
    </row>
    <row r="164" spans="1:24">
      <c r="A164" s="209">
        <f t="shared" si="88"/>
        <v>2013</v>
      </c>
      <c r="B164" s="210">
        <f t="shared" si="87"/>
        <v>11516.214438925294</v>
      </c>
      <c r="C164" s="210">
        <f t="shared" si="87"/>
        <v>29885.990771990811</v>
      </c>
      <c r="D164" s="210">
        <f t="shared" si="87"/>
        <v>502759.9270848257</v>
      </c>
      <c r="E164" s="210">
        <f t="shared" si="87"/>
        <v>836.99968454925965</v>
      </c>
      <c r="F164" s="210">
        <f t="shared" si="87"/>
        <v>836.19074445490799</v>
      </c>
      <c r="G164" s="210">
        <f t="shared" si="87"/>
        <v>3154.3209647875196</v>
      </c>
      <c r="H164" s="425"/>
      <c r="S164" s="211"/>
      <c r="T164" s="211"/>
    </row>
    <row r="165" spans="1:24">
      <c r="A165" s="209">
        <f t="shared" si="88"/>
        <v>2014</v>
      </c>
      <c r="B165" s="210">
        <f t="shared" si="87"/>
        <v>11363.88590383363</v>
      </c>
      <c r="C165" s="210">
        <f t="shared" si="87"/>
        <v>29003.750077050172</v>
      </c>
      <c r="D165" s="210">
        <f t="shared" si="87"/>
        <v>490345.37136877835</v>
      </c>
      <c r="E165" s="210">
        <f t="shared" si="87"/>
        <v>803.51343886145855</v>
      </c>
      <c r="F165" s="210">
        <f t="shared" si="87"/>
        <v>816.02492197468871</v>
      </c>
      <c r="G165" s="210">
        <f t="shared" si="87"/>
        <v>3167.4594210681726</v>
      </c>
      <c r="H165" s="425"/>
      <c r="S165" s="211"/>
      <c r="T165" s="211"/>
    </row>
    <row r="166" spans="1:24">
      <c r="A166" s="209">
        <f t="shared" si="88"/>
        <v>2015</v>
      </c>
      <c r="B166" s="210">
        <f t="shared" si="87"/>
        <v>10522.363533736232</v>
      </c>
      <c r="C166" s="210">
        <f t="shared" si="87"/>
        <v>30057.356022475607</v>
      </c>
      <c r="D166" s="210">
        <f t="shared" si="87"/>
        <v>594053.15989311237</v>
      </c>
      <c r="E166" s="210">
        <f t="shared" si="87"/>
        <v>1080.9869784565572</v>
      </c>
      <c r="F166" s="210">
        <f t="shared" si="87"/>
        <v>621.0578918875251</v>
      </c>
      <c r="G166" s="210">
        <f t="shared" si="87"/>
        <v>3280.2341982150865</v>
      </c>
      <c r="H166" s="425"/>
      <c r="S166" s="211"/>
      <c r="T166" s="211"/>
    </row>
    <row r="167" spans="1:24">
      <c r="A167" s="209">
        <f t="shared" si="88"/>
        <v>2016</v>
      </c>
      <c r="B167" s="210">
        <f t="shared" si="87"/>
        <v>9878.5148638720457</v>
      </c>
      <c r="C167" s="210">
        <f t="shared" si="87"/>
        <v>30646.575188014209</v>
      </c>
      <c r="D167" s="210">
        <f t="shared" si="87"/>
        <v>620947.55097844417</v>
      </c>
      <c r="E167" s="210">
        <f t="shared" si="87"/>
        <v>1105.0954187484717</v>
      </c>
      <c r="F167" s="210">
        <f t="shared" si="87"/>
        <v>353.79091424540667</v>
      </c>
      <c r="G167" s="210">
        <f t="shared" si="87"/>
        <v>3300.0844131616891</v>
      </c>
      <c r="H167" s="425"/>
      <c r="S167" s="211"/>
      <c r="T167" s="211"/>
    </row>
    <row r="168" spans="1:24">
      <c r="A168" s="209">
        <f t="shared" si="88"/>
        <v>2017</v>
      </c>
      <c r="B168" s="210">
        <f t="shared" si="87"/>
        <v>9831.167832349729</v>
      </c>
      <c r="C168" s="210">
        <f t="shared" si="87"/>
        <v>31575.681260434692</v>
      </c>
      <c r="D168" s="210">
        <f t="shared" si="87"/>
        <v>703599.8751599621</v>
      </c>
      <c r="E168" s="210">
        <f t="shared" si="87"/>
        <v>1205.8179797797964</v>
      </c>
      <c r="F168" s="210">
        <f t="shared" si="87"/>
        <v>332.69941055008462</v>
      </c>
      <c r="G168" s="210">
        <f t="shared" si="87"/>
        <v>3347.1116801834269</v>
      </c>
      <c r="H168" s="425"/>
      <c r="S168" s="211"/>
      <c r="T168" s="211"/>
    </row>
    <row r="169" spans="1:24">
      <c r="A169" s="202"/>
      <c r="B169" s="212"/>
      <c r="C169" s="212"/>
      <c r="D169" s="212"/>
      <c r="E169" s="212"/>
      <c r="F169" s="212"/>
      <c r="G169" s="212"/>
      <c r="H169" s="212"/>
      <c r="I169" s="212"/>
      <c r="V169" s="211"/>
      <c r="W169" s="211"/>
      <c r="X169" s="211"/>
    </row>
    <row r="170" spans="1:24" ht="13">
      <c r="A170" s="417" t="s">
        <v>259</v>
      </c>
      <c r="B170" s="417"/>
      <c r="C170" s="417"/>
      <c r="D170" s="417"/>
      <c r="E170" s="417"/>
      <c r="F170" s="417"/>
      <c r="G170" s="417"/>
      <c r="H170" s="417"/>
      <c r="I170" s="417"/>
      <c r="J170" s="417"/>
      <c r="K170" s="417"/>
      <c r="L170" s="417"/>
      <c r="V170" s="211"/>
      <c r="W170" s="211"/>
      <c r="X170" s="211"/>
    </row>
    <row r="171" spans="1:24" s="194" customFormat="1" ht="39">
      <c r="A171" s="272" t="s">
        <v>184</v>
      </c>
      <c r="B171" s="278" t="str">
        <f>B133</f>
        <v xml:space="preserve">Residential </v>
      </c>
      <c r="C171" s="278" t="str">
        <f t="shared" ref="C171:G171" si="89">C133</f>
        <v>General Service &lt; 50 kW</v>
      </c>
      <c r="D171" s="278" t="str">
        <f t="shared" si="89"/>
        <v>General Service 50 to 4,999 kW</v>
      </c>
      <c r="E171" s="278" t="str">
        <f t="shared" si="89"/>
        <v>Sentinel Lights</v>
      </c>
      <c r="F171" s="278" t="str">
        <f t="shared" si="89"/>
        <v>Street Lights</v>
      </c>
      <c r="G171" s="278" t="str">
        <f t="shared" si="89"/>
        <v xml:space="preserve">Unmetered Scattered Loads </v>
      </c>
      <c r="H171" s="263" t="s">
        <v>10</v>
      </c>
      <c r="Q171" s="285"/>
      <c r="R171" s="285"/>
    </row>
    <row r="172" spans="1:24" ht="12.75" customHeight="1">
      <c r="A172" s="418" t="s">
        <v>193</v>
      </c>
      <c r="B172" s="419"/>
      <c r="C172" s="419"/>
      <c r="D172" s="419"/>
      <c r="E172" s="419"/>
      <c r="F172" s="419"/>
      <c r="G172" s="419"/>
      <c r="H172" s="420"/>
      <c r="Q172" s="211"/>
      <c r="R172" s="211"/>
    </row>
    <row r="173" spans="1:24" ht="12.75" customHeight="1">
      <c r="A173" s="198">
        <f t="shared" ref="A173:A182" si="90">A109</f>
        <v>2008</v>
      </c>
      <c r="B173" s="214">
        <f t="shared" ref="B173:G182" si="91">B45+B109</f>
        <v>115.59892671887398</v>
      </c>
      <c r="C173" s="214">
        <f t="shared" si="91"/>
        <v>62.516619849234829</v>
      </c>
      <c r="D173" s="214">
        <f t="shared" si="91"/>
        <v>127.2156578450784</v>
      </c>
      <c r="E173" s="286">
        <f t="shared" si="91"/>
        <v>5.4948191951634237E-2</v>
      </c>
      <c r="F173" s="214">
        <f t="shared" si="91"/>
        <v>2.743016371811827</v>
      </c>
      <c r="G173" s="214">
        <f t="shared" si="91"/>
        <v>0.26630628263744566</v>
      </c>
      <c r="H173" s="191">
        <f t="shared" ref="H173:H181" si="92">SUM(B173:G173)</f>
        <v>308.39547525958812</v>
      </c>
      <c r="I173" s="199">
        <f>B29</f>
        <v>308.39557441958812</v>
      </c>
      <c r="Q173" s="211"/>
      <c r="R173" s="211"/>
    </row>
    <row r="174" spans="1:24" ht="12.75" customHeight="1">
      <c r="A174" s="198">
        <f t="shared" si="90"/>
        <v>2009</v>
      </c>
      <c r="B174" s="214">
        <f t="shared" si="91"/>
        <v>114.94976899114113</v>
      </c>
      <c r="C174" s="214">
        <f t="shared" si="91"/>
        <v>59.701648212038542</v>
      </c>
      <c r="D174" s="214">
        <f t="shared" si="91"/>
        <v>121.25861471604006</v>
      </c>
      <c r="E174" s="286">
        <f t="shared" si="91"/>
        <v>5.3247000054789342E-2</v>
      </c>
      <c r="F174" s="214">
        <f t="shared" si="91"/>
        <v>2.7379428624598523</v>
      </c>
      <c r="G174" s="214">
        <f t="shared" si="91"/>
        <v>0.22570700982429626</v>
      </c>
      <c r="H174" s="191">
        <f t="shared" si="92"/>
        <v>298.92692879155868</v>
      </c>
      <c r="I174" s="199">
        <f t="shared" ref="I174:I182" si="93">B30</f>
        <v>298.9270284315586</v>
      </c>
      <c r="Q174" s="211"/>
      <c r="R174" s="211"/>
    </row>
    <row r="175" spans="1:24">
      <c r="A175" s="213">
        <f t="shared" si="90"/>
        <v>2010</v>
      </c>
      <c r="B175" s="214">
        <f t="shared" si="91"/>
        <v>111.14054782213492</v>
      </c>
      <c r="C175" s="214">
        <f t="shared" si="91"/>
        <v>58.565208650670698</v>
      </c>
      <c r="D175" s="214">
        <f t="shared" si="91"/>
        <v>117.89598759248064</v>
      </c>
      <c r="E175" s="286">
        <f t="shared" si="91"/>
        <v>5.3085543200453417E-2</v>
      </c>
      <c r="F175" s="214">
        <f t="shared" si="91"/>
        <v>2.7858307799999995</v>
      </c>
      <c r="G175" s="214">
        <f t="shared" si="91"/>
        <v>0.19792267107500472</v>
      </c>
      <c r="H175" s="191">
        <f t="shared" si="92"/>
        <v>290.63858305956171</v>
      </c>
      <c r="I175" s="199">
        <f t="shared" si="93"/>
        <v>290.63842917956168</v>
      </c>
      <c r="Q175" s="211"/>
      <c r="R175" s="211"/>
    </row>
    <row r="176" spans="1:24">
      <c r="A176" s="198">
        <f t="shared" si="90"/>
        <v>2011</v>
      </c>
      <c r="B176" s="214">
        <f t="shared" si="91"/>
        <v>110.13962346165061</v>
      </c>
      <c r="C176" s="214">
        <f t="shared" si="91"/>
        <v>58.834929519793178</v>
      </c>
      <c r="D176" s="214">
        <f t="shared" si="91"/>
        <v>118.51267221826129</v>
      </c>
      <c r="E176" s="286">
        <f t="shared" si="91"/>
        <v>5.2659977712015145E-2</v>
      </c>
      <c r="F176" s="214">
        <f t="shared" si="91"/>
        <v>2.7348643123775247</v>
      </c>
      <c r="G176" s="214">
        <f t="shared" si="91"/>
        <v>0.18990270850976693</v>
      </c>
      <c r="H176" s="191">
        <f t="shared" si="92"/>
        <v>290.46465219830441</v>
      </c>
      <c r="I176" s="199">
        <f t="shared" si="93"/>
        <v>290.46465219830435</v>
      </c>
      <c r="Q176" s="211"/>
      <c r="R176" s="211"/>
    </row>
    <row r="177" spans="1:18">
      <c r="A177" s="198">
        <f t="shared" si="90"/>
        <v>2012</v>
      </c>
      <c r="B177" s="214">
        <f t="shared" si="91"/>
        <v>107.71798253613376</v>
      </c>
      <c r="C177" s="214">
        <f t="shared" si="91"/>
        <v>57.494464880298828</v>
      </c>
      <c r="D177" s="214">
        <f t="shared" si="91"/>
        <v>120.12891853521232</v>
      </c>
      <c r="E177" s="286">
        <f t="shared" si="91"/>
        <v>5.1557593683041913E-2</v>
      </c>
      <c r="F177" s="214">
        <f t="shared" si="91"/>
        <v>2.531984370078638</v>
      </c>
      <c r="G177" s="214">
        <f t="shared" si="91"/>
        <v>0.18199211212878158</v>
      </c>
      <c r="H177" s="191">
        <f t="shared" si="92"/>
        <v>288.10690002753535</v>
      </c>
      <c r="I177" s="199">
        <f t="shared" si="93"/>
        <v>288.1069000275354</v>
      </c>
      <c r="Q177" s="211"/>
      <c r="R177" s="211"/>
    </row>
    <row r="178" spans="1:18">
      <c r="A178" s="198">
        <f t="shared" si="90"/>
        <v>2013</v>
      </c>
      <c r="B178" s="214">
        <f t="shared" si="91"/>
        <v>113.52054972461654</v>
      </c>
      <c r="C178" s="214">
        <f t="shared" si="91"/>
        <v>57.852243801948376</v>
      </c>
      <c r="D178" s="214">
        <f t="shared" si="91"/>
        <v>119.21671025768619</v>
      </c>
      <c r="E178" s="286">
        <f t="shared" si="91"/>
        <v>5.138152277731519E-2</v>
      </c>
      <c r="F178" s="214">
        <f t="shared" si="91"/>
        <v>2.4410556506799894</v>
      </c>
      <c r="G178" s="214">
        <f t="shared" si="91"/>
        <v>0.18168009436580629</v>
      </c>
      <c r="H178" s="191">
        <f t="shared" si="92"/>
        <v>293.2636210520742</v>
      </c>
      <c r="I178" s="199">
        <f t="shared" si="93"/>
        <v>293.26362105207426</v>
      </c>
      <c r="Q178" s="211"/>
      <c r="R178" s="211"/>
    </row>
    <row r="179" spans="1:18">
      <c r="A179" s="198">
        <f t="shared" si="90"/>
        <v>2014</v>
      </c>
      <c r="B179" s="214">
        <f t="shared" si="91"/>
        <v>114.43338222499119</v>
      </c>
      <c r="C179" s="214">
        <f t="shared" si="91"/>
        <v>58.443482099599422</v>
      </c>
      <c r="D179" s="214">
        <f t="shared" si="91"/>
        <v>121.8857292273758</v>
      </c>
      <c r="E179" s="286">
        <f t="shared" si="91"/>
        <v>5.0003862623739487E-2</v>
      </c>
      <c r="F179" s="214">
        <f t="shared" si="91"/>
        <v>2.4056347619215472</v>
      </c>
      <c r="G179" s="214">
        <f t="shared" si="91"/>
        <v>0.18016506688870387</v>
      </c>
      <c r="H179" s="191">
        <f t="shared" si="92"/>
        <v>297.39839724340038</v>
      </c>
      <c r="I179" s="199">
        <f t="shared" si="93"/>
        <v>297.39839724340038</v>
      </c>
      <c r="Q179" s="211"/>
      <c r="R179" s="211"/>
    </row>
    <row r="180" spans="1:18">
      <c r="A180" s="198">
        <f t="shared" si="90"/>
        <v>2015</v>
      </c>
      <c r="B180" s="214">
        <f t="shared" si="91"/>
        <v>108.24395643999999</v>
      </c>
      <c r="C180" s="214">
        <f t="shared" si="91"/>
        <v>58.492111440000002</v>
      </c>
      <c r="D180" s="214">
        <f t="shared" si="91"/>
        <v>119.76383752000001</v>
      </c>
      <c r="E180" s="286">
        <f t="shared" si="91"/>
        <v>4.9108440000000003E-2</v>
      </c>
      <c r="F180" s="214">
        <f t="shared" si="91"/>
        <v>2.0296849000000003</v>
      </c>
      <c r="G180" s="214">
        <f t="shared" si="91"/>
        <v>0.17355600000000002</v>
      </c>
      <c r="H180" s="191">
        <f t="shared" si="92"/>
        <v>288.75225474000001</v>
      </c>
      <c r="I180" s="199">
        <f t="shared" si="93"/>
        <v>288.75225473999996</v>
      </c>
      <c r="Q180" s="211"/>
      <c r="R180" s="211"/>
    </row>
    <row r="181" spans="1:18">
      <c r="A181" s="198">
        <f t="shared" si="90"/>
        <v>2016</v>
      </c>
      <c r="B181" s="214">
        <f t="shared" si="91"/>
        <v>104.34816130999999</v>
      </c>
      <c r="C181" s="214">
        <f t="shared" si="91"/>
        <v>58.16870132999999</v>
      </c>
      <c r="D181" s="214">
        <f t="shared" si="91"/>
        <v>116.62551272682572</v>
      </c>
      <c r="E181" s="286">
        <f t="shared" si="91"/>
        <v>4.8780989999999996E-2</v>
      </c>
      <c r="F181" s="214">
        <f t="shared" si="91"/>
        <v>1.1354812536144354</v>
      </c>
      <c r="G181" s="214">
        <f t="shared" si="91"/>
        <v>0.16606799999999999</v>
      </c>
      <c r="H181" s="191">
        <f t="shared" si="92"/>
        <v>280.49270561044017</v>
      </c>
      <c r="I181" s="199">
        <f t="shared" si="93"/>
        <v>280.50507049164293</v>
      </c>
      <c r="Q181" s="211"/>
      <c r="R181" s="211"/>
    </row>
    <row r="182" spans="1:18">
      <c r="A182" s="198">
        <f t="shared" si="90"/>
        <v>2017</v>
      </c>
      <c r="B182" s="214">
        <f t="shared" si="91"/>
        <v>103.12963199999999</v>
      </c>
      <c r="C182" s="214">
        <f t="shared" si="91"/>
        <v>57.585352</v>
      </c>
      <c r="D182" s="214">
        <f t="shared" si="91"/>
        <v>116.75350384363944</v>
      </c>
      <c r="E182" s="286">
        <f t="shared" si="91"/>
        <v>4.4233599999999998E-2</v>
      </c>
      <c r="F182" s="214">
        <f t="shared" si="91"/>
        <v>1.1544539984150697</v>
      </c>
      <c r="G182" s="214">
        <f t="shared" si="91"/>
        <v>0.16606799999999999</v>
      </c>
      <c r="H182" s="191">
        <f>SUM(B182:G182)</f>
        <v>278.83324344205448</v>
      </c>
      <c r="I182" s="199">
        <f t="shared" si="93"/>
        <v>278.83324344205454</v>
      </c>
      <c r="Q182" s="211"/>
      <c r="R182" s="211"/>
    </row>
    <row r="183" spans="1:18" ht="12.75" customHeight="1">
      <c r="A183" s="418" t="s">
        <v>194</v>
      </c>
      <c r="B183" s="419"/>
      <c r="C183" s="419"/>
      <c r="D183" s="419"/>
      <c r="E183" s="419"/>
      <c r="F183" s="419"/>
      <c r="G183" s="419"/>
      <c r="H183" s="420"/>
      <c r="I183" s="199"/>
      <c r="Q183" s="211"/>
      <c r="R183" s="211"/>
    </row>
    <row r="184" spans="1:18" ht="12.75" customHeight="1">
      <c r="A184" s="213">
        <f t="shared" ref="A184:A185" si="94">A173</f>
        <v>2008</v>
      </c>
      <c r="B184" s="215">
        <f t="shared" ref="B184:B193" si="95">B173*F272</f>
        <v>113.61246618185707</v>
      </c>
      <c r="C184" s="215">
        <f t="shared" ref="C184:C193" si="96">C173*F272</f>
        <v>61.442329613476808</v>
      </c>
      <c r="D184" s="215">
        <f t="shared" ref="D184:D193" si="97">D173*F272</f>
        <v>125.029574538142</v>
      </c>
      <c r="E184" s="287">
        <f t="shared" ref="E184:E193" si="98">E173*F272</f>
        <v>5.4003958142631835E-2</v>
      </c>
      <c r="F184" s="215">
        <f t="shared" ref="F184:F193" si="99">F173*F272</f>
        <v>2.6958801748794219</v>
      </c>
      <c r="G184" s="215">
        <f t="shared" ref="G184:G193" si="100">G173*F272</f>
        <v>0.26173005571013641</v>
      </c>
      <c r="H184" s="214">
        <f t="shared" ref="H184:H185" si="101">SUM(B184:G184)</f>
        <v>303.09598452220808</v>
      </c>
      <c r="I184" s="199">
        <f>D29</f>
        <v>303.09608197823525</v>
      </c>
      <c r="Q184" s="211"/>
      <c r="R184" s="211"/>
    </row>
    <row r="185" spans="1:18" ht="12.75" customHeight="1">
      <c r="A185" s="213">
        <f t="shared" si="94"/>
        <v>2009</v>
      </c>
      <c r="B185" s="215">
        <f t="shared" si="95"/>
        <v>114.21557371804782</v>
      </c>
      <c r="C185" s="215">
        <f t="shared" si="96"/>
        <v>59.32032802063793</v>
      </c>
      <c r="D185" s="215">
        <f t="shared" si="97"/>
        <v>120.48412423617472</v>
      </c>
      <c r="E185" s="287">
        <f t="shared" si="98"/>
        <v>5.2906906324373601E-2</v>
      </c>
      <c r="F185" s="215">
        <f t="shared" si="99"/>
        <v>2.7204553570454437</v>
      </c>
      <c r="G185" s="215">
        <f t="shared" si="100"/>
        <v>0.22426539736024864</v>
      </c>
      <c r="H185" s="214">
        <f t="shared" si="101"/>
        <v>297.01765363559053</v>
      </c>
      <c r="I185" s="199">
        <f t="shared" ref="I185:I195" si="102">D30</f>
        <v>297.01775263918017</v>
      </c>
      <c r="Q185" s="211"/>
      <c r="R185" s="211"/>
    </row>
    <row r="186" spans="1:18">
      <c r="A186" s="213">
        <f t="shared" ref="A186:A193" si="103">A175</f>
        <v>2010</v>
      </c>
      <c r="B186" s="215">
        <f t="shared" si="95"/>
        <v>111.76678424270671</v>
      </c>
      <c r="C186" s="215">
        <f t="shared" si="96"/>
        <v>58.895202225060217</v>
      </c>
      <c r="D186" s="215">
        <f t="shared" si="97"/>
        <v>118.56028845041637</v>
      </c>
      <c r="E186" s="287">
        <f t="shared" si="98"/>
        <v>5.3384660860114078E-2</v>
      </c>
      <c r="F186" s="215">
        <f t="shared" si="99"/>
        <v>2.8015279196144083</v>
      </c>
      <c r="G186" s="215">
        <f t="shared" si="100"/>
        <v>0.19903789308454869</v>
      </c>
      <c r="H186" s="214">
        <f t="shared" ref="H186:H195" si="104">SUM(B186:G186)</f>
        <v>292.27622539174234</v>
      </c>
      <c r="I186" s="199">
        <f t="shared" si="102"/>
        <v>292.27607064468469</v>
      </c>
      <c r="Q186" s="211"/>
      <c r="R186" s="211"/>
    </row>
    <row r="187" spans="1:18">
      <c r="A187" s="198">
        <f t="shared" si="103"/>
        <v>2011</v>
      </c>
      <c r="B187" s="215">
        <f t="shared" si="95"/>
        <v>111.11468585926016</v>
      </c>
      <c r="C187" s="200">
        <f t="shared" si="96"/>
        <v>59.355793180278937</v>
      </c>
      <c r="D187" s="200">
        <f t="shared" si="97"/>
        <v>119.56186093607535</v>
      </c>
      <c r="E187" s="284">
        <f t="shared" si="98"/>
        <v>5.3126174730963746E-2</v>
      </c>
      <c r="F187" s="200">
        <f t="shared" si="99"/>
        <v>2.7590759745364397</v>
      </c>
      <c r="G187" s="200">
        <f t="shared" si="100"/>
        <v>0.19158391082780965</v>
      </c>
      <c r="H187" s="191">
        <f t="shared" si="104"/>
        <v>293.03612603570963</v>
      </c>
      <c r="I187" s="199">
        <f t="shared" si="102"/>
        <v>293.03612603570963</v>
      </c>
      <c r="Q187" s="211"/>
      <c r="R187" s="211"/>
    </row>
    <row r="188" spans="1:18">
      <c r="A188" s="198">
        <f t="shared" si="103"/>
        <v>2012</v>
      </c>
      <c r="B188" s="215">
        <f t="shared" si="95"/>
        <v>109.0795109165943</v>
      </c>
      <c r="C188" s="200">
        <f t="shared" si="96"/>
        <v>58.221180548480412</v>
      </c>
      <c r="D188" s="200">
        <f t="shared" si="97"/>
        <v>121.64731804519997</v>
      </c>
      <c r="E188" s="284">
        <f t="shared" si="98"/>
        <v>5.2209268782918268E-2</v>
      </c>
      <c r="F188" s="200">
        <f t="shared" si="99"/>
        <v>2.5639880197718372</v>
      </c>
      <c r="G188" s="200">
        <f t="shared" si="100"/>
        <v>0.18429244694613831</v>
      </c>
      <c r="H188" s="191">
        <f t="shared" si="104"/>
        <v>291.74849924577558</v>
      </c>
      <c r="I188" s="199">
        <f t="shared" si="102"/>
        <v>291.74849924577558</v>
      </c>
      <c r="Q188" s="211"/>
      <c r="R188" s="211"/>
    </row>
    <row r="189" spans="1:18">
      <c r="A189" s="198">
        <f t="shared" si="103"/>
        <v>2013</v>
      </c>
      <c r="B189" s="215">
        <f t="shared" si="95"/>
        <v>113.80971475944378</v>
      </c>
      <c r="C189" s="200">
        <f t="shared" si="96"/>
        <v>57.999607835459543</v>
      </c>
      <c r="D189" s="200">
        <f t="shared" si="97"/>
        <v>119.52038482812546</v>
      </c>
      <c r="E189" s="284">
        <f t="shared" si="98"/>
        <v>5.1512404277267589E-2</v>
      </c>
      <c r="F189" s="200">
        <f t="shared" si="99"/>
        <v>2.4472736256982257</v>
      </c>
      <c r="G189" s="200">
        <f t="shared" si="100"/>
        <v>0.18214287868936838</v>
      </c>
      <c r="H189" s="191">
        <f t="shared" si="104"/>
        <v>294.01063633169372</v>
      </c>
      <c r="I189" s="199">
        <f t="shared" si="102"/>
        <v>294.01063633169366</v>
      </c>
      <c r="Q189" s="211"/>
      <c r="R189" s="211"/>
    </row>
    <row r="190" spans="1:18">
      <c r="A190" s="198">
        <f t="shared" si="103"/>
        <v>2014</v>
      </c>
      <c r="B190" s="215">
        <f t="shared" si="95"/>
        <v>113.01291731977574</v>
      </c>
      <c r="C190" s="200">
        <f t="shared" si="96"/>
        <v>57.718021454751522</v>
      </c>
      <c r="D190" s="200">
        <f t="shared" si="97"/>
        <v>120.37275812184932</v>
      </c>
      <c r="E190" s="284">
        <f t="shared" si="98"/>
        <v>4.9383163221159702E-2</v>
      </c>
      <c r="F190" s="200">
        <f t="shared" si="99"/>
        <v>2.3757735475832575</v>
      </c>
      <c r="G190" s="200">
        <f t="shared" si="100"/>
        <v>0.1779286726680207</v>
      </c>
      <c r="H190" s="191">
        <f t="shared" si="104"/>
        <v>293.70678227984899</v>
      </c>
      <c r="I190" s="199">
        <f t="shared" si="102"/>
        <v>293.70678227984899</v>
      </c>
      <c r="Q190" s="211"/>
      <c r="R190" s="211"/>
    </row>
    <row r="191" spans="1:18">
      <c r="A191" s="198">
        <f t="shared" si="103"/>
        <v>2015</v>
      </c>
      <c r="B191" s="215">
        <f t="shared" si="95"/>
        <v>107.57260426108614</v>
      </c>
      <c r="C191" s="200">
        <f t="shared" si="96"/>
        <v>58.129330849230648</v>
      </c>
      <c r="D191" s="200">
        <f t="shared" si="97"/>
        <v>119.02103657370695</v>
      </c>
      <c r="E191" s="284">
        <f t="shared" si="98"/>
        <v>4.8803858947335556E-2</v>
      </c>
      <c r="F191" s="200">
        <f t="shared" si="99"/>
        <v>2.0170963599563918</v>
      </c>
      <c r="G191" s="200">
        <f t="shared" si="100"/>
        <v>0.17247956855204052</v>
      </c>
      <c r="H191" s="191">
        <f t="shared" si="104"/>
        <v>286.96135147147947</v>
      </c>
      <c r="I191" s="199">
        <f t="shared" si="102"/>
        <v>286.96135147147947</v>
      </c>
      <c r="Q191" s="211"/>
      <c r="R191" s="211"/>
    </row>
    <row r="192" spans="1:18">
      <c r="A192" s="198">
        <f t="shared" si="103"/>
        <v>2016</v>
      </c>
      <c r="B192" s="215">
        <f t="shared" si="95"/>
        <v>104.3285142497258</v>
      </c>
      <c r="C192" s="200">
        <f t="shared" si="96"/>
        <v>58.157749110365693</v>
      </c>
      <c r="D192" s="200">
        <f t="shared" si="97"/>
        <v>116.60355404112119</v>
      </c>
      <c r="E192" s="284">
        <f t="shared" si="98"/>
        <v>4.877180533360307E-2</v>
      </c>
      <c r="F192" s="200">
        <f t="shared" si="99"/>
        <v>1.1352674609768851</v>
      </c>
      <c r="G192" s="200">
        <f t="shared" si="100"/>
        <v>0.16603673209872935</v>
      </c>
      <c r="H192" s="191">
        <f t="shared" si="104"/>
        <v>280.43989339962195</v>
      </c>
      <c r="I192" s="199">
        <f t="shared" si="102"/>
        <v>280.45225595271882</v>
      </c>
      <c r="Q192" s="211"/>
      <c r="R192" s="211"/>
    </row>
    <row r="193" spans="1:24">
      <c r="A193" s="198">
        <f t="shared" si="103"/>
        <v>2017</v>
      </c>
      <c r="B193" s="215">
        <f t="shared" si="95"/>
        <v>104.57956817229316</v>
      </c>
      <c r="C193" s="200">
        <f t="shared" si="96"/>
        <v>58.394964942854628</v>
      </c>
      <c r="D193" s="200">
        <f t="shared" si="97"/>
        <v>118.39498287524175</v>
      </c>
      <c r="E193" s="284">
        <f t="shared" si="98"/>
        <v>4.4855495913201232E-2</v>
      </c>
      <c r="F193" s="200">
        <f t="shared" si="99"/>
        <v>1.170684877737421</v>
      </c>
      <c r="G193" s="200">
        <f t="shared" si="100"/>
        <v>0.16840280907078561</v>
      </c>
      <c r="H193" s="191">
        <f t="shared" si="104"/>
        <v>282.75345917311097</v>
      </c>
      <c r="I193" s="199">
        <f t="shared" si="102"/>
        <v>282.75345917311097</v>
      </c>
      <c r="Q193" s="211"/>
      <c r="R193" s="211"/>
    </row>
    <row r="194" spans="1:24">
      <c r="A194" s="198" t="s">
        <v>191</v>
      </c>
      <c r="B194" s="215">
        <f>Summary!L13/1000000</f>
        <v>105.41275865379637</v>
      </c>
      <c r="C194" s="200">
        <f>Summary!L17/1000000</f>
        <v>58.910419306171377</v>
      </c>
      <c r="D194" s="200">
        <f>Summary!L21/1000000</f>
        <v>116.14220248783722</v>
      </c>
      <c r="E194" s="284">
        <f>Summary!L26/1000000</f>
        <v>4.2775349450549484E-2</v>
      </c>
      <c r="F194" s="200">
        <f>Summary!L31/1000000</f>
        <v>1.1547242041490464</v>
      </c>
      <c r="G194" s="200">
        <f>Summary!L36/1000000</f>
        <v>0.16606799999999999</v>
      </c>
      <c r="H194" s="191">
        <f t="shared" si="104"/>
        <v>281.82894800140457</v>
      </c>
      <c r="I194" s="199">
        <f t="shared" si="102"/>
        <v>281.82894800140457</v>
      </c>
      <c r="Q194" s="211"/>
      <c r="R194" s="211"/>
    </row>
    <row r="195" spans="1:24">
      <c r="A195" s="198" t="s">
        <v>192</v>
      </c>
      <c r="B195" s="215">
        <f>Summary!M13/1000000</f>
        <v>104.68852615422075</v>
      </c>
      <c r="C195" s="200">
        <f>Summary!M17/1000000</f>
        <v>58.782610726187876</v>
      </c>
      <c r="D195" s="200">
        <f>Summary!M21/1000000</f>
        <v>114.5211284638157</v>
      </c>
      <c r="E195" s="284">
        <f>Summary!M26/1000000</f>
        <v>4.2775349450549484E-2</v>
      </c>
      <c r="F195" s="200">
        <f>Summary!M31/1000000</f>
        <v>1.1547242041490464</v>
      </c>
      <c r="G195" s="200">
        <f>Summary!M36/1000000</f>
        <v>0.16606799999999999</v>
      </c>
      <c r="H195" s="191">
        <f t="shared" si="104"/>
        <v>279.35583289782392</v>
      </c>
      <c r="I195" s="199">
        <f t="shared" si="102"/>
        <v>279.35583289782392</v>
      </c>
      <c r="Q195" s="211"/>
      <c r="R195" s="211"/>
    </row>
    <row r="196" spans="1:24">
      <c r="A196"/>
      <c r="B196"/>
      <c r="C196"/>
      <c r="D196"/>
      <c r="E196"/>
      <c r="F196"/>
      <c r="G196"/>
      <c r="H196"/>
      <c r="I196" s="203"/>
      <c r="J196" s="203"/>
      <c r="V196" s="211"/>
      <c r="W196" s="211"/>
      <c r="X196" s="211"/>
    </row>
    <row r="197" spans="1:24" ht="13">
      <c r="A197" s="402" t="s">
        <v>260</v>
      </c>
      <c r="B197" s="402"/>
      <c r="C197" s="402"/>
      <c r="D197" s="402"/>
      <c r="E197" s="402"/>
      <c r="F197" s="402"/>
      <c r="G197" s="402"/>
      <c r="H197" s="402"/>
      <c r="I197" s="402"/>
      <c r="J197" s="402"/>
      <c r="K197" s="402"/>
      <c r="L197" s="402"/>
      <c r="V197" s="211"/>
      <c r="W197" s="211"/>
      <c r="X197" s="211"/>
    </row>
    <row r="198" spans="1:24" s="194" customFormat="1" ht="39">
      <c r="A198" s="272" t="str">
        <f t="shared" ref="A198:H198" si="105">A171</f>
        <v>Year</v>
      </c>
      <c r="B198" s="273" t="str">
        <f t="shared" si="105"/>
        <v xml:space="preserve">Residential </v>
      </c>
      <c r="C198" s="273" t="str">
        <f t="shared" si="105"/>
        <v>General Service &lt; 50 kW</v>
      </c>
      <c r="D198" s="273" t="str">
        <f t="shared" si="105"/>
        <v>General Service 50 to 4,999 kW</v>
      </c>
      <c r="E198" s="273" t="str">
        <f t="shared" si="105"/>
        <v>Sentinel Lights</v>
      </c>
      <c r="F198" s="273" t="str">
        <f t="shared" si="105"/>
        <v>Street Lights</v>
      </c>
      <c r="G198" s="263" t="str">
        <f t="shared" si="105"/>
        <v xml:space="preserve">Unmetered Scattered Loads </v>
      </c>
      <c r="H198" s="263" t="str">
        <f t="shared" si="105"/>
        <v>Total</v>
      </c>
      <c r="Q198" s="285"/>
      <c r="R198" s="285"/>
    </row>
    <row r="199" spans="1:24" ht="13">
      <c r="A199" s="407" t="s">
        <v>196</v>
      </c>
      <c r="B199" s="408"/>
      <c r="C199" s="408"/>
      <c r="D199" s="408"/>
      <c r="E199" s="408"/>
      <c r="F199" s="408"/>
      <c r="G199" s="408"/>
      <c r="H199" s="409"/>
      <c r="Q199" s="211"/>
      <c r="R199" s="211"/>
    </row>
    <row r="200" spans="1:24">
      <c r="A200" s="198">
        <f t="shared" ref="A200:A201" si="106">A184</f>
        <v>2008</v>
      </c>
      <c r="B200" s="206">
        <f>B71+B135</f>
        <v>10232.5</v>
      </c>
      <c r="C200" s="206">
        <f t="shared" ref="C200:G200" si="107">C71+C135</f>
        <v>2045.4166666666665</v>
      </c>
      <c r="D200" s="206">
        <f t="shared" si="107"/>
        <v>164.58333333333331</v>
      </c>
      <c r="E200" s="206">
        <f t="shared" si="107"/>
        <v>56.75</v>
      </c>
      <c r="F200" s="206">
        <f t="shared" si="107"/>
        <v>3167</v>
      </c>
      <c r="G200" s="206">
        <f t="shared" si="107"/>
        <v>66.416666666666671</v>
      </c>
      <c r="H200" s="206">
        <f t="shared" ref="H200:H208" si="108">SUM(B200:G200)</f>
        <v>15732.666666666666</v>
      </c>
      <c r="I200" s="288"/>
      <c r="Q200" s="211"/>
      <c r="R200" s="211"/>
    </row>
    <row r="201" spans="1:24">
      <c r="A201" s="198">
        <f t="shared" si="106"/>
        <v>2009</v>
      </c>
      <c r="B201" s="206">
        <f t="shared" ref="B201:G203" si="109">B72+B136</f>
        <v>10399.583333333334</v>
      </c>
      <c r="C201" s="206">
        <f t="shared" si="109"/>
        <v>2046.1666666666667</v>
      </c>
      <c r="D201" s="206">
        <f t="shared" si="109"/>
        <v>166.33333333333331</v>
      </c>
      <c r="E201" s="206">
        <f t="shared" si="109"/>
        <v>56.916666666666664</v>
      </c>
      <c r="F201" s="206">
        <f t="shared" si="109"/>
        <v>3191</v>
      </c>
      <c r="G201" s="206">
        <f t="shared" si="109"/>
        <v>61.916666666666664</v>
      </c>
      <c r="H201" s="206">
        <f t="shared" si="108"/>
        <v>15921.916666666666</v>
      </c>
      <c r="I201" s="288"/>
      <c r="Q201" s="211"/>
      <c r="R201" s="211"/>
    </row>
    <row r="202" spans="1:24">
      <c r="A202" s="198">
        <f t="shared" ref="A202:A211" si="110">A186</f>
        <v>2010</v>
      </c>
      <c r="B202" s="206">
        <f t="shared" si="109"/>
        <v>10504.916666666668</v>
      </c>
      <c r="C202" s="206">
        <f t="shared" si="109"/>
        <v>2048.3333333333335</v>
      </c>
      <c r="D202" s="206">
        <f t="shared" si="109"/>
        <v>165.91666666666666</v>
      </c>
      <c r="E202" s="206">
        <f t="shared" si="109"/>
        <v>56.083333333333336</v>
      </c>
      <c r="F202" s="206">
        <f t="shared" si="109"/>
        <v>3191</v>
      </c>
      <c r="G202" s="206">
        <f t="shared" si="109"/>
        <v>59.166666666666664</v>
      </c>
      <c r="H202" s="206">
        <f t="shared" si="108"/>
        <v>16025.416666666668</v>
      </c>
      <c r="I202" s="288"/>
      <c r="Q202" s="211"/>
      <c r="R202" s="211"/>
    </row>
    <row r="203" spans="1:24">
      <c r="A203" s="198">
        <f t="shared" si="110"/>
        <v>2011</v>
      </c>
      <c r="B203" s="206">
        <f t="shared" si="109"/>
        <v>10679.25</v>
      </c>
      <c r="C203" s="206">
        <f t="shared" si="109"/>
        <v>2067.1666666666665</v>
      </c>
      <c r="D203" s="206">
        <f t="shared" si="109"/>
        <v>165.16666666666669</v>
      </c>
      <c r="E203" s="206">
        <f t="shared" si="109"/>
        <v>55.666666666666664</v>
      </c>
      <c r="F203" s="206">
        <f t="shared" si="109"/>
        <v>3134</v>
      </c>
      <c r="G203" s="206">
        <f t="shared" si="109"/>
        <v>57.5</v>
      </c>
      <c r="H203" s="206">
        <f t="shared" si="108"/>
        <v>16158.749999999998</v>
      </c>
      <c r="I203" s="288"/>
      <c r="Q203" s="211"/>
      <c r="R203" s="211"/>
    </row>
    <row r="204" spans="1:24">
      <c r="A204" s="198">
        <f t="shared" si="110"/>
        <v>2012</v>
      </c>
      <c r="B204" s="206">
        <f>B75+B140</f>
        <v>10800.5</v>
      </c>
      <c r="C204" s="206">
        <f t="shared" ref="C204:G204" si="111">C75+C140</f>
        <v>2067.1666666666665</v>
      </c>
      <c r="D204" s="206">
        <f t="shared" si="111"/>
        <v>167.08333333333331</v>
      </c>
      <c r="E204" s="206">
        <f t="shared" si="111"/>
        <v>56.833333333333336</v>
      </c>
      <c r="F204" s="206">
        <f t="shared" si="111"/>
        <v>2957.833333333333</v>
      </c>
      <c r="G204" s="206">
        <f t="shared" si="111"/>
        <v>56</v>
      </c>
      <c r="H204" s="206">
        <f t="shared" si="108"/>
        <v>16105.416666666668</v>
      </c>
      <c r="I204" s="288"/>
      <c r="Q204" s="211"/>
      <c r="R204" s="211"/>
    </row>
    <row r="205" spans="1:24">
      <c r="A205" s="198">
        <f t="shared" si="110"/>
        <v>2013</v>
      </c>
      <c r="B205" s="206">
        <f>B76+B141</f>
        <v>10889.666666666668</v>
      </c>
      <c r="C205" s="206">
        <f t="shared" ref="C205:G205" si="112">C76+C141</f>
        <v>2074.833333333333</v>
      </c>
      <c r="D205" s="206">
        <f t="shared" si="112"/>
        <v>171.33333333333331</v>
      </c>
      <c r="E205" s="206">
        <f t="shared" si="112"/>
        <v>59</v>
      </c>
      <c r="F205" s="206">
        <f t="shared" si="112"/>
        <v>2843.25</v>
      </c>
      <c r="G205" s="206">
        <f t="shared" si="112"/>
        <v>56.25</v>
      </c>
      <c r="H205" s="206">
        <f t="shared" si="108"/>
        <v>16094.333333333334</v>
      </c>
      <c r="I205" s="288"/>
      <c r="Q205" s="211"/>
      <c r="R205" s="211"/>
    </row>
    <row r="206" spans="1:24">
      <c r="A206" s="198">
        <f t="shared" si="110"/>
        <v>2014</v>
      </c>
      <c r="B206" s="206">
        <f>B78+B142</f>
        <v>10964.083333333332</v>
      </c>
      <c r="C206" s="206">
        <f t="shared" ref="C206:G206" si="113">C78+C142</f>
        <v>2106</v>
      </c>
      <c r="D206" s="206">
        <f t="shared" si="113"/>
        <v>172</v>
      </c>
      <c r="E206" s="206">
        <f t="shared" si="113"/>
        <v>56.666666666666664</v>
      </c>
      <c r="F206" s="206">
        <f t="shared" si="113"/>
        <v>2843.666666666667</v>
      </c>
      <c r="G206" s="206">
        <f t="shared" si="113"/>
        <v>54.75</v>
      </c>
      <c r="H206" s="206">
        <f t="shared" si="108"/>
        <v>16197.166666666664</v>
      </c>
      <c r="I206" s="288"/>
      <c r="Q206" s="211"/>
      <c r="R206" s="211"/>
    </row>
    <row r="207" spans="1:24">
      <c r="A207" s="198">
        <f t="shared" si="110"/>
        <v>2015</v>
      </c>
      <c r="B207" s="206">
        <f t="shared" ref="B207:G209" si="114">B79+B143</f>
        <v>11020.916666666666</v>
      </c>
      <c r="C207" s="206">
        <f t="shared" si="114"/>
        <v>2132.5833333333335</v>
      </c>
      <c r="D207" s="206">
        <f t="shared" si="114"/>
        <v>155.83333333333334</v>
      </c>
      <c r="E207" s="206">
        <f t="shared" si="114"/>
        <v>53</v>
      </c>
      <c r="F207" s="206">
        <f t="shared" si="114"/>
        <v>2766.083333333333</v>
      </c>
      <c r="G207" s="206">
        <f t="shared" si="114"/>
        <v>52.166666666666664</v>
      </c>
      <c r="H207" s="206">
        <f t="shared" si="108"/>
        <v>16180.583333333334</v>
      </c>
      <c r="I207" s="288"/>
      <c r="Q207" s="211"/>
      <c r="R207" s="211"/>
    </row>
    <row r="208" spans="1:24">
      <c r="A208" s="198">
        <f t="shared" si="110"/>
        <v>2016</v>
      </c>
      <c r="B208" s="206">
        <f t="shared" si="114"/>
        <v>11078.416666666666</v>
      </c>
      <c r="C208" s="206">
        <f t="shared" si="114"/>
        <v>2137.666666666667</v>
      </c>
      <c r="D208" s="206">
        <f t="shared" si="114"/>
        <v>149.33333333333331</v>
      </c>
      <c r="E208" s="206">
        <f t="shared" si="114"/>
        <v>52.333333333333336</v>
      </c>
      <c r="F208" s="206">
        <f t="shared" si="114"/>
        <v>2679.1666666666665</v>
      </c>
      <c r="G208" s="206">
        <f t="shared" si="114"/>
        <v>51</v>
      </c>
      <c r="H208" s="206">
        <f t="shared" si="108"/>
        <v>16147.916666666666</v>
      </c>
      <c r="I208" s="288"/>
      <c r="Q208" s="211"/>
      <c r="R208" s="211"/>
    </row>
    <row r="209" spans="1:18">
      <c r="A209" s="198">
        <f t="shared" si="110"/>
        <v>2017</v>
      </c>
      <c r="B209" s="206">
        <f t="shared" si="114"/>
        <v>11168.75</v>
      </c>
      <c r="C209" s="206">
        <f t="shared" si="114"/>
        <v>2144.416666666667</v>
      </c>
      <c r="D209" s="206">
        <f t="shared" si="114"/>
        <v>137.91666666666669</v>
      </c>
      <c r="E209" s="206">
        <f t="shared" si="114"/>
        <v>45.5</v>
      </c>
      <c r="F209" s="206">
        <f t="shared" si="114"/>
        <v>2848.333333333333</v>
      </c>
      <c r="G209" s="206">
        <f t="shared" si="114"/>
        <v>51</v>
      </c>
      <c r="H209" s="206">
        <f>SUM(B209:G209)</f>
        <v>16395.916666666668</v>
      </c>
      <c r="I209" s="288"/>
      <c r="Q209" s="211"/>
      <c r="R209" s="211"/>
    </row>
    <row r="210" spans="1:18">
      <c r="A210" s="198" t="str">
        <f t="shared" si="110"/>
        <v>2018 Bridge</v>
      </c>
      <c r="B210" s="206">
        <f>Summary!L12</f>
        <v>11208</v>
      </c>
      <c r="C210" s="206">
        <f>Summary!L16</f>
        <v>2148</v>
      </c>
      <c r="D210" s="206">
        <f>Summary!L20</f>
        <v>136</v>
      </c>
      <c r="E210" s="206">
        <f>Summary!L25</f>
        <v>44</v>
      </c>
      <c r="F210" s="206">
        <f>Summary!L30</f>
        <v>2849</v>
      </c>
      <c r="G210" s="206">
        <f>Summary!L35</f>
        <v>51</v>
      </c>
      <c r="H210" s="206">
        <f>SUM(B210:G210)</f>
        <v>16436</v>
      </c>
      <c r="I210" s="197"/>
      <c r="Q210" s="211"/>
      <c r="R210" s="211"/>
    </row>
    <row r="211" spans="1:18">
      <c r="A211" s="198" t="str">
        <f t="shared" si="110"/>
        <v>2019 Test</v>
      </c>
      <c r="B211" s="206">
        <f>Summary!M12</f>
        <v>11208</v>
      </c>
      <c r="C211" s="206">
        <f>Summary!M16</f>
        <v>2148</v>
      </c>
      <c r="D211" s="206">
        <f>Summary!M20</f>
        <v>136</v>
      </c>
      <c r="E211" s="206">
        <f>Summary!M25</f>
        <v>44</v>
      </c>
      <c r="F211" s="206">
        <f>Summary!M30</f>
        <v>2849</v>
      </c>
      <c r="G211" s="206">
        <f>Summary!M35</f>
        <v>51</v>
      </c>
      <c r="H211" s="206">
        <f>SUM(B211:G211)</f>
        <v>16436</v>
      </c>
      <c r="I211" s="197"/>
      <c r="Q211" s="211"/>
      <c r="R211" s="211"/>
    </row>
    <row r="212" spans="1:18" ht="13">
      <c r="A212" s="407" t="s">
        <v>197</v>
      </c>
      <c r="B212" s="408"/>
      <c r="C212" s="408"/>
      <c r="D212" s="408"/>
      <c r="E212" s="408"/>
      <c r="F212" s="408"/>
      <c r="G212" s="409"/>
      <c r="H212" s="414"/>
      <c r="Q212" s="211"/>
      <c r="R212" s="211"/>
    </row>
    <row r="213" spans="1:18">
      <c r="A213" s="216">
        <f t="shared" ref="A213:A214" si="115">A200</f>
        <v>2008</v>
      </c>
      <c r="B213" s="217">
        <f t="shared" ref="B213:G222" si="116">B173*1000000/B200</f>
        <v>11297.232027253747</v>
      </c>
      <c r="C213" s="217">
        <f t="shared" si="116"/>
        <v>30564.24681975221</v>
      </c>
      <c r="D213" s="217">
        <f t="shared" si="116"/>
        <v>772955.895767565</v>
      </c>
      <c r="E213" s="217">
        <f t="shared" si="116"/>
        <v>968.25007844289405</v>
      </c>
      <c r="F213" s="217">
        <f t="shared" si="116"/>
        <v>866.12452535896023</v>
      </c>
      <c r="G213" s="217">
        <f t="shared" si="116"/>
        <v>4009.6303533868854</v>
      </c>
      <c r="H213" s="415"/>
      <c r="Q213" s="211"/>
      <c r="R213" s="211"/>
    </row>
    <row r="214" spans="1:18">
      <c r="A214" s="216">
        <f t="shared" si="115"/>
        <v>2009</v>
      </c>
      <c r="B214" s="217">
        <f t="shared" si="116"/>
        <v>11053.305243749297</v>
      </c>
      <c r="C214" s="217">
        <f t="shared" si="116"/>
        <v>29177.314431231673</v>
      </c>
      <c r="D214" s="217">
        <f t="shared" si="116"/>
        <v>729009.7077116638</v>
      </c>
      <c r="E214" s="217">
        <f t="shared" si="116"/>
        <v>935.5256232173823</v>
      </c>
      <c r="F214" s="217">
        <f t="shared" si="116"/>
        <v>858.02032668751247</v>
      </c>
      <c r="G214" s="217">
        <f t="shared" si="116"/>
        <v>3645.3352865296838</v>
      </c>
      <c r="H214" s="415"/>
      <c r="Q214" s="211"/>
      <c r="R214" s="211"/>
    </row>
    <row r="215" spans="1:18">
      <c r="A215" s="216">
        <f t="shared" ref="A215:A222" si="117">A202</f>
        <v>2010</v>
      </c>
      <c r="B215" s="217">
        <f t="shared" si="116"/>
        <v>10579.860016862096</v>
      </c>
      <c r="C215" s="217">
        <f t="shared" si="116"/>
        <v>28591.639699269665</v>
      </c>
      <c r="D215" s="217">
        <f t="shared" si="116"/>
        <v>710573.50633338408</v>
      </c>
      <c r="E215" s="217">
        <f t="shared" si="116"/>
        <v>946.54757563958538</v>
      </c>
      <c r="F215" s="217">
        <f t="shared" si="116"/>
        <v>873.02750861798791</v>
      </c>
      <c r="G215" s="217">
        <f t="shared" si="116"/>
        <v>3345.1719054930372</v>
      </c>
      <c r="H215" s="415"/>
      <c r="Q215" s="211"/>
      <c r="R215" s="211"/>
    </row>
    <row r="216" spans="1:18">
      <c r="A216" s="209">
        <f t="shared" si="117"/>
        <v>2011</v>
      </c>
      <c r="B216" s="217">
        <f t="shared" si="116"/>
        <v>10313.423083236239</v>
      </c>
      <c r="C216" s="217">
        <f t="shared" si="116"/>
        <v>28461.628405930747</v>
      </c>
      <c r="D216" s="217">
        <f t="shared" si="116"/>
        <v>717533.83785021957</v>
      </c>
      <c r="E216" s="217">
        <f t="shared" si="116"/>
        <v>945.98762356913448</v>
      </c>
      <c r="F216" s="217">
        <f t="shared" si="116"/>
        <v>872.64336706366453</v>
      </c>
      <c r="G216" s="217">
        <f t="shared" si="116"/>
        <v>3302.6558001698595</v>
      </c>
      <c r="H216" s="415"/>
      <c r="Q216" s="211"/>
      <c r="R216" s="211"/>
    </row>
    <row r="217" spans="1:18">
      <c r="A217" s="209">
        <f t="shared" si="117"/>
        <v>2012</v>
      </c>
      <c r="B217" s="217">
        <f t="shared" si="116"/>
        <v>9973.4255392003852</v>
      </c>
      <c r="C217" s="217">
        <f t="shared" si="116"/>
        <v>27813.173367878175</v>
      </c>
      <c r="D217" s="217">
        <f t="shared" si="116"/>
        <v>718976.07103368978</v>
      </c>
      <c r="E217" s="217">
        <f t="shared" si="116"/>
        <v>907.17173635850872</v>
      </c>
      <c r="F217" s="217">
        <f t="shared" si="116"/>
        <v>856.02672116255314</v>
      </c>
      <c r="G217" s="217">
        <f t="shared" si="116"/>
        <v>3249.8591451568141</v>
      </c>
      <c r="H217" s="415"/>
      <c r="Q217" s="211"/>
      <c r="R217" s="211"/>
    </row>
    <row r="218" spans="1:18">
      <c r="A218" s="209">
        <f t="shared" si="117"/>
        <v>2013</v>
      </c>
      <c r="B218" s="217">
        <f t="shared" si="116"/>
        <v>10424.611992220442</v>
      </c>
      <c r="C218" s="217">
        <f t="shared" si="116"/>
        <v>27882.839008088224</v>
      </c>
      <c r="D218" s="217">
        <f t="shared" si="116"/>
        <v>695817.37504486111</v>
      </c>
      <c r="E218" s="217">
        <f t="shared" si="116"/>
        <v>870.87326741212189</v>
      </c>
      <c r="F218" s="217">
        <f t="shared" si="116"/>
        <v>858.54414866085972</v>
      </c>
      <c r="G218" s="217">
        <f t="shared" si="116"/>
        <v>3229.8683442810006</v>
      </c>
      <c r="H218" s="415"/>
      <c r="Q218" s="211"/>
      <c r="R218" s="211"/>
    </row>
    <row r="219" spans="1:18">
      <c r="A219" s="209">
        <f t="shared" si="117"/>
        <v>2014</v>
      </c>
      <c r="B219" s="217">
        <f t="shared" si="116"/>
        <v>10437.113504700153</v>
      </c>
      <c r="C219" s="217">
        <f t="shared" si="116"/>
        <v>27750.941167900961</v>
      </c>
      <c r="D219" s="217">
        <f t="shared" si="116"/>
        <v>708637.96062427794</v>
      </c>
      <c r="E219" s="217">
        <f t="shared" si="116"/>
        <v>882.42110512481452</v>
      </c>
      <c r="F219" s="217">
        <f t="shared" si="116"/>
        <v>845.96228880138801</v>
      </c>
      <c r="G219" s="217">
        <f t="shared" si="116"/>
        <v>3290.6861532183357</v>
      </c>
      <c r="H219" s="415"/>
      <c r="Q219" s="211"/>
      <c r="R219" s="211"/>
    </row>
    <row r="220" spans="1:18">
      <c r="A220" s="209">
        <f t="shared" si="117"/>
        <v>2015</v>
      </c>
      <c r="B220" s="217">
        <f t="shared" si="116"/>
        <v>9821.6835961920897</v>
      </c>
      <c r="C220" s="217">
        <f t="shared" si="116"/>
        <v>27427.819830409127</v>
      </c>
      <c r="D220" s="217">
        <f t="shared" si="116"/>
        <v>768537.99478074873</v>
      </c>
      <c r="E220" s="217">
        <f t="shared" si="116"/>
        <v>926.57433962264156</v>
      </c>
      <c r="F220" s="217">
        <f t="shared" si="116"/>
        <v>733.77575994938718</v>
      </c>
      <c r="G220" s="217">
        <f t="shared" si="116"/>
        <v>3326.9520766773171</v>
      </c>
      <c r="H220" s="415"/>
      <c r="Q220" s="211"/>
      <c r="R220" s="211"/>
    </row>
    <row r="221" spans="1:18">
      <c r="A221" s="209">
        <f t="shared" si="117"/>
        <v>2016</v>
      </c>
      <c r="B221" s="217">
        <f t="shared" si="116"/>
        <v>9419.0500727390336</v>
      </c>
      <c r="C221" s="217">
        <f t="shared" si="116"/>
        <v>27211.305783564625</v>
      </c>
      <c r="D221" s="217">
        <f t="shared" si="116"/>
        <v>780974.41558142228</v>
      </c>
      <c r="E221" s="217">
        <f t="shared" si="116"/>
        <v>932.12082802547764</v>
      </c>
      <c r="F221" s="217">
        <f t="shared" si="116"/>
        <v>423.81881938952489</v>
      </c>
      <c r="G221" s="217">
        <f t="shared" si="116"/>
        <v>3256.2352941176468</v>
      </c>
      <c r="H221" s="415"/>
      <c r="Q221" s="211"/>
      <c r="R221" s="211"/>
    </row>
    <row r="222" spans="1:18">
      <c r="A222" s="209">
        <f t="shared" si="117"/>
        <v>2017</v>
      </c>
      <c r="B222" s="217">
        <f t="shared" si="116"/>
        <v>9233.7667151650803</v>
      </c>
      <c r="C222" s="217">
        <f t="shared" si="116"/>
        <v>26853.620798196866</v>
      </c>
      <c r="D222" s="217">
        <f t="shared" si="116"/>
        <v>846551.08527110156</v>
      </c>
      <c r="E222" s="217">
        <f t="shared" si="116"/>
        <v>972.16703296703292</v>
      </c>
      <c r="F222" s="217">
        <f t="shared" si="116"/>
        <v>405.30860096491625</v>
      </c>
      <c r="G222" s="217">
        <f t="shared" si="116"/>
        <v>3256.2352941176468</v>
      </c>
      <c r="H222" s="415"/>
      <c r="Q222" s="211"/>
      <c r="R222" s="211"/>
    </row>
    <row r="223" spans="1:18" ht="13">
      <c r="A223" s="407" t="s">
        <v>198</v>
      </c>
      <c r="B223" s="408"/>
      <c r="C223" s="408"/>
      <c r="D223" s="408"/>
      <c r="E223" s="408"/>
      <c r="F223" s="408"/>
      <c r="G223" s="409"/>
      <c r="H223" s="415"/>
      <c r="Q223" s="211"/>
      <c r="R223" s="211"/>
    </row>
    <row r="224" spans="1:18">
      <c r="A224" s="209">
        <f t="shared" ref="A224:A225" si="118">A200</f>
        <v>2008</v>
      </c>
      <c r="B224" s="210">
        <f>B184*1000000/B200</f>
        <v>11103.099553565315</v>
      </c>
      <c r="C224" s="210">
        <f t="shared" ref="C224:G224" si="119">C184*1000000/C200</f>
        <v>30039.028533783734</v>
      </c>
      <c r="D224" s="210">
        <f t="shared" si="119"/>
        <v>759673.36428238184</v>
      </c>
      <c r="E224" s="210">
        <f t="shared" si="119"/>
        <v>951.61159722699267</v>
      </c>
      <c r="F224" s="210">
        <f t="shared" si="119"/>
        <v>851.24097722747774</v>
      </c>
      <c r="G224" s="210">
        <f t="shared" si="119"/>
        <v>3940.7285677812256</v>
      </c>
      <c r="H224" s="415"/>
      <c r="Q224" s="211"/>
      <c r="R224" s="211"/>
    </row>
    <row r="225" spans="1:24">
      <c r="A225" s="209">
        <f t="shared" si="118"/>
        <v>2009</v>
      </c>
      <c r="B225" s="210">
        <f t="shared" ref="B225:B232" si="120">B185*1000000/B201</f>
        <v>10982.706715946744</v>
      </c>
      <c r="C225" s="210">
        <f t="shared" ref="C225:G225" si="121">C185*1000000/C201</f>
        <v>28990.956106852453</v>
      </c>
      <c r="D225" s="210">
        <f t="shared" si="121"/>
        <v>724353.45232169179</v>
      </c>
      <c r="E225" s="210">
        <f t="shared" si="121"/>
        <v>929.55033073570019</v>
      </c>
      <c r="F225" s="210">
        <f t="shared" si="121"/>
        <v>852.54006801800176</v>
      </c>
      <c r="G225" s="210">
        <f t="shared" si="121"/>
        <v>3622.0521780928448</v>
      </c>
      <c r="H225" s="415"/>
      <c r="Q225" s="211"/>
      <c r="R225" s="211"/>
    </row>
    <row r="226" spans="1:24">
      <c r="A226" s="209">
        <f t="shared" ref="A226:A235" si="122">A202</f>
        <v>2010</v>
      </c>
      <c r="B226" s="210">
        <f t="shared" si="120"/>
        <v>10639.473666398117</v>
      </c>
      <c r="C226" s="210">
        <f t="shared" ref="C226:G226" si="123">C186*1000000/C202</f>
        <v>28752.74315299929</v>
      </c>
      <c r="D226" s="210">
        <f t="shared" si="123"/>
        <v>714577.32868156536</v>
      </c>
      <c r="E226" s="210">
        <f t="shared" si="123"/>
        <v>951.88102573754668</v>
      </c>
      <c r="F226" s="210">
        <f t="shared" si="123"/>
        <v>877.94669997317715</v>
      </c>
      <c r="G226" s="210">
        <f t="shared" si="123"/>
        <v>3364.0207281895555</v>
      </c>
      <c r="H226" s="415"/>
      <c r="Q226" s="211"/>
      <c r="R226" s="211"/>
    </row>
    <row r="227" spans="1:24">
      <c r="A227" s="209">
        <f t="shared" si="122"/>
        <v>2011</v>
      </c>
      <c r="B227" s="210">
        <f t="shared" si="120"/>
        <v>10404.727472365583</v>
      </c>
      <c r="C227" s="210">
        <f t="shared" ref="C227:G227" si="124">C187*1000000/C203</f>
        <v>28713.598248945709</v>
      </c>
      <c r="D227" s="210">
        <f t="shared" si="124"/>
        <v>723886.14088441164</v>
      </c>
      <c r="E227" s="210">
        <f t="shared" si="124"/>
        <v>954.36242031671395</v>
      </c>
      <c r="F227" s="210">
        <f t="shared" si="124"/>
        <v>880.36884956491383</v>
      </c>
      <c r="G227" s="210">
        <f t="shared" si="124"/>
        <v>3331.8941013532112</v>
      </c>
      <c r="H227" s="415"/>
      <c r="Q227" s="211"/>
      <c r="R227" s="211"/>
    </row>
    <row r="228" spans="1:24">
      <c r="A228" s="209">
        <f t="shared" si="122"/>
        <v>2012</v>
      </c>
      <c r="B228" s="210">
        <f t="shared" si="120"/>
        <v>10099.487145650137</v>
      </c>
      <c r="C228" s="210">
        <f t="shared" ref="C228:G228" si="125">C188*1000000/C204</f>
        <v>28164.724928717449</v>
      </c>
      <c r="D228" s="210">
        <f t="shared" si="125"/>
        <v>728063.7488989525</v>
      </c>
      <c r="E228" s="210">
        <f t="shared" si="125"/>
        <v>918.63816040325401</v>
      </c>
      <c r="F228" s="210">
        <f t="shared" si="125"/>
        <v>866.8466849963952</v>
      </c>
      <c r="G228" s="210">
        <f t="shared" si="125"/>
        <v>3290.9365526096126</v>
      </c>
      <c r="H228" s="415"/>
      <c r="Q228" s="211"/>
      <c r="R228" s="211"/>
    </row>
    <row r="229" spans="1:24">
      <c r="A229" s="209">
        <f t="shared" si="122"/>
        <v>2013</v>
      </c>
      <c r="B229" s="210">
        <f t="shared" si="120"/>
        <v>10451.16606808691</v>
      </c>
      <c r="C229" s="210">
        <f t="shared" ref="C229:G229" si="126">C189*1000000/C205</f>
        <v>27953.863524199318</v>
      </c>
      <c r="D229" s="210">
        <f t="shared" si="126"/>
        <v>697589.79471668566</v>
      </c>
      <c r="E229" s="210">
        <f t="shared" si="126"/>
        <v>873.09159791978971</v>
      </c>
      <c r="F229" s="210">
        <f t="shared" si="126"/>
        <v>860.73107384093043</v>
      </c>
      <c r="G229" s="210">
        <f t="shared" si="126"/>
        <v>3238.0956211443267</v>
      </c>
      <c r="H229" s="415"/>
      <c r="Q229" s="211"/>
      <c r="R229" s="211"/>
    </row>
    <row r="230" spans="1:24">
      <c r="A230" s="209">
        <f t="shared" si="122"/>
        <v>2014</v>
      </c>
      <c r="B230" s="210">
        <f t="shared" si="120"/>
        <v>10307.557310896253</v>
      </c>
      <c r="C230" s="210">
        <f t="shared" ref="C230:G230" si="127">C190*1000000/C206</f>
        <v>27406.467927232443</v>
      </c>
      <c r="D230" s="210">
        <f t="shared" si="127"/>
        <v>699841.61698749603</v>
      </c>
      <c r="E230" s="210">
        <f t="shared" si="127"/>
        <v>871.46758625575944</v>
      </c>
      <c r="F230" s="210">
        <f t="shared" si="127"/>
        <v>835.46133428083124</v>
      </c>
      <c r="G230" s="210">
        <f t="shared" si="127"/>
        <v>3249.8387701921592</v>
      </c>
      <c r="H230" s="415"/>
      <c r="Q230" s="211"/>
      <c r="R230" s="211"/>
    </row>
    <row r="231" spans="1:24">
      <c r="A231" s="209">
        <f t="shared" si="122"/>
        <v>2015</v>
      </c>
      <c r="B231" s="210">
        <f t="shared" si="120"/>
        <v>9760.7674129725583</v>
      </c>
      <c r="C231" s="210">
        <f t="shared" ref="C231:G231" si="128">C191*1000000/C207</f>
        <v>27257.706623061535</v>
      </c>
      <c r="D231" s="210">
        <f t="shared" si="128"/>
        <v>763771.35769223713</v>
      </c>
      <c r="E231" s="210">
        <f t="shared" si="128"/>
        <v>920.82752730821801</v>
      </c>
      <c r="F231" s="210">
        <f t="shared" si="128"/>
        <v>729.22472567941145</v>
      </c>
      <c r="G231" s="210">
        <f t="shared" si="128"/>
        <v>3306.3176080263361</v>
      </c>
      <c r="H231" s="415"/>
      <c r="Q231" s="211"/>
      <c r="R231" s="211"/>
    </row>
    <row r="232" spans="1:24">
      <c r="A232" s="209">
        <f t="shared" si="122"/>
        <v>2016</v>
      </c>
      <c r="B232" s="210">
        <f t="shared" si="120"/>
        <v>9417.2766189265149</v>
      </c>
      <c r="C232" s="210">
        <f t="shared" ref="C232:G232" si="129">C192*1000000/C208</f>
        <v>27206.18233761064</v>
      </c>
      <c r="D232" s="210">
        <f t="shared" si="129"/>
        <v>780827.37081107951</v>
      </c>
      <c r="E232" s="210">
        <f t="shared" si="129"/>
        <v>931.94532484591855</v>
      </c>
      <c r="F232" s="210">
        <f t="shared" si="129"/>
        <v>423.73902120443614</v>
      </c>
      <c r="G232" s="210">
        <f t="shared" si="129"/>
        <v>3255.6221980143009</v>
      </c>
      <c r="H232" s="415"/>
      <c r="Q232" s="211"/>
      <c r="R232" s="211"/>
    </row>
    <row r="233" spans="1:24">
      <c r="A233" s="209">
        <f t="shared" si="122"/>
        <v>2017</v>
      </c>
      <c r="B233" s="210">
        <f>B193*1000000/B209</f>
        <v>9363.5875252193109</v>
      </c>
      <c r="C233" s="210">
        <f t="shared" ref="C233:G233" si="130">C193*1000000/C209</f>
        <v>27231.165402955561</v>
      </c>
      <c r="D233" s="210">
        <f t="shared" si="130"/>
        <v>858453.04803800653</v>
      </c>
      <c r="E233" s="210">
        <f t="shared" si="130"/>
        <v>985.83507501541169</v>
      </c>
      <c r="F233" s="210">
        <f t="shared" si="130"/>
        <v>411.00697872583544</v>
      </c>
      <c r="G233" s="210">
        <f t="shared" si="130"/>
        <v>3302.0158641330513</v>
      </c>
      <c r="H233" s="415"/>
      <c r="Q233" s="211"/>
      <c r="R233" s="211"/>
    </row>
    <row r="234" spans="1:24">
      <c r="A234" s="209" t="str">
        <f t="shared" si="122"/>
        <v>2018 Bridge</v>
      </c>
      <c r="B234" s="210">
        <f>B194*1000000/B210</f>
        <v>9405.135497305173</v>
      </c>
      <c r="C234" s="210">
        <f t="shared" ref="C234:G234" si="131">C194*1000000/C210</f>
        <v>27425.707311997849</v>
      </c>
      <c r="D234" s="210">
        <f t="shared" si="131"/>
        <v>853986.78299880307</v>
      </c>
      <c r="E234" s="210">
        <f t="shared" si="131"/>
        <v>972.16703296703372</v>
      </c>
      <c r="F234" s="210">
        <f t="shared" si="131"/>
        <v>405.30860096491625</v>
      </c>
      <c r="G234" s="210">
        <f t="shared" si="131"/>
        <v>3256.2352941176468</v>
      </c>
      <c r="H234" s="415"/>
      <c r="Q234" s="211"/>
      <c r="R234" s="211"/>
    </row>
    <row r="235" spans="1:24">
      <c r="A235" s="209" t="str">
        <f t="shared" si="122"/>
        <v>2019 Test</v>
      </c>
      <c r="B235" s="210">
        <f>B195*1000000/B211</f>
        <v>9340.5180366007098</v>
      </c>
      <c r="C235" s="210">
        <f t="shared" ref="C235:G235" si="132">C195*1000000/C211</f>
        <v>27366.206110888212</v>
      </c>
      <c r="D235" s="210">
        <f t="shared" si="132"/>
        <v>842067.12105746847</v>
      </c>
      <c r="E235" s="210">
        <f t="shared" si="132"/>
        <v>972.16703296703372</v>
      </c>
      <c r="F235" s="210">
        <f t="shared" si="132"/>
        <v>405.30860096491625</v>
      </c>
      <c r="G235" s="210">
        <f t="shared" si="132"/>
        <v>3256.2352941176468</v>
      </c>
      <c r="H235" s="415"/>
      <c r="Q235" s="211"/>
      <c r="R235" s="211"/>
    </row>
    <row r="236" spans="1:24">
      <c r="A236" s="202"/>
      <c r="B236" s="212"/>
      <c r="C236" s="212"/>
      <c r="D236" s="212"/>
      <c r="E236" s="212"/>
      <c r="F236" s="212"/>
      <c r="G236" s="212"/>
      <c r="H236" s="212"/>
      <c r="I236" s="212"/>
      <c r="V236" s="211"/>
      <c r="W236" s="211"/>
      <c r="X236" s="211"/>
    </row>
    <row r="237" spans="1:24" ht="23.25" customHeight="1">
      <c r="O237" s="406" t="s">
        <v>263</v>
      </c>
      <c r="P237" s="406"/>
    </row>
    <row r="238" spans="1:24" ht="13">
      <c r="O238" s="416" t="s">
        <v>199</v>
      </c>
      <c r="P238" s="416"/>
    </row>
    <row r="239" spans="1:24">
      <c r="F239" s="218"/>
      <c r="O239" s="190" t="s">
        <v>22</v>
      </c>
      <c r="P239" s="219">
        <f>'Purchased Power Model '!V6</f>
        <v>0.9504347983436644</v>
      </c>
    </row>
    <row r="240" spans="1:24">
      <c r="O240" s="190" t="s">
        <v>23</v>
      </c>
      <c r="P240" s="219">
        <f>'Purchased Power Model '!V7</f>
        <v>0.94871079132953096</v>
      </c>
    </row>
    <row r="241" spans="1:16">
      <c r="O241" s="190" t="s">
        <v>200</v>
      </c>
      <c r="P241" s="220">
        <f>'Purchased Power Model '!Y13</f>
        <v>551.29404378984327</v>
      </c>
    </row>
    <row r="242" spans="1:16">
      <c r="O242" s="190" t="s">
        <v>201</v>
      </c>
      <c r="P242" s="219">
        <f>'Purchased Power Model '!T123</f>
        <v>3.5093380869793085E-2</v>
      </c>
    </row>
    <row r="243" spans="1:16">
      <c r="O243" s="190" t="s">
        <v>202</v>
      </c>
      <c r="P243" s="220"/>
    </row>
    <row r="244" spans="1:16">
      <c r="O244" s="221" t="str">
        <f>'[17]Purchased Power Model'!X19</f>
        <v>Heating Degree Days</v>
      </c>
      <c r="P244" s="222">
        <f>'Purchased Power Model '!X19</f>
        <v>35.922976854808944</v>
      </c>
    </row>
    <row r="245" spans="1:16">
      <c r="O245" s="221" t="str">
        <f>'[17]Purchased Power Model'!X20</f>
        <v>Cooling Degree Days</v>
      </c>
      <c r="P245" s="222">
        <f>'Purchased Power Model '!X20</f>
        <v>7.4714420578516805</v>
      </c>
    </row>
    <row r="246" spans="1:16">
      <c r="O246" s="221" t="str">
        <f>'[17]Purchased Power Model'!X21</f>
        <v>Number of Days in Month</v>
      </c>
      <c r="P246" s="222">
        <f>'Purchased Power Model '!X21</f>
        <v>6.9033818069576922</v>
      </c>
    </row>
    <row r="247" spans="1:16">
      <c r="O247" s="221" t="str">
        <f>'[17]Purchased Power Model'!X22</f>
        <v>Spring Fall Flag</v>
      </c>
      <c r="P247" s="222">
        <f>'Purchased Power Model '!X22</f>
        <v>-7.0691492556726541</v>
      </c>
    </row>
    <row r="248" spans="1:16">
      <c r="A248" s="223"/>
      <c r="B248" s="224"/>
      <c r="O248" s="221" t="str">
        <f>'[17]Purchased Power Model'!X26</f>
        <v>CDM Activity</v>
      </c>
      <c r="P248" s="222">
        <f>'Purchased Power Model '!X23</f>
        <v>0</v>
      </c>
    </row>
    <row r="249" spans="1:16">
      <c r="A249" s="223"/>
      <c r="B249" s="224"/>
      <c r="O249" s="221" t="s">
        <v>203</v>
      </c>
      <c r="P249" s="222">
        <f>'Purchased Power Model '!X18</f>
        <v>0.28193672661040375</v>
      </c>
    </row>
    <row r="250" spans="1:16">
      <c r="A250" s="223"/>
      <c r="B250" s="224"/>
      <c r="O250" s="225"/>
      <c r="P250" s="226"/>
    </row>
    <row r="251" spans="1:16" ht="13">
      <c r="A251" s="223"/>
      <c r="B251" s="224"/>
      <c r="C251" s="406" t="s">
        <v>264</v>
      </c>
      <c r="D251" s="406"/>
      <c r="E251" s="406"/>
      <c r="F251" s="406"/>
      <c r="G251" s="406"/>
      <c r="H251" s="406"/>
      <c r="O251" s="225"/>
      <c r="P251" s="226"/>
    </row>
    <row r="252" spans="1:16" s="194" customFormat="1" ht="109.5" customHeight="1">
      <c r="A252" s="223"/>
      <c r="B252" s="224"/>
      <c r="C252" s="272" t="s">
        <v>184</v>
      </c>
      <c r="D252" s="273" t="s">
        <v>265</v>
      </c>
      <c r="E252" s="273" t="s">
        <v>204</v>
      </c>
      <c r="F252" s="273" t="s">
        <v>266</v>
      </c>
      <c r="G252" s="273" t="s">
        <v>205</v>
      </c>
      <c r="H252" s="281" t="s">
        <v>206</v>
      </c>
      <c r="N252" s="225"/>
      <c r="O252" s="226"/>
    </row>
    <row r="253" spans="1:16">
      <c r="A253" s="223"/>
      <c r="B253" s="224"/>
      <c r="C253" s="190">
        <f>'[17]CDM Activity '!A4</f>
        <v>2006</v>
      </c>
      <c r="D253" s="210">
        <f>'CDM Activity'!B4</f>
        <v>524946.73878376477</v>
      </c>
      <c r="E253" s="210">
        <f>'[17]CDM Activity '!C4</f>
        <v>0</v>
      </c>
      <c r="F253" s="210">
        <f>'[17]CDM Activity '!D4</f>
        <v>0</v>
      </c>
      <c r="G253" s="210">
        <f>'[17]CDM Activity '!F4</f>
        <v>0</v>
      </c>
      <c r="H253" s="210">
        <f t="shared" ref="H253:H266" si="133">SUM(D253:G253)</f>
        <v>524946.73878376477</v>
      </c>
      <c r="N253" s="225"/>
      <c r="O253" s="226"/>
    </row>
    <row r="254" spans="1:16">
      <c r="A254" s="223"/>
      <c r="B254" s="224"/>
      <c r="C254" s="190">
        <f>'[17]CDM Activity '!A5</f>
        <v>2007</v>
      </c>
      <c r="D254" s="210">
        <f>'CDM Activity'!B5</f>
        <v>1571386.5025537708</v>
      </c>
      <c r="E254" s="210">
        <f>'[17]CDM Activity '!C5</f>
        <v>0</v>
      </c>
      <c r="F254" s="210">
        <f>'[17]CDM Activity '!D5</f>
        <v>0</v>
      </c>
      <c r="G254" s="210">
        <f>'[17]CDM Activity '!F5</f>
        <v>0</v>
      </c>
      <c r="H254" s="210">
        <f t="shared" si="133"/>
        <v>1571386.5025537708</v>
      </c>
      <c r="N254" s="225"/>
      <c r="O254" s="226"/>
    </row>
    <row r="255" spans="1:16">
      <c r="A255" s="223"/>
      <c r="B255" s="224"/>
      <c r="C255" s="190">
        <f>'[17]CDM Activity '!A6</f>
        <v>2008</v>
      </c>
      <c r="D255" s="210">
        <f>'CDM Activity'!B6</f>
        <v>2035702.4628357391</v>
      </c>
      <c r="E255" s="210">
        <f>'[17]CDM Activity '!C6</f>
        <v>0</v>
      </c>
      <c r="F255" s="210">
        <f>'[17]CDM Activity '!D6</f>
        <v>0</v>
      </c>
      <c r="G255" s="210">
        <f>'[17]CDM Activity '!F6</f>
        <v>0</v>
      </c>
      <c r="H255" s="210">
        <f t="shared" si="133"/>
        <v>2035702.4628357391</v>
      </c>
      <c r="N255" s="225"/>
      <c r="O255" s="226"/>
    </row>
    <row r="256" spans="1:16">
      <c r="A256" s="223"/>
      <c r="B256" s="224"/>
      <c r="C256" s="190">
        <f>'[17]CDM Activity '!A7</f>
        <v>2009</v>
      </c>
      <c r="D256" s="210">
        <f>'CDM Activity'!B7</f>
        <v>2988155.4875458516</v>
      </c>
      <c r="E256" s="210">
        <f>'[17]CDM Activity '!C7</f>
        <v>0</v>
      </c>
      <c r="F256" s="210">
        <f>'[17]CDM Activity '!D7</f>
        <v>0</v>
      </c>
      <c r="G256" s="210">
        <f>'[17]CDM Activity '!F7</f>
        <v>0</v>
      </c>
      <c r="H256" s="210">
        <f t="shared" si="133"/>
        <v>2988155.4875458516</v>
      </c>
      <c r="N256" s="225"/>
      <c r="O256" s="226"/>
    </row>
    <row r="257" spans="1:16">
      <c r="A257" s="223"/>
      <c r="B257" s="224"/>
      <c r="C257" s="190">
        <f>'[17]CDM Activity '!A8</f>
        <v>2010</v>
      </c>
      <c r="D257" s="210">
        <f>'CDM Activity'!B8</f>
        <v>3122435.8421631912</v>
      </c>
      <c r="E257" s="210">
        <f>'[17]CDM Activity '!C8</f>
        <v>0</v>
      </c>
      <c r="F257" s="210">
        <f>'[17]CDM Activity '!D8</f>
        <v>0</v>
      </c>
      <c r="G257" s="210">
        <f>'[17]CDM Activity '!F8</f>
        <v>0</v>
      </c>
      <c r="H257" s="210">
        <f t="shared" si="133"/>
        <v>3122435.8421631912</v>
      </c>
      <c r="N257" s="225"/>
      <c r="O257" s="226"/>
    </row>
    <row r="258" spans="1:16">
      <c r="A258" s="223"/>
      <c r="B258" s="224"/>
      <c r="C258" s="190">
        <f>'[17]CDM Activity '!A9</f>
        <v>2011</v>
      </c>
      <c r="D258" s="210">
        <f>'CDM Activity'!B9</f>
        <v>3107359.7558825547</v>
      </c>
      <c r="E258" s="210">
        <f>'CDM Activity'!C9</f>
        <v>400221.73733411991</v>
      </c>
      <c r="F258" s="210">
        <f>'[17]CDM Activity '!D9</f>
        <v>0</v>
      </c>
      <c r="G258" s="210">
        <f>'[17]CDM Activity '!F9</f>
        <v>0</v>
      </c>
      <c r="H258" s="210">
        <f t="shared" si="133"/>
        <v>3507581.4932166748</v>
      </c>
      <c r="N258" s="225"/>
      <c r="O258" s="226"/>
    </row>
    <row r="259" spans="1:16">
      <c r="A259" s="223"/>
      <c r="B259" s="224"/>
      <c r="C259" s="190">
        <f>'[17]CDM Activity '!A10</f>
        <v>2012</v>
      </c>
      <c r="D259" s="210">
        <f>'CDM Activity'!B10</f>
        <v>3023111.7243767641</v>
      </c>
      <c r="E259" s="210">
        <f>'CDM Activity'!C10</f>
        <v>1637933.8999390081</v>
      </c>
      <c r="F259" s="210">
        <f>'[17]CDM Activity '!D10</f>
        <v>0</v>
      </c>
      <c r="G259" s="210">
        <f>'[17]CDM Activity '!F10</f>
        <v>0</v>
      </c>
      <c r="H259" s="210">
        <f t="shared" si="133"/>
        <v>4661045.6243157722</v>
      </c>
      <c r="N259" s="225"/>
      <c r="O259" s="226"/>
    </row>
    <row r="260" spans="1:16">
      <c r="A260" s="223"/>
      <c r="B260" s="224"/>
      <c r="C260" s="190">
        <f>'[17]CDM Activity '!A11</f>
        <v>2013</v>
      </c>
      <c r="D260" s="210">
        <f>'CDM Activity'!B11</f>
        <v>2987737.5721033341</v>
      </c>
      <c r="E260" s="210">
        <f>'CDM Activity'!C11</f>
        <v>2931154.3485697471</v>
      </c>
      <c r="F260" s="210">
        <f>'[17]CDM Activity '!D11</f>
        <v>0</v>
      </c>
      <c r="G260" s="210">
        <f>'[17]CDM Activity '!F11</f>
        <v>0</v>
      </c>
      <c r="H260" s="210">
        <f t="shared" si="133"/>
        <v>5918891.9206730817</v>
      </c>
      <c r="N260" s="225"/>
      <c r="O260" s="226"/>
    </row>
    <row r="261" spans="1:16">
      <c r="A261" s="223"/>
      <c r="B261" s="224"/>
      <c r="C261" s="190">
        <f>'[17]CDM Activity '!A12</f>
        <v>2014</v>
      </c>
      <c r="D261" s="210">
        <f>'CDM Activity'!B12</f>
        <v>2777403.847705768</v>
      </c>
      <c r="E261" s="210">
        <f>'CDM Activity'!C12</f>
        <v>4568488.1742371134</v>
      </c>
      <c r="F261" s="210">
        <f>'[17]CDM Activity '!D12</f>
        <v>0</v>
      </c>
      <c r="G261" s="210">
        <f>'[17]CDM Activity '!F12</f>
        <v>0</v>
      </c>
      <c r="H261" s="210">
        <f t="shared" si="133"/>
        <v>7345892.0219428819</v>
      </c>
      <c r="N261" s="225"/>
      <c r="O261" s="226"/>
    </row>
    <row r="262" spans="1:16">
      <c r="A262" s="223"/>
      <c r="B262" s="224"/>
      <c r="C262" s="190">
        <f>'[17]CDM Activity '!A13</f>
        <v>2015</v>
      </c>
      <c r="D262" s="210">
        <f>'CDM Activity'!B13</f>
        <v>2224944.0521137356</v>
      </c>
      <c r="E262" s="210">
        <f>'CDM Activity'!C13</f>
        <v>5400097.0520439651</v>
      </c>
      <c r="F262" s="210">
        <f>'CDM Activity'!D13</f>
        <v>2626679.5</v>
      </c>
      <c r="G262" s="210">
        <f>'[17]CDM Activity '!F13</f>
        <v>0</v>
      </c>
      <c r="H262" s="210">
        <f t="shared" si="133"/>
        <v>10251720.604157701</v>
      </c>
      <c r="N262" s="225"/>
      <c r="O262" s="226"/>
    </row>
    <row r="263" spans="1:16">
      <c r="A263" s="223"/>
      <c r="B263" s="224"/>
      <c r="C263" s="190">
        <f>'[17]CDM Activity '!A14</f>
        <v>2016</v>
      </c>
      <c r="D263" s="210">
        <f>'CDM Activity'!B14</f>
        <v>2078197.1172568437</v>
      </c>
      <c r="E263" s="210">
        <f>'CDM Activity'!C14</f>
        <v>5018785.4826802164</v>
      </c>
      <c r="F263" s="210">
        <f>'CDM Activity'!D14</f>
        <v>6443691</v>
      </c>
      <c r="G263" s="210">
        <f>'[17]CDM Activity '!F14</f>
        <v>0</v>
      </c>
      <c r="H263" s="210">
        <f t="shared" si="133"/>
        <v>13540673.599937059</v>
      </c>
      <c r="N263" s="225"/>
      <c r="O263" s="226"/>
    </row>
    <row r="264" spans="1:16">
      <c r="A264" s="223"/>
      <c r="B264" s="224"/>
      <c r="C264" s="190">
        <f>'[17]CDM Activity '!A15</f>
        <v>2017</v>
      </c>
      <c r="D264" s="210">
        <f>'CDM Activity'!B15</f>
        <v>1470942.2208651591</v>
      </c>
      <c r="E264" s="210">
        <f>'CDM Activity'!C15</f>
        <v>3715799.6313735764</v>
      </c>
      <c r="F264" s="210">
        <f>'CDM Activity'!D15</f>
        <v>7664982</v>
      </c>
      <c r="G264" s="210">
        <f>'CDM Activity'!E15</f>
        <v>1186936.6433770359</v>
      </c>
      <c r="H264" s="210">
        <f t="shared" si="133"/>
        <v>14038660.495615771</v>
      </c>
      <c r="N264" s="225"/>
      <c r="O264" s="226"/>
    </row>
    <row r="265" spans="1:16">
      <c r="A265" s="223"/>
      <c r="B265" s="224"/>
      <c r="C265" s="190">
        <f>'[17]CDM Activity '!A16</f>
        <v>2018</v>
      </c>
      <c r="D265" s="210">
        <f>'CDM Activity'!B16</f>
        <v>827765.83287634072</v>
      </c>
      <c r="E265" s="210">
        <f>'CDM Activity'!C16</f>
        <v>3634424.7846477646</v>
      </c>
      <c r="F265" s="210">
        <f>'CDM Activity'!D16</f>
        <v>7658189</v>
      </c>
      <c r="G265" s="210">
        <f>'CDM Activity'!E16</f>
        <v>2373873.2867540717</v>
      </c>
      <c r="H265" s="210">
        <f t="shared" si="133"/>
        <v>14494252.904278178</v>
      </c>
      <c r="N265" s="225"/>
      <c r="O265" s="226"/>
    </row>
    <row r="266" spans="1:16">
      <c r="A266" s="223"/>
      <c r="B266" s="224"/>
      <c r="C266" s="190">
        <f>'[17]CDM Activity '!A17</f>
        <v>2019</v>
      </c>
      <c r="D266" s="210">
        <f>'CDM Activity'!B17</f>
        <v>770436.93001392903</v>
      </c>
      <c r="E266" s="210">
        <f>'CDM Activity'!C17</f>
        <v>3632027.9581203917</v>
      </c>
      <c r="F266" s="210">
        <f>'CDM Activity'!D17</f>
        <v>7651765</v>
      </c>
      <c r="G266" s="210">
        <f>'CDM Activity'!E17</f>
        <v>2371769.4695191556</v>
      </c>
      <c r="H266" s="210">
        <f t="shared" si="133"/>
        <v>14425999.357653476</v>
      </c>
      <c r="N266" s="225"/>
      <c r="O266" s="226"/>
    </row>
    <row r="267" spans="1:16">
      <c r="A267" s="223"/>
      <c r="B267" s="224"/>
      <c r="O267" s="225"/>
      <c r="P267" s="226"/>
    </row>
    <row r="268" spans="1:16">
      <c r="L268" s="218"/>
    </row>
    <row r="269" spans="1:16" ht="13">
      <c r="A269" s="406" t="s">
        <v>268</v>
      </c>
      <c r="B269" s="406"/>
      <c r="C269" s="406"/>
      <c r="D269" s="406"/>
      <c r="E269" s="406"/>
      <c r="F269" s="406"/>
      <c r="G269" s="406"/>
      <c r="H269" s="188"/>
      <c r="I269" s="188"/>
      <c r="J269" s="188"/>
      <c r="K269" s="188"/>
      <c r="L269" s="194"/>
    </row>
    <row r="270" spans="1:16" s="194" customFormat="1" ht="52">
      <c r="A270" s="272" t="s">
        <v>184</v>
      </c>
      <c r="B270" s="273" t="s">
        <v>207</v>
      </c>
      <c r="C270" s="273" t="s">
        <v>208</v>
      </c>
      <c r="D270" s="273" t="s">
        <v>9</v>
      </c>
      <c r="E270" s="273" t="s">
        <v>209</v>
      </c>
      <c r="F270" s="273" t="s">
        <v>210</v>
      </c>
      <c r="G270" s="262" t="s">
        <v>211</v>
      </c>
      <c r="H270" s="275"/>
      <c r="I270" s="275"/>
      <c r="J270" s="275"/>
      <c r="K270" s="275"/>
      <c r="L270" s="275"/>
      <c r="M270" s="275"/>
    </row>
    <row r="271" spans="1:16" ht="13">
      <c r="A271" s="405" t="s">
        <v>212</v>
      </c>
      <c r="B271" s="405"/>
      <c r="C271" s="405"/>
      <c r="D271" s="405"/>
      <c r="E271" s="405"/>
      <c r="F271" s="405"/>
      <c r="G271" s="405"/>
      <c r="H271" s="188"/>
      <c r="I271" s="188"/>
      <c r="J271" s="188"/>
      <c r="K271" s="188"/>
      <c r="L271" s="194"/>
    </row>
    <row r="272" spans="1:16">
      <c r="A272" s="190">
        <v>2008</v>
      </c>
      <c r="B272" s="191">
        <f>'Purchased Power Model '!B151/1000000</f>
        <v>326.41140702268098</v>
      </c>
      <c r="C272" s="191">
        <f>'Purchased Power Model '!Q151/1000000</f>
        <v>323.31039968448437</v>
      </c>
      <c r="D272" s="227">
        <f t="shared" ref="D272:D281" si="134">C272/B272-1</f>
        <v>-9.5003032108529339E-3</v>
      </c>
      <c r="E272" s="191">
        <f>'Purchased Power Model '!R151/1000000</f>
        <v>317.75460977873314</v>
      </c>
      <c r="F272" s="228">
        <f t="shared" ref="F272:F283" si="135">E272/C272</f>
        <v>0.9828159257754373</v>
      </c>
      <c r="G272" s="191">
        <f t="shared" ref="G272:G280" si="136">B272*F272</f>
        <v>320.80232917665927</v>
      </c>
      <c r="H272" s="203"/>
      <c r="I272" s="203"/>
      <c r="J272" s="203"/>
      <c r="K272" s="203"/>
      <c r="L272" s="194"/>
    </row>
    <row r="273" spans="1:13">
      <c r="A273" s="190">
        <v>2009</v>
      </c>
      <c r="B273" s="191">
        <f>'Purchased Power Model '!B152/1000000</f>
        <v>318.73335066887529</v>
      </c>
      <c r="C273" s="191">
        <f>'Purchased Power Model '!Q152/1000000</f>
        <v>318.0721449707039</v>
      </c>
      <c r="D273" s="227">
        <f t="shared" si="134"/>
        <v>-2.0744791744692348E-3</v>
      </c>
      <c r="E273" s="191">
        <f>'Purchased Power Model '!R152/1000000</f>
        <v>316.04058747050453</v>
      </c>
      <c r="F273" s="228">
        <f t="shared" si="135"/>
        <v>0.99361290344872388</v>
      </c>
      <c r="G273" s="191">
        <f t="shared" si="136"/>
        <v>316.69756998404142</v>
      </c>
      <c r="H273" s="203"/>
      <c r="I273" s="203"/>
      <c r="J273" s="203"/>
      <c r="K273" s="203"/>
      <c r="L273" s="194"/>
    </row>
    <row r="274" spans="1:13">
      <c r="A274" s="190">
        <f t="shared" ref="A274:A283" si="137">A31</f>
        <v>2010</v>
      </c>
      <c r="B274" s="191">
        <f>'Purchased Power Model '!B153/1000000</f>
        <v>311.59250122999998</v>
      </c>
      <c r="C274" s="191">
        <f>'Purchased Power Model '!Q153/1000000</f>
        <v>314.10928796190063</v>
      </c>
      <c r="D274" s="227">
        <f t="shared" si="134"/>
        <v>8.0771736224900526E-3</v>
      </c>
      <c r="E274" s="191">
        <f>'Purchased Power Model '!R153/1000000</f>
        <v>315.87917914937628</v>
      </c>
      <c r="F274" s="228">
        <f t="shared" si="135"/>
        <v>1.0056346349990464</v>
      </c>
      <c r="G274" s="191">
        <f t="shared" si="136"/>
        <v>313.34821124287095</v>
      </c>
      <c r="H274" s="203"/>
      <c r="I274" s="203"/>
      <c r="J274" s="203"/>
      <c r="K274" s="203"/>
      <c r="L274" s="194"/>
    </row>
    <row r="275" spans="1:13">
      <c r="A275" s="190">
        <f t="shared" si="137"/>
        <v>2011</v>
      </c>
      <c r="B275" s="191">
        <f>'Purchased Power Model '!B154/1000000</f>
        <v>312.74038671</v>
      </c>
      <c r="C275" s="191">
        <f>'Purchased Power Model '!Q154/1000000</f>
        <v>312.68199119873765</v>
      </c>
      <c r="D275" s="227">
        <f t="shared" si="134"/>
        <v>-1.8672200247837889E-4</v>
      </c>
      <c r="E275" s="191">
        <f>'Purchased Power Model '!R154/1000000</f>
        <v>315.45015439419041</v>
      </c>
      <c r="F275" s="228">
        <f t="shared" si="135"/>
        <v>1.0088529665070904</v>
      </c>
      <c r="G275" s="191">
        <f t="shared" si="136"/>
        <v>315.50906687895815</v>
      </c>
      <c r="H275" s="203"/>
      <c r="I275" s="203"/>
      <c r="J275" s="203"/>
      <c r="K275" s="203"/>
      <c r="L275" s="194"/>
    </row>
    <row r="276" spans="1:13">
      <c r="A276" s="190">
        <f t="shared" si="137"/>
        <v>2012</v>
      </c>
      <c r="B276" s="191">
        <f>'Purchased Power Model '!B155/1000000</f>
        <v>309.44521688000003</v>
      </c>
      <c r="C276" s="191">
        <f>'Purchased Power Model '!Q155/1000000</f>
        <v>310.97236007627407</v>
      </c>
      <c r="D276" s="227">
        <f t="shared" si="134"/>
        <v>4.935100344001242E-3</v>
      </c>
      <c r="E276" s="191">
        <f>'Purchased Power Model '!R155/1000000</f>
        <v>314.90297299543653</v>
      </c>
      <c r="F276" s="228">
        <f t="shared" si="135"/>
        <v>1.0126397500993283</v>
      </c>
      <c r="G276" s="191">
        <f t="shared" si="136"/>
        <v>313.35652709079568</v>
      </c>
      <c r="H276" s="203"/>
      <c r="I276" s="203"/>
      <c r="J276" s="203"/>
      <c r="K276" s="203"/>
      <c r="L276" s="194"/>
    </row>
    <row r="277" spans="1:13">
      <c r="A277" s="190">
        <f t="shared" si="137"/>
        <v>2013</v>
      </c>
      <c r="B277" s="191">
        <f>'Purchased Power Model '!B156/1000000</f>
        <v>315.51263128999994</v>
      </c>
      <c r="C277" s="191">
        <f>'Purchased Power Model '!Q156/1000000</f>
        <v>312.06388801504693</v>
      </c>
      <c r="D277" s="227">
        <f t="shared" si="134"/>
        <v>-1.0930602875873885E-2</v>
      </c>
      <c r="E277" s="191">
        <f>'Purchased Power Model '!R156/1000000</f>
        <v>312.85879224397371</v>
      </c>
      <c r="F277" s="228">
        <f t="shared" si="135"/>
        <v>1.0025472483662976</v>
      </c>
      <c r="G277" s="191">
        <f t="shared" si="136"/>
        <v>316.31632032459964</v>
      </c>
      <c r="H277" s="203"/>
      <c r="I277" s="203"/>
      <c r="J277" s="203"/>
      <c r="K277" s="203"/>
      <c r="L277" s="194"/>
    </row>
    <row r="278" spans="1:13">
      <c r="A278" s="190">
        <f t="shared" si="137"/>
        <v>2014</v>
      </c>
      <c r="B278" s="191">
        <f>'Purchased Power Model '!B157/1000000</f>
        <v>319.14965699999999</v>
      </c>
      <c r="C278" s="191">
        <f>'Purchased Power Model '!Q157/1000000</f>
        <v>315.25686574267905</v>
      </c>
      <c r="D278" s="227">
        <f t="shared" si="134"/>
        <v>-1.2197385057258425E-2</v>
      </c>
      <c r="E278" s="191">
        <f>'Purchased Power Model '!R157/1000000</f>
        <v>311.34357308970795</v>
      </c>
      <c r="F278" s="228">
        <f t="shared" si="135"/>
        <v>0.98758697088562297</v>
      </c>
      <c r="G278" s="191">
        <f t="shared" si="136"/>
        <v>315.18804301581554</v>
      </c>
      <c r="H278" s="203"/>
      <c r="I278" s="203"/>
      <c r="J278" s="203"/>
      <c r="K278" s="203"/>
      <c r="L278" s="194"/>
    </row>
    <row r="279" spans="1:13">
      <c r="A279" s="190">
        <f t="shared" si="137"/>
        <v>2015</v>
      </c>
      <c r="B279" s="191">
        <f>'Purchased Power Model '!B158/1000000</f>
        <v>308.961454</v>
      </c>
      <c r="C279" s="191">
        <f>'Purchased Power Model '!Q158/1000000</f>
        <v>310.18132500870439</v>
      </c>
      <c r="D279" s="227">
        <f t="shared" si="134"/>
        <v>3.9482951446248027E-3</v>
      </c>
      <c r="E279" s="191">
        <f>'Purchased Power Model '!R158/1000000</f>
        <v>308.25751406117672</v>
      </c>
      <c r="F279" s="228">
        <f t="shared" si="135"/>
        <v>0.99379778602895041</v>
      </c>
      <c r="G279" s="191">
        <f t="shared" si="136"/>
        <v>307.04520895348543</v>
      </c>
      <c r="H279" s="203"/>
      <c r="I279" s="203"/>
      <c r="J279" s="203"/>
      <c r="K279" s="203"/>
      <c r="L279" s="194"/>
    </row>
    <row r="280" spans="1:13" ht="12.75" customHeight="1">
      <c r="A280" s="190">
        <f t="shared" si="137"/>
        <v>2016</v>
      </c>
      <c r="B280" s="191">
        <f>'Purchased Power Model '!B159/1000000</f>
        <v>302.23206800000003</v>
      </c>
      <c r="C280" s="191">
        <f>'Purchased Power Model '!Q159/1000000</f>
        <v>305.37724182675277</v>
      </c>
      <c r="D280" s="227">
        <f t="shared" si="134"/>
        <v>1.0406486140156268E-2</v>
      </c>
      <c r="E280" s="191">
        <f>'Purchased Power Model '!R159/1000000</f>
        <v>305.31974426281664</v>
      </c>
      <c r="F280" s="228">
        <f t="shared" si="135"/>
        <v>0.99981171627724397</v>
      </c>
      <c r="G280" s="191">
        <f t="shared" si="136"/>
        <v>302.17516262110075</v>
      </c>
      <c r="H280" s="203"/>
      <c r="I280" s="203"/>
      <c r="J280" s="203"/>
      <c r="K280" s="203"/>
    </row>
    <row r="281" spans="1:13">
      <c r="A281" s="190">
        <f t="shared" si="137"/>
        <v>2017</v>
      </c>
      <c r="B281" s="191">
        <f>'Purchased Power Model '!B160/1000000</f>
        <v>297.28739899999999</v>
      </c>
      <c r="C281" s="191">
        <f>'Purchased Power Model '!Q160/1000000</f>
        <v>300.04056731627162</v>
      </c>
      <c r="D281" s="227">
        <f t="shared" si="134"/>
        <v>9.2609654009305764E-3</v>
      </c>
      <c r="E281" s="191">
        <f>'Purchased Power Model '!R160/1000000</f>
        <v>304.25894435563919</v>
      </c>
      <c r="F281" s="228">
        <f t="shared" si="135"/>
        <v>1.0140593556301372</v>
      </c>
      <c r="G281" s="191">
        <f>B281*F281</f>
        <v>301.4670682668995</v>
      </c>
      <c r="H281" s="203"/>
      <c r="I281" s="203"/>
      <c r="J281" s="203"/>
      <c r="K281" s="203"/>
      <c r="L281" s="218"/>
    </row>
    <row r="282" spans="1:13" s="194" customFormat="1">
      <c r="A282" s="190" t="str">
        <f t="shared" si="137"/>
        <v>2018 Bridge</v>
      </c>
      <c r="B282" s="191"/>
      <c r="C282" s="191">
        <f>'Purchased Power Model '!Q161/1000000</f>
        <v>303.68125880928488</v>
      </c>
      <c r="D282" s="227"/>
      <c r="E282" s="191">
        <f>'Purchased Power Model '!R161/1000000</f>
        <v>303.68125880928488</v>
      </c>
      <c r="F282" s="228">
        <f t="shared" si="135"/>
        <v>1</v>
      </c>
      <c r="G282" s="229"/>
      <c r="H282" s="197"/>
      <c r="I282" s="197"/>
      <c r="J282" s="197"/>
      <c r="K282" s="197"/>
      <c r="L282" s="197"/>
    </row>
    <row r="283" spans="1:13">
      <c r="A283" s="190" t="str">
        <f t="shared" si="137"/>
        <v>2019 Test</v>
      </c>
      <c r="B283" s="191"/>
      <c r="C283" s="191">
        <f>'Purchased Power Model '!Q162/1000000</f>
        <v>303.75446256168328</v>
      </c>
      <c r="D283" s="227"/>
      <c r="E283" s="191">
        <f>'Purchased Power Model '!R162/1000000</f>
        <v>303.75446256168328</v>
      </c>
      <c r="F283" s="228">
        <f t="shared" si="135"/>
        <v>1</v>
      </c>
      <c r="G283" s="229"/>
    </row>
    <row r="284" spans="1:13">
      <c r="A284" s="190" t="s">
        <v>213</v>
      </c>
      <c r="B284" s="191"/>
      <c r="C284" s="191">
        <f>'Purchased Power Model '!R181/1000000</f>
        <v>320.17529917408837</v>
      </c>
      <c r="D284" s="227"/>
      <c r="E284" s="191"/>
      <c r="F284" s="228"/>
      <c r="G284" s="229"/>
    </row>
    <row r="286" spans="1:13">
      <c r="M286" s="194"/>
    </row>
    <row r="287" spans="1:13" ht="13">
      <c r="A287" s="406" t="s">
        <v>267</v>
      </c>
      <c r="B287" s="406"/>
      <c r="C287" s="406"/>
      <c r="D287" s="406"/>
      <c r="E287" s="406"/>
      <c r="F287" s="406"/>
      <c r="G287" s="406"/>
      <c r="H287" s="406"/>
      <c r="I287" s="406"/>
      <c r="M287" s="218"/>
    </row>
    <row r="288" spans="1:13" ht="39">
      <c r="A288" s="281" t="str">
        <f>A198</f>
        <v>Year</v>
      </c>
      <c r="B288" s="281" t="str">
        <f t="shared" ref="B288:H288" si="138">B198</f>
        <v xml:space="preserve">Residential </v>
      </c>
      <c r="C288" s="281" t="str">
        <f t="shared" si="138"/>
        <v>General Service &lt; 50 kW</v>
      </c>
      <c r="D288" s="281" t="str">
        <f t="shared" si="138"/>
        <v>General Service 50 to 4,999 kW</v>
      </c>
      <c r="E288" s="281" t="str">
        <f t="shared" si="138"/>
        <v>Sentinel Lights</v>
      </c>
      <c r="F288" s="281" t="str">
        <f t="shared" si="138"/>
        <v>Street Lights</v>
      </c>
      <c r="G288" s="281" t="str">
        <f t="shared" si="138"/>
        <v xml:space="preserve">Unmetered Scattered Loads </v>
      </c>
      <c r="H288" s="281" t="str">
        <f t="shared" si="138"/>
        <v>Total</v>
      </c>
      <c r="I288"/>
      <c r="J288"/>
      <c r="K288"/>
      <c r="L288"/>
    </row>
    <row r="289" spans="1:13" ht="13">
      <c r="A289" s="407" t="s">
        <v>214</v>
      </c>
      <c r="B289" s="408"/>
      <c r="C289" s="408"/>
      <c r="D289" s="408"/>
      <c r="E289" s="408"/>
      <c r="F289" s="408"/>
      <c r="G289" s="408"/>
      <c r="H289" s="409"/>
      <c r="I289"/>
      <c r="J289"/>
      <c r="K289"/>
      <c r="L289"/>
    </row>
    <row r="290" spans="1:13">
      <c r="A290" s="185" t="str">
        <f>A282</f>
        <v>2018 Bridge</v>
      </c>
      <c r="B290" s="232">
        <f>'Rate Class Customer Model'!B13</f>
        <v>11208</v>
      </c>
      <c r="C290" s="232">
        <f>'Rate Class Customer Model'!C13</f>
        <v>2148</v>
      </c>
      <c r="D290" s="232">
        <f>'Rate Class Customer Model'!D13</f>
        <v>136</v>
      </c>
      <c r="E290" s="232">
        <f>'Rate Class Customer Model'!E13</f>
        <v>44</v>
      </c>
      <c r="F290" s="232">
        <f>'Rate Class Customer Model'!F13</f>
        <v>2849</v>
      </c>
      <c r="G290" s="232">
        <f>'Rate Class Customer Model'!G13</f>
        <v>51</v>
      </c>
      <c r="H290" s="232">
        <f>SUM(B290:G290)</f>
        <v>16436</v>
      </c>
      <c r="I290"/>
      <c r="J290"/>
      <c r="K290"/>
      <c r="L290"/>
      <c r="M290" s="211"/>
    </row>
    <row r="291" spans="1:13">
      <c r="A291" s="185" t="str">
        <f>A283</f>
        <v>2019 Test</v>
      </c>
      <c r="B291" s="232">
        <f>'Rate Class Customer Model'!B14</f>
        <v>11208</v>
      </c>
      <c r="C291" s="232">
        <f>'Rate Class Customer Model'!C14</f>
        <v>2148</v>
      </c>
      <c r="D291" s="232">
        <f>'Rate Class Customer Model'!D14</f>
        <v>136</v>
      </c>
      <c r="E291" s="232">
        <f>'Rate Class Customer Model'!E14</f>
        <v>44</v>
      </c>
      <c r="F291" s="232">
        <f>'Rate Class Customer Model'!F14</f>
        <v>2849</v>
      </c>
      <c r="G291" s="232">
        <f>'Rate Class Customer Model'!G14</f>
        <v>51</v>
      </c>
      <c r="H291" s="232">
        <f>SUM(B291:G291)</f>
        <v>16436</v>
      </c>
      <c r="I291"/>
      <c r="J291"/>
      <c r="K291"/>
      <c r="L291"/>
      <c r="M291" s="211"/>
    </row>
    <row r="293" spans="1:13" ht="13">
      <c r="A293" s="407" t="s">
        <v>269</v>
      </c>
      <c r="B293" s="408"/>
      <c r="C293" s="408"/>
      <c r="D293" s="408"/>
      <c r="E293" s="408"/>
      <c r="F293" s="408"/>
      <c r="G293" s="409"/>
      <c r="H293"/>
      <c r="I293"/>
      <c r="J293"/>
      <c r="K293"/>
    </row>
    <row r="294" spans="1:13" ht="39">
      <c r="A294" s="272" t="s">
        <v>184</v>
      </c>
      <c r="B294" s="273" t="str">
        <f>B288</f>
        <v xml:space="preserve">Residential </v>
      </c>
      <c r="C294" s="273" t="str">
        <f t="shared" ref="C294:G294" si="139">C288</f>
        <v>General Service &lt; 50 kW</v>
      </c>
      <c r="D294" s="273" t="str">
        <f t="shared" si="139"/>
        <v>General Service 50 to 4,999 kW</v>
      </c>
      <c r="E294" s="273" t="str">
        <f t="shared" si="139"/>
        <v>Sentinel Lights</v>
      </c>
      <c r="F294" s="273" t="str">
        <f t="shared" si="139"/>
        <v>Street Lights</v>
      </c>
      <c r="G294" s="281" t="str">
        <f t="shared" si="139"/>
        <v xml:space="preserve">Unmetered Scattered Loads </v>
      </c>
      <c r="H294"/>
      <c r="I294"/>
      <c r="J294"/>
      <c r="K294"/>
    </row>
    <row r="295" spans="1:13" ht="13">
      <c r="A295" s="407" t="s">
        <v>215</v>
      </c>
      <c r="B295" s="408"/>
      <c r="C295" s="408"/>
      <c r="D295" s="408"/>
      <c r="E295" s="408"/>
      <c r="F295" s="408"/>
      <c r="G295" s="409"/>
      <c r="H295"/>
      <c r="I295"/>
      <c r="J295"/>
      <c r="K295"/>
    </row>
    <row r="296" spans="1:13">
      <c r="A296" s="190">
        <v>2017</v>
      </c>
      <c r="B296" s="232">
        <f>'Rate Class Energy Model'!H34</f>
        <v>9233.7667151650821</v>
      </c>
      <c r="C296" s="232">
        <f>'Rate Class Energy Model'!I34</f>
        <v>26853.620798196869</v>
      </c>
      <c r="D296" s="232">
        <f>'Rate Class Energy Model'!J34</f>
        <v>846551.08527110168</v>
      </c>
      <c r="E296" s="232">
        <f>'Rate Class Energy Model'!K34</f>
        <v>972.16703296703372</v>
      </c>
      <c r="F296" s="232">
        <f>'Rate Class Energy Model'!L34</f>
        <v>405.30860096491625</v>
      </c>
      <c r="G296" s="232">
        <f>'Rate Class Energy Model'!M34</f>
        <v>3256.2352941176468</v>
      </c>
      <c r="H296"/>
      <c r="I296"/>
      <c r="J296"/>
      <c r="K296"/>
    </row>
    <row r="297" spans="1:13">
      <c r="A297" s="233"/>
      <c r="B297" s="234"/>
      <c r="C297" s="234"/>
      <c r="D297" s="234"/>
      <c r="E297" s="234"/>
    </row>
    <row r="298" spans="1:13" ht="13">
      <c r="A298" s="230" t="s">
        <v>270</v>
      </c>
      <c r="B298" s="231"/>
      <c r="C298" s="231"/>
      <c r="D298" s="231"/>
      <c r="E298" s="231"/>
      <c r="F298" s="231"/>
      <c r="G298" s="231"/>
    </row>
    <row r="299" spans="1:13" ht="39">
      <c r="A299" s="272" t="str">
        <f t="shared" ref="A299:G299" si="140">A294</f>
        <v>Year</v>
      </c>
      <c r="B299" s="273" t="str">
        <f t="shared" si="140"/>
        <v xml:space="preserve">Residential </v>
      </c>
      <c r="C299" s="273" t="str">
        <f t="shared" si="140"/>
        <v>General Service &lt; 50 kW</v>
      </c>
      <c r="D299" s="273" t="str">
        <f t="shared" si="140"/>
        <v>General Service 50 to 4,999 kW</v>
      </c>
      <c r="E299" s="273" t="str">
        <f t="shared" si="140"/>
        <v>Sentinel Lights</v>
      </c>
      <c r="F299" s="273" t="str">
        <f t="shared" si="140"/>
        <v>Street Lights</v>
      </c>
      <c r="G299" s="281" t="str">
        <f t="shared" si="140"/>
        <v xml:space="preserve">Unmetered Scattered Loads </v>
      </c>
      <c r="H299"/>
      <c r="I299"/>
      <c r="J299"/>
      <c r="K299"/>
    </row>
    <row r="300" spans="1:13" ht="13">
      <c r="A300" s="407" t="s">
        <v>216</v>
      </c>
      <c r="B300" s="408"/>
      <c r="C300" s="408"/>
      <c r="D300" s="408"/>
      <c r="E300" s="408"/>
      <c r="F300" s="408"/>
      <c r="G300" s="409"/>
      <c r="H300"/>
      <c r="I300"/>
      <c r="J300"/>
      <c r="K300"/>
    </row>
    <row r="301" spans="1:13">
      <c r="A301" s="216" t="str">
        <f>A290</f>
        <v>2018 Bridge</v>
      </c>
      <c r="B301" s="237">
        <f t="shared" ref="B301:G301" si="141">B296</f>
        <v>9233.7667151650821</v>
      </c>
      <c r="C301" s="237">
        <f t="shared" si="141"/>
        <v>26853.620798196869</v>
      </c>
      <c r="D301" s="237">
        <f t="shared" si="141"/>
        <v>846551.08527110168</v>
      </c>
      <c r="E301" s="237">
        <f t="shared" si="141"/>
        <v>972.16703296703372</v>
      </c>
      <c r="F301" s="237">
        <f t="shared" si="141"/>
        <v>405.30860096491625</v>
      </c>
      <c r="G301" s="237">
        <f t="shared" si="141"/>
        <v>3256.2352941176468</v>
      </c>
      <c r="H301"/>
      <c r="I301"/>
      <c r="J301"/>
      <c r="K301"/>
    </row>
    <row r="302" spans="1:13">
      <c r="A302" s="209" t="str">
        <f>A291</f>
        <v>2019 Test</v>
      </c>
      <c r="B302" s="237">
        <f>B301</f>
        <v>9233.7667151650821</v>
      </c>
      <c r="C302" s="237">
        <f t="shared" ref="C302:G302" si="142">C301</f>
        <v>26853.620798196869</v>
      </c>
      <c r="D302" s="237">
        <f t="shared" si="142"/>
        <v>846551.08527110168</v>
      </c>
      <c r="E302" s="237">
        <f t="shared" si="142"/>
        <v>972.16703296703372</v>
      </c>
      <c r="F302" s="237">
        <f t="shared" si="142"/>
        <v>405.30860096491625</v>
      </c>
      <c r="G302" s="237">
        <f t="shared" si="142"/>
        <v>3256.2352941176468</v>
      </c>
      <c r="H302"/>
      <c r="I302"/>
      <c r="J302"/>
      <c r="K302"/>
    </row>
    <row r="304" spans="1:13" ht="13">
      <c r="A304" s="230" t="s">
        <v>271</v>
      </c>
      <c r="B304" s="231"/>
      <c r="C304" s="231"/>
      <c r="D304" s="231"/>
      <c r="E304" s="231"/>
      <c r="F304" s="231"/>
      <c r="G304" s="231"/>
      <c r="L304" s="218"/>
    </row>
    <row r="305" spans="1:13" s="194" customFormat="1" ht="39">
      <c r="A305" s="272" t="str">
        <f t="shared" ref="A305:H305" si="143">A288</f>
        <v>Year</v>
      </c>
      <c r="B305" s="273" t="str">
        <f t="shared" si="143"/>
        <v xml:space="preserve">Residential </v>
      </c>
      <c r="C305" s="273" t="str">
        <f t="shared" si="143"/>
        <v>General Service &lt; 50 kW</v>
      </c>
      <c r="D305" s="273" t="str">
        <f t="shared" si="143"/>
        <v>General Service 50 to 4,999 kW</v>
      </c>
      <c r="E305" s="273" t="str">
        <f t="shared" si="143"/>
        <v>Sentinel Lights</v>
      </c>
      <c r="F305" s="273" t="str">
        <f t="shared" si="143"/>
        <v>Street Lights</v>
      </c>
      <c r="G305" s="281" t="str">
        <f t="shared" si="143"/>
        <v xml:space="preserve">Unmetered Scattered Loads </v>
      </c>
      <c r="H305" s="281" t="str">
        <f t="shared" si="143"/>
        <v>Total</v>
      </c>
      <c r="I305" s="33"/>
      <c r="J305" s="33"/>
      <c r="K305" s="33"/>
      <c r="L305" s="33"/>
    </row>
    <row r="306" spans="1:13" ht="13">
      <c r="A306" s="250" t="s">
        <v>217</v>
      </c>
      <c r="B306" s="293"/>
      <c r="C306" s="293"/>
      <c r="D306" s="293"/>
      <c r="E306" s="293"/>
      <c r="F306" s="293"/>
      <c r="G306" s="293"/>
      <c r="H306" s="293"/>
      <c r="I306"/>
      <c r="J306"/>
      <c r="K306"/>
      <c r="L306"/>
    </row>
    <row r="307" spans="1:13">
      <c r="A307" s="213" t="str">
        <f>A301</f>
        <v>2018 Bridge</v>
      </c>
      <c r="B307" s="238">
        <f t="shared" ref="B307:G308" si="144">B301*B290/1000000</f>
        <v>103.49205734357025</v>
      </c>
      <c r="C307" s="238">
        <f t="shared" si="144"/>
        <v>57.681577474526875</v>
      </c>
      <c r="D307" s="238">
        <f t="shared" si="144"/>
        <v>115.13094759686983</v>
      </c>
      <c r="E307" s="238">
        <f t="shared" si="144"/>
        <v>4.2775349450549484E-2</v>
      </c>
      <c r="F307" s="238">
        <f t="shared" si="144"/>
        <v>1.1547242041490464</v>
      </c>
      <c r="G307" s="238">
        <f t="shared" si="144"/>
        <v>0.16606799999999999</v>
      </c>
      <c r="H307" s="238">
        <f>SUM(B307:G307)</f>
        <v>277.66814996856652</v>
      </c>
      <c r="I307"/>
      <c r="J307"/>
      <c r="K307"/>
      <c r="L307"/>
      <c r="M307" s="197"/>
    </row>
    <row r="308" spans="1:13">
      <c r="A308" s="213" t="str">
        <f>A302</f>
        <v>2019 Test</v>
      </c>
      <c r="B308" s="238">
        <f t="shared" si="144"/>
        <v>103.49205734357025</v>
      </c>
      <c r="C308" s="238">
        <f t="shared" si="144"/>
        <v>57.681577474526875</v>
      </c>
      <c r="D308" s="238">
        <f t="shared" si="144"/>
        <v>115.13094759686983</v>
      </c>
      <c r="E308" s="238">
        <f t="shared" si="144"/>
        <v>4.2775349450549484E-2</v>
      </c>
      <c r="F308" s="238">
        <f t="shared" si="144"/>
        <v>1.1547242041490464</v>
      </c>
      <c r="G308" s="238">
        <f t="shared" si="144"/>
        <v>0.16606799999999999</v>
      </c>
      <c r="H308" s="238">
        <f>SUM(B308:G308)</f>
        <v>277.66814996856652</v>
      </c>
      <c r="I308"/>
      <c r="J308"/>
      <c r="K308"/>
      <c r="L308"/>
      <c r="M308" s="197"/>
    </row>
    <row r="310" spans="1:13" ht="13">
      <c r="B310" s="402" t="s">
        <v>272</v>
      </c>
      <c r="C310" s="402"/>
      <c r="D310" s="402"/>
      <c r="E310" s="402"/>
      <c r="F310" s="402"/>
      <c r="G310" s="402"/>
    </row>
    <row r="311" spans="1:13" s="194" customFormat="1" ht="39">
      <c r="B311" s="273" t="str">
        <f>B305</f>
        <v xml:space="preserve">Residential </v>
      </c>
      <c r="C311" s="273" t="str">
        <f t="shared" ref="C311:G311" si="145">C305</f>
        <v>General Service &lt; 50 kW</v>
      </c>
      <c r="D311" s="273" t="str">
        <f t="shared" si="145"/>
        <v>General Service 50 to 4,999 kW</v>
      </c>
      <c r="E311" s="273" t="str">
        <f t="shared" si="145"/>
        <v>Sentinel Lights</v>
      </c>
      <c r="F311" s="273" t="str">
        <f t="shared" si="145"/>
        <v>Street Lights</v>
      </c>
      <c r="G311" s="281" t="str">
        <f t="shared" si="145"/>
        <v xml:space="preserve">Unmetered Scattered Loads </v>
      </c>
      <c r="H311"/>
      <c r="I311"/>
      <c r="J311"/>
      <c r="K311"/>
    </row>
    <row r="312" spans="1:13" ht="13">
      <c r="B312" s="407" t="s">
        <v>218</v>
      </c>
      <c r="C312" s="408"/>
      <c r="D312" s="408"/>
      <c r="E312" s="408"/>
      <c r="F312" s="408"/>
      <c r="G312" s="409"/>
      <c r="H312"/>
      <c r="I312"/>
      <c r="J312"/>
      <c r="K312"/>
    </row>
    <row r="313" spans="1:13">
      <c r="B313" s="295">
        <f>'Rate Class Energy Model'!H60</f>
        <v>0.77500000000000002</v>
      </c>
      <c r="C313" s="295">
        <f>'Rate Class Energy Model'!I60</f>
        <v>0.77500000000000002</v>
      </c>
      <c r="D313" s="295">
        <f>'Rate Class Energy Model'!J60</f>
        <v>0.55000000000000004</v>
      </c>
      <c r="E313" s="239">
        <f>'Rate Class Energy Model'!K73</f>
        <v>0</v>
      </c>
      <c r="F313" s="239">
        <f>'Rate Class Energy Model'!L73</f>
        <v>0</v>
      </c>
      <c r="G313" s="239">
        <f>'Rate Class Energy Model'!M73</f>
        <v>0</v>
      </c>
      <c r="H313"/>
      <c r="I313"/>
      <c r="J313"/>
      <c r="K313"/>
    </row>
    <row r="314" spans="1:13">
      <c r="B314" s="240"/>
      <c r="C314" s="240"/>
      <c r="D314" s="240"/>
      <c r="E314" s="240"/>
    </row>
    <row r="315" spans="1:13" ht="13">
      <c r="A315" s="410" t="s">
        <v>273</v>
      </c>
      <c r="B315" s="411"/>
      <c r="C315" s="411"/>
      <c r="D315" s="411"/>
      <c r="E315" s="411"/>
      <c r="F315" s="197"/>
    </row>
    <row r="316" spans="1:13" ht="13">
      <c r="A316" s="296"/>
      <c r="B316" s="296">
        <v>2018</v>
      </c>
      <c r="C316" s="296">
        <v>2019</v>
      </c>
      <c r="D316"/>
      <c r="E316" s="197"/>
      <c r="F316" s="197"/>
    </row>
    <row r="317" spans="1:13">
      <c r="A317" s="297" t="s">
        <v>121</v>
      </c>
      <c r="B317" s="210">
        <f>B323+B329+B335</f>
        <v>2633373.9960053544</v>
      </c>
      <c r="C317" s="210">
        <f>B317</f>
        <v>2633373.9960053544</v>
      </c>
      <c r="D317"/>
      <c r="E317" s="197"/>
      <c r="F317" s="197"/>
    </row>
    <row r="318" spans="1:13">
      <c r="A318" s="297" t="s">
        <v>153</v>
      </c>
      <c r="B318" s="210"/>
      <c r="C318" s="210">
        <f>C324+C330+C336</f>
        <v>2449363.3044053549</v>
      </c>
      <c r="D318"/>
      <c r="E318" s="197"/>
      <c r="F318" s="197"/>
    </row>
    <row r="319" spans="1:13">
      <c r="A319" s="298" t="s">
        <v>10</v>
      </c>
      <c r="B319" s="210">
        <f>SUM(B317:B318)</f>
        <v>2633373.9960053544</v>
      </c>
      <c r="C319" s="210">
        <f>SUM(C317:C318)</f>
        <v>5082737.3004107093</v>
      </c>
      <c r="D319"/>
      <c r="E319" s="197"/>
      <c r="F319" s="197"/>
    </row>
    <row r="320" spans="1:13">
      <c r="E320" s="197"/>
      <c r="F320" s="197"/>
      <c r="G320" s="197"/>
    </row>
    <row r="321" spans="1:6" s="197" customFormat="1" ht="13">
      <c r="A321" s="410" t="s">
        <v>274</v>
      </c>
      <c r="B321" s="411"/>
      <c r="C321" s="411"/>
      <c r="D321" s="411"/>
      <c r="E321" s="411"/>
    </row>
    <row r="322" spans="1:6" customFormat="1" ht="13">
      <c r="A322" s="296"/>
      <c r="B322" s="296">
        <v>2018</v>
      </c>
      <c r="C322" s="296">
        <v>2019</v>
      </c>
    </row>
    <row r="323" spans="1:6" customFormat="1">
      <c r="A323" s="297" t="s">
        <v>121</v>
      </c>
      <c r="B323" s="210">
        <f>'CDM Activity'!R9</f>
        <v>826560.44934535457</v>
      </c>
      <c r="C323" s="210">
        <f>B323</f>
        <v>826560.44934535457</v>
      </c>
    </row>
    <row r="324" spans="1:6" customFormat="1">
      <c r="A324" s="297" t="s">
        <v>153</v>
      </c>
      <c r="B324" s="210"/>
      <c r="C324" s="210">
        <f>'CDM Activity'!S10</f>
        <v>680070.8493453546</v>
      </c>
    </row>
    <row r="325" spans="1:6">
      <c r="A325" s="298" t="s">
        <v>10</v>
      </c>
      <c r="B325" s="210">
        <f>SUM(B323:B324)</f>
        <v>826560.44934535457</v>
      </c>
      <c r="C325" s="210">
        <f>SUM(C323:C324)</f>
        <v>1506631.2986907093</v>
      </c>
      <c r="D325"/>
      <c r="E325" s="197"/>
      <c r="F325" s="197"/>
    </row>
    <row r="326" spans="1:6" customFormat="1"/>
    <row r="327" spans="1:6" s="197" customFormat="1" ht="13">
      <c r="A327" s="300" t="s">
        <v>281</v>
      </c>
      <c r="B327" s="241"/>
      <c r="C327" s="241"/>
      <c r="D327" s="241"/>
      <c r="E327" s="241"/>
    </row>
    <row r="328" spans="1:6" s="197" customFormat="1" ht="13">
      <c r="A328" s="296"/>
      <c r="B328" s="296">
        <v>2018</v>
      </c>
      <c r="C328" s="296">
        <v>2019</v>
      </c>
      <c r="D328"/>
    </row>
    <row r="329" spans="1:6" s="197" customFormat="1">
      <c r="A329" s="297" t="s">
        <v>121</v>
      </c>
      <c r="B329" s="210">
        <f>'CDM Activity'!R14</f>
        <v>144018.15199999997</v>
      </c>
      <c r="C329" s="210">
        <f>B329</f>
        <v>144018.15199999997</v>
      </c>
      <c r="D329"/>
    </row>
    <row r="330" spans="1:6" s="197" customFormat="1">
      <c r="A330" s="297" t="s">
        <v>153</v>
      </c>
      <c r="B330" s="210"/>
      <c r="C330" s="210">
        <f>'CDM Activity'!S15</f>
        <v>144018.15199999997</v>
      </c>
      <c r="D330"/>
    </row>
    <row r="331" spans="1:6">
      <c r="A331" s="298" t="s">
        <v>10</v>
      </c>
      <c r="B331" s="210">
        <f>SUM(B329:B330)</f>
        <v>144018.15199999997</v>
      </c>
      <c r="C331" s="210">
        <f>SUM(C329:C330)</f>
        <v>288036.30399999995</v>
      </c>
      <c r="D331"/>
      <c r="E331" s="197"/>
      <c r="F331" s="197"/>
    </row>
    <row r="332" spans="1:6" s="197" customFormat="1">
      <c r="A332"/>
      <c r="B332"/>
      <c r="C332"/>
      <c r="D332"/>
    </row>
    <row r="333" spans="1:6" s="197" customFormat="1" ht="13">
      <c r="A333" s="410" t="s">
        <v>275</v>
      </c>
      <c r="B333" s="411"/>
      <c r="C333" s="411"/>
      <c r="D333" s="411"/>
      <c r="E333" s="411"/>
    </row>
    <row r="334" spans="1:6" s="197" customFormat="1" ht="13">
      <c r="A334" s="296"/>
      <c r="B334" s="296">
        <v>2018</v>
      </c>
      <c r="C334" s="296">
        <v>2019</v>
      </c>
      <c r="D334"/>
    </row>
    <row r="335" spans="1:6" s="197" customFormat="1">
      <c r="A335" s="297" t="s">
        <v>121</v>
      </c>
      <c r="B335" s="210">
        <f>'CDM Activity'!R19</f>
        <v>1662795.39466</v>
      </c>
      <c r="C335" s="210">
        <f>B335</f>
        <v>1662795.39466</v>
      </c>
      <c r="D335"/>
    </row>
    <row r="336" spans="1:6" s="197" customFormat="1">
      <c r="A336" s="297" t="s">
        <v>153</v>
      </c>
      <c r="B336" s="210"/>
      <c r="C336" s="210">
        <f>'CDM Activity'!S20</f>
        <v>1625274.3030600001</v>
      </c>
      <c r="D336"/>
    </row>
    <row r="337" spans="1:13">
      <c r="A337" s="298" t="s">
        <v>10</v>
      </c>
      <c r="B337" s="210">
        <f>SUM(B335:B336)</f>
        <v>1662795.39466</v>
      </c>
      <c r="C337" s="210">
        <f>SUM(C335:C336)</f>
        <v>3288069.6977200001</v>
      </c>
      <c r="D337"/>
      <c r="E337" s="197"/>
      <c r="F337" s="197"/>
    </row>
    <row r="338" spans="1:13" s="197" customFormat="1">
      <c r="A338"/>
      <c r="B338"/>
      <c r="C338"/>
      <c r="D338"/>
    </row>
    <row r="339" spans="1:13" s="197" customFormat="1" ht="13">
      <c r="A339" s="410" t="s">
        <v>276</v>
      </c>
      <c r="B339" s="411"/>
      <c r="C339" s="411"/>
      <c r="D339" s="411"/>
      <c r="E339" s="411"/>
    </row>
    <row r="340" spans="1:13" s="197" customFormat="1" ht="39">
      <c r="A340" s="299" t="s">
        <v>184</v>
      </c>
      <c r="B340" s="281" t="str">
        <f>B311</f>
        <v xml:space="preserve">Residential </v>
      </c>
      <c r="C340" s="281" t="str">
        <f t="shared" ref="C340:D340" si="146">C311</f>
        <v>General Service &lt; 50 kW</v>
      </c>
      <c r="D340" s="281" t="str">
        <f t="shared" si="146"/>
        <v>General Service 50 to 4,999 kW</v>
      </c>
      <c r="E340" s="281" t="s">
        <v>10</v>
      </c>
    </row>
    <row r="341" spans="1:13" s="197" customFormat="1">
      <c r="A341" s="297">
        <f>B334</f>
        <v>2018</v>
      </c>
      <c r="B341" s="210">
        <f>0.5*B323</f>
        <v>413280.22467267729</v>
      </c>
      <c r="C341" s="210">
        <f>B329*0.5</f>
        <v>72009.075999999986</v>
      </c>
      <c r="D341" s="210">
        <f>B335*0.5</f>
        <v>831397.69733</v>
      </c>
      <c r="E341" s="210">
        <f>SUM(B341:D341)</f>
        <v>1316686.9980026772</v>
      </c>
    </row>
    <row r="342" spans="1:13" s="197" customFormat="1">
      <c r="A342" s="297">
        <f>C334</f>
        <v>2019</v>
      </c>
      <c r="B342" s="210">
        <f>C323+C324*0.5</f>
        <v>1166595.8740180319</v>
      </c>
      <c r="C342" s="210">
        <f>C329+C330*0.5</f>
        <v>216027.22799999994</v>
      </c>
      <c r="D342" s="210">
        <f>C335+C336*0.5</f>
        <v>2475432.5461900001</v>
      </c>
      <c r="E342" s="210">
        <f>SUM(B342:D342)</f>
        <v>3858055.6482080319</v>
      </c>
    </row>
    <row r="343" spans="1:13" s="197" customFormat="1"/>
    <row r="344" spans="1:13" s="197" customFormat="1" ht="33" customHeight="1">
      <c r="A344" s="412" t="s">
        <v>277</v>
      </c>
      <c r="B344" s="413"/>
      <c r="C344" s="413"/>
      <c r="D344" s="413"/>
      <c r="E344" s="413"/>
    </row>
    <row r="345" spans="1:13" s="197" customFormat="1" ht="39">
      <c r="A345" s="299" t="s">
        <v>184</v>
      </c>
      <c r="B345" s="281" t="str">
        <f>B340</f>
        <v xml:space="preserve">Residential </v>
      </c>
      <c r="C345" s="281" t="str">
        <f t="shared" ref="C345:D345" si="147">C340</f>
        <v>General Service &lt; 50 kW</v>
      </c>
      <c r="D345" s="281" t="str">
        <f t="shared" si="147"/>
        <v>General Service 50 to 4,999 kW</v>
      </c>
      <c r="E345" s="281" t="s">
        <v>10</v>
      </c>
    </row>
    <row r="346" spans="1:13" s="197" customFormat="1">
      <c r="A346" s="297" t="s">
        <v>278</v>
      </c>
      <c r="B346" s="210">
        <f>C325</f>
        <v>1506631.2986907093</v>
      </c>
      <c r="C346" s="210">
        <f>C331</f>
        <v>288036.30399999995</v>
      </c>
      <c r="D346" s="210">
        <f>C337</f>
        <v>3288069.6977200001</v>
      </c>
      <c r="E346" s="210">
        <f>SUM(B346:D346)</f>
        <v>5082737.3004107093</v>
      </c>
    </row>
    <row r="347" spans="1:13" s="197" customFormat="1">
      <c r="A347" s="297" t="s">
        <v>279</v>
      </c>
      <c r="B347" s="210"/>
      <c r="C347" s="210"/>
      <c r="D347" s="210">
        <f>D346*B393</f>
        <v>7992.5315572349218</v>
      </c>
      <c r="E347" s="210">
        <f>SUM(B347:D347)</f>
        <v>7992.5315572349218</v>
      </c>
    </row>
    <row r="348" spans="1:13">
      <c r="A348" s="297" t="s">
        <v>280</v>
      </c>
      <c r="B348" s="210"/>
      <c r="C348" s="210"/>
      <c r="D348" s="210">
        <f>D347/12</f>
        <v>666.04429643624349</v>
      </c>
      <c r="E348" s="210">
        <f>SUM(B348:D348)</f>
        <v>666.04429643624349</v>
      </c>
    </row>
    <row r="349" spans="1:13" customFormat="1"/>
    <row r="350" spans="1:13" ht="13">
      <c r="A350" s="402" t="s">
        <v>219</v>
      </c>
      <c r="B350" s="402"/>
      <c r="C350" s="402"/>
      <c r="D350" s="402"/>
      <c r="E350" s="402"/>
      <c r="F350" s="402"/>
      <c r="G350" s="402"/>
      <c r="H350" s="402"/>
      <c r="I350" s="402"/>
      <c r="J350" s="402"/>
      <c r="K350" s="402"/>
      <c r="L350" s="402"/>
      <c r="M350" s="242"/>
    </row>
    <row r="351" spans="1:13" s="194" customFormat="1" ht="39">
      <c r="A351" s="282" t="s">
        <v>184</v>
      </c>
      <c r="B351" s="281" t="str">
        <f>B311</f>
        <v xml:space="preserve">Residential </v>
      </c>
      <c r="C351" s="281" t="str">
        <f t="shared" ref="C351:G351" si="148">C311</f>
        <v>General Service &lt; 50 kW</v>
      </c>
      <c r="D351" s="281" t="str">
        <f t="shared" si="148"/>
        <v>General Service 50 to 4,999 kW</v>
      </c>
      <c r="E351" s="281" t="str">
        <f t="shared" si="148"/>
        <v>Sentinel Lights</v>
      </c>
      <c r="F351" s="281" t="str">
        <f t="shared" si="148"/>
        <v>Street Lights</v>
      </c>
      <c r="G351" s="281" t="str">
        <f t="shared" si="148"/>
        <v xml:space="preserve">Unmetered Scattered Loads </v>
      </c>
      <c r="H351" s="281" t="str">
        <f>H305</f>
        <v>Total</v>
      </c>
      <c r="I351"/>
      <c r="J351"/>
      <c r="K351"/>
      <c r="L351"/>
    </row>
    <row r="352" spans="1:13" ht="13">
      <c r="A352" s="294" t="s">
        <v>220</v>
      </c>
      <c r="B352" s="294"/>
      <c r="C352" s="294"/>
      <c r="D352" s="294"/>
      <c r="E352" s="294"/>
      <c r="F352" s="294"/>
      <c r="G352" s="294"/>
      <c r="H352" s="294"/>
      <c r="I352"/>
      <c r="J352"/>
      <c r="K352"/>
      <c r="L352"/>
    </row>
    <row r="353" spans="1:13">
      <c r="A353" s="190" t="str">
        <f t="shared" ref="A353:G354" si="149">A307</f>
        <v>2018 Bridge</v>
      </c>
      <c r="B353" s="243">
        <f t="shared" si="149"/>
        <v>103.49205734357025</v>
      </c>
      <c r="C353" s="243">
        <f t="shared" si="149"/>
        <v>57.681577474526875</v>
      </c>
      <c r="D353" s="243">
        <f t="shared" si="149"/>
        <v>115.13094759686983</v>
      </c>
      <c r="E353" s="243">
        <f t="shared" si="149"/>
        <v>4.2775349450549484E-2</v>
      </c>
      <c r="F353" s="243">
        <f t="shared" si="149"/>
        <v>1.1547242041490464</v>
      </c>
      <c r="G353" s="243">
        <f t="shared" si="149"/>
        <v>0.16606799999999999</v>
      </c>
      <c r="H353" s="243">
        <f>SUM(B353:G353)</f>
        <v>277.66814996856652</v>
      </c>
      <c r="I353"/>
      <c r="J353"/>
      <c r="K353"/>
      <c r="L353"/>
    </row>
    <row r="354" spans="1:13">
      <c r="A354" s="190" t="str">
        <f t="shared" si="149"/>
        <v>2019 Test</v>
      </c>
      <c r="B354" s="243">
        <f t="shared" si="149"/>
        <v>103.49205734357025</v>
      </c>
      <c r="C354" s="243">
        <f t="shared" si="149"/>
        <v>57.681577474526875</v>
      </c>
      <c r="D354" s="243">
        <f t="shared" si="149"/>
        <v>115.13094759686983</v>
      </c>
      <c r="E354" s="243">
        <f t="shared" si="149"/>
        <v>4.2775349450549484E-2</v>
      </c>
      <c r="F354" s="243">
        <f t="shared" si="149"/>
        <v>1.1547242041490464</v>
      </c>
      <c r="G354" s="243">
        <f t="shared" si="149"/>
        <v>0.16606799999999999</v>
      </c>
      <c r="H354" s="243">
        <f>SUM(B354:G354)</f>
        <v>277.66814996856652</v>
      </c>
      <c r="I354"/>
      <c r="J354"/>
      <c r="K354"/>
      <c r="L354"/>
    </row>
    <row r="355" spans="1:13" ht="13">
      <c r="A355" s="294" t="s">
        <v>221</v>
      </c>
      <c r="B355" s="294"/>
      <c r="C355" s="294"/>
      <c r="D355" s="294"/>
      <c r="E355" s="294"/>
      <c r="F355" s="294"/>
      <c r="G355" s="294"/>
      <c r="H355" s="294"/>
      <c r="I355"/>
      <c r="J355"/>
      <c r="K355"/>
      <c r="L355"/>
    </row>
    <row r="356" spans="1:13">
      <c r="A356" s="185" t="str">
        <f>A301</f>
        <v>2018 Bridge</v>
      </c>
      <c r="B356" s="244">
        <f>'Rate Class Energy Model'!H65/1000000</f>
        <v>2.3339815348988004</v>
      </c>
      <c r="C356" s="244">
        <f>'Rate Class Energy Model'!I65/1000000</f>
        <v>1.300850907644503</v>
      </c>
      <c r="D356" s="244">
        <f>'Rate Class Energy Model'!J65/1000000</f>
        <v>1.8426525882973908</v>
      </c>
      <c r="E356" s="244">
        <f>'Rate Class Energy Model'!K65/1000000</f>
        <v>0</v>
      </c>
      <c r="F356" s="244">
        <f>'Rate Class Energy Model'!L65/1000000</f>
        <v>0</v>
      </c>
      <c r="G356" s="244">
        <f>'Rate Class Energy Model'!M65/1000000</f>
        <v>0</v>
      </c>
      <c r="H356" s="243">
        <f>SUM(B356:G356)</f>
        <v>5.4774850308406942</v>
      </c>
      <c r="I356"/>
      <c r="J356"/>
      <c r="K356"/>
      <c r="L356"/>
    </row>
    <row r="357" spans="1:13">
      <c r="A357" s="185" t="str">
        <f>A302</f>
        <v>2019 Test</v>
      </c>
      <c r="B357" s="244">
        <f>'Rate Class Energy Model'!H66/1000000</f>
        <v>2.363064684668541</v>
      </c>
      <c r="C357" s="244">
        <f>'Rate Class Energy Model'!I66/1000000</f>
        <v>1.317060479661005</v>
      </c>
      <c r="D357" s="244">
        <f>'Rate Class Energy Model'!J66/1000000</f>
        <v>1.8656134131358688</v>
      </c>
      <c r="E357" s="244">
        <f>'Rate Class Energy Model'!K66/1000000</f>
        <v>0</v>
      </c>
      <c r="F357" s="244">
        <f>'Rate Class Energy Model'!L66/1000000</f>
        <v>0</v>
      </c>
      <c r="G357" s="244">
        <f>'Rate Class Energy Model'!M66/1000000</f>
        <v>0</v>
      </c>
      <c r="H357" s="243">
        <f>SUM(B357:G357)</f>
        <v>5.5457385774654142</v>
      </c>
      <c r="I357"/>
      <c r="J357"/>
      <c r="K357"/>
      <c r="L357"/>
    </row>
    <row r="358" spans="1:13" ht="13">
      <c r="A358" s="294" t="s">
        <v>222</v>
      </c>
      <c r="B358" s="294"/>
      <c r="C358" s="294"/>
      <c r="D358" s="294"/>
      <c r="E358" s="294"/>
      <c r="F358" s="294"/>
      <c r="G358" s="294"/>
      <c r="H358" s="294"/>
      <c r="I358"/>
      <c r="J358"/>
      <c r="K358"/>
      <c r="L358"/>
    </row>
    <row r="359" spans="1:13" ht="15" customHeight="1">
      <c r="A359" s="185" t="str">
        <f>A356</f>
        <v>2018 Bridge</v>
      </c>
      <c r="B359" s="244">
        <f>-B341/1000000</f>
        <v>-0.41328022467267728</v>
      </c>
      <c r="C359" s="244">
        <f t="shared" ref="C359:D359" si="150">-C341/1000000</f>
        <v>-7.2009075999999991E-2</v>
      </c>
      <c r="D359" s="244">
        <f t="shared" si="150"/>
        <v>-0.83139769733000002</v>
      </c>
      <c r="E359" s="244">
        <f t="shared" ref="E359:G360" si="151">-E348/1000000</f>
        <v>-6.6604429643624347E-4</v>
      </c>
      <c r="F359" s="244">
        <f t="shared" si="151"/>
        <v>0</v>
      </c>
      <c r="G359" s="244">
        <f t="shared" si="151"/>
        <v>0</v>
      </c>
      <c r="H359" s="244">
        <f>SUM(B359:G359)</f>
        <v>-1.3173530422991135</v>
      </c>
      <c r="I359"/>
      <c r="J359"/>
      <c r="K359"/>
      <c r="L359"/>
    </row>
    <row r="360" spans="1:13">
      <c r="A360" s="185" t="str">
        <f>A357</f>
        <v>2019 Test</v>
      </c>
      <c r="B360" s="244">
        <f>-B342/1000000</f>
        <v>-1.1665958740180318</v>
      </c>
      <c r="C360" s="244">
        <f t="shared" ref="C360:D360" si="152">-C342/1000000</f>
        <v>-0.21602722799999993</v>
      </c>
      <c r="D360" s="244">
        <f t="shared" si="152"/>
        <v>-2.47543254619</v>
      </c>
      <c r="E360" s="244">
        <f t="shared" si="151"/>
        <v>0</v>
      </c>
      <c r="F360" s="244">
        <f t="shared" si="151"/>
        <v>0</v>
      </c>
      <c r="G360" s="244">
        <f t="shared" si="151"/>
        <v>0</v>
      </c>
      <c r="H360" s="244">
        <f>SUM(B360:G360)</f>
        <v>-3.8580556482080315</v>
      </c>
      <c r="I360"/>
      <c r="J360"/>
      <c r="K360"/>
      <c r="L360"/>
    </row>
    <row r="361" spans="1:13" ht="13">
      <c r="A361" s="294" t="s">
        <v>223</v>
      </c>
      <c r="B361" s="294"/>
      <c r="C361" s="294"/>
      <c r="D361" s="294"/>
      <c r="E361" s="294"/>
      <c r="F361" s="294"/>
      <c r="G361" s="294"/>
      <c r="H361" s="294"/>
      <c r="I361"/>
      <c r="J361"/>
      <c r="K361"/>
      <c r="L361"/>
    </row>
    <row r="362" spans="1:13">
      <c r="A362" s="190" t="str">
        <f>A359</f>
        <v>2018 Bridge</v>
      </c>
      <c r="B362" s="245">
        <f>B353+B356+B359</f>
        <v>105.41275865379637</v>
      </c>
      <c r="C362" s="245">
        <f t="shared" ref="C362:H363" si="153">C353+C356+C359</f>
        <v>58.910419306171377</v>
      </c>
      <c r="D362" s="245">
        <f t="shared" si="153"/>
        <v>116.14220248783722</v>
      </c>
      <c r="E362" s="245">
        <f t="shared" si="153"/>
        <v>4.2109305154113243E-2</v>
      </c>
      <c r="F362" s="245">
        <f t="shared" si="153"/>
        <v>1.1547242041490464</v>
      </c>
      <c r="G362" s="245">
        <f t="shared" si="153"/>
        <v>0.16606799999999999</v>
      </c>
      <c r="H362" s="245">
        <f t="shared" si="153"/>
        <v>281.82828195710812</v>
      </c>
      <c r="I362"/>
      <c r="J362"/>
      <c r="K362"/>
      <c r="L362"/>
    </row>
    <row r="363" spans="1:13">
      <c r="A363" s="190" t="str">
        <f>A360</f>
        <v>2019 Test</v>
      </c>
      <c r="B363" s="245">
        <f>B354+B357+B360</f>
        <v>104.68852615422077</v>
      </c>
      <c r="C363" s="245">
        <f t="shared" si="153"/>
        <v>58.782610726187876</v>
      </c>
      <c r="D363" s="245">
        <f t="shared" si="153"/>
        <v>114.5211284638157</v>
      </c>
      <c r="E363" s="245">
        <f t="shared" si="153"/>
        <v>4.2775349450549484E-2</v>
      </c>
      <c r="F363" s="245">
        <f t="shared" si="153"/>
        <v>1.1547242041490464</v>
      </c>
      <c r="G363" s="245">
        <f t="shared" si="153"/>
        <v>0.16606799999999999</v>
      </c>
      <c r="H363" s="245">
        <f t="shared" si="153"/>
        <v>279.35583289782392</v>
      </c>
      <c r="I363"/>
      <c r="J363"/>
      <c r="K363"/>
      <c r="L363"/>
    </row>
    <row r="364" spans="1:13">
      <c r="A364" s="233"/>
      <c r="B364" s="246"/>
      <c r="C364" s="246"/>
      <c r="D364" s="246"/>
      <c r="E364" s="246"/>
      <c r="F364" s="246"/>
      <c r="G364" s="246"/>
      <c r="H364" s="246"/>
      <c r="I364" s="246"/>
      <c r="J364" s="246"/>
      <c r="K364" s="246"/>
      <c r="L364" s="246"/>
      <c r="M364" s="247"/>
    </row>
    <row r="365" spans="1:13" ht="13">
      <c r="A365" s="402" t="s">
        <v>282</v>
      </c>
      <c r="B365" s="402"/>
      <c r="C365" s="402"/>
      <c r="D365" s="402"/>
      <c r="E365" s="402"/>
      <c r="F365"/>
      <c r="G365"/>
      <c r="H365"/>
      <c r="I365"/>
    </row>
    <row r="366" spans="1:13" s="194" customFormat="1" ht="39">
      <c r="A366" s="289" t="s">
        <v>184</v>
      </c>
      <c r="B366" s="279" t="str">
        <f>'Rate Class Load Model'!B1</f>
        <v>General Service 50 to 4,999 kW</v>
      </c>
      <c r="C366" s="279" t="str">
        <f>'Rate Class Load Model'!C1</f>
        <v>Sentinel Lights</v>
      </c>
      <c r="D366" s="279" t="str">
        <f>'Rate Class Load Model'!D1</f>
        <v>Street Lights</v>
      </c>
      <c r="E366" s="279" t="s">
        <v>10</v>
      </c>
      <c r="F366" s="279" t="str">
        <f>B366</f>
        <v>General Service 50 to 4,999 kW</v>
      </c>
      <c r="G366" s="279" t="str">
        <f t="shared" ref="G366:H366" si="154">C366</f>
        <v>Sentinel Lights</v>
      </c>
      <c r="H366" s="279" t="str">
        <f t="shared" si="154"/>
        <v>Street Lights</v>
      </c>
      <c r="I366" s="279" t="s">
        <v>10</v>
      </c>
      <c r="J366" s="275"/>
    </row>
    <row r="367" spans="1:13" ht="13">
      <c r="A367" s="250" t="s">
        <v>224</v>
      </c>
      <c r="B367" s="403" t="s">
        <v>207</v>
      </c>
      <c r="C367" s="403"/>
      <c r="D367" s="403"/>
      <c r="E367" s="404"/>
      <c r="F367" s="403" t="s">
        <v>284</v>
      </c>
      <c r="G367" s="403"/>
      <c r="H367" s="403"/>
      <c r="I367" s="404"/>
      <c r="J367" s="197"/>
    </row>
    <row r="368" spans="1:13">
      <c r="A368" s="190">
        <f t="shared" ref="A368:A377" si="155">A272</f>
        <v>2008</v>
      </c>
      <c r="B368" s="232">
        <f>'Rate Class Load Model'!B2</f>
        <v>316143.86</v>
      </c>
      <c r="C368" s="232">
        <f>'Rate Class Load Model'!C2</f>
        <v>141.07184746299953</v>
      </c>
      <c r="D368" s="232">
        <f>'Rate Class Load Model'!D2</f>
        <v>7535.03</v>
      </c>
      <c r="E368" s="232">
        <f>SUM(B368:D368)</f>
        <v>323819.96184746304</v>
      </c>
      <c r="F368" s="232">
        <f>B368*$F$272</f>
        <v>310711.22044412023</v>
      </c>
      <c r="G368" s="232">
        <f t="shared" ref="G368:G377" si="156">C368*F272</f>
        <v>138.64765836519916</v>
      </c>
      <c r="H368" s="232">
        <f t="shared" ref="H368:H377" si="157">D368*F272</f>
        <v>7405.5474851956933</v>
      </c>
      <c r="I368" s="232">
        <f t="shared" ref="I368" si="158">E368*$F$272</f>
        <v>318255.41558768117</v>
      </c>
      <c r="J368" s="197"/>
    </row>
    <row r="369" spans="1:10">
      <c r="A369" s="190">
        <f t="shared" si="155"/>
        <v>2009</v>
      </c>
      <c r="B369" s="232">
        <f>'Rate Class Load Model'!B3</f>
        <v>299390.46000000002</v>
      </c>
      <c r="C369" s="232">
        <f>'Rate Class Load Model'!C3</f>
        <v>142.5732616487455</v>
      </c>
      <c r="D369" s="232">
        <f>'Rate Class Load Model'!D3</f>
        <v>7499.17</v>
      </c>
      <c r="E369" s="232">
        <f t="shared" ref="E369:E377" si="159">SUM(B369:D369)</f>
        <v>307032.20326164877</v>
      </c>
      <c r="F369" s="232">
        <f t="shared" ref="F369:F377" si="160">B369*F273</f>
        <v>297478.22422544903</v>
      </c>
      <c r="G369" s="232">
        <f t="shared" si="156"/>
        <v>141.6626324609646</v>
      </c>
      <c r="H369" s="232">
        <f t="shared" si="157"/>
        <v>7451.2720771555669</v>
      </c>
      <c r="I369" s="232">
        <f t="shared" ref="I369:I377" si="161">SUM(F369:H369)</f>
        <v>305071.15893506556</v>
      </c>
      <c r="J369" s="197"/>
    </row>
    <row r="370" spans="1:10">
      <c r="A370" s="190">
        <f t="shared" si="155"/>
        <v>2010</v>
      </c>
      <c r="B370" s="232">
        <f>'Rate Class Load Model'!B4</f>
        <v>284691.97136406577</v>
      </c>
      <c r="C370" s="232">
        <f>'Rate Class Load Model'!C4</f>
        <v>151.72469216182736</v>
      </c>
      <c r="D370" s="232">
        <f>'Rate Class Load Model'!D4</f>
        <v>7492.4199999999992</v>
      </c>
      <c r="E370" s="232">
        <f t="shared" si="159"/>
        <v>292336.11605622759</v>
      </c>
      <c r="F370" s="232">
        <f t="shared" si="160"/>
        <v>286296.10670986125</v>
      </c>
      <c r="G370" s="232">
        <f t="shared" si="156"/>
        <v>152.57960542250194</v>
      </c>
      <c r="H370" s="232">
        <f t="shared" si="157"/>
        <v>7534.6370519595539</v>
      </c>
      <c r="I370" s="232">
        <f t="shared" si="161"/>
        <v>293983.32336724334</v>
      </c>
      <c r="J370" s="197"/>
    </row>
    <row r="371" spans="1:10">
      <c r="A371" s="190">
        <f t="shared" si="155"/>
        <v>2011</v>
      </c>
      <c r="B371" s="232">
        <f>'Rate Class Load Model'!B5</f>
        <v>289456.33</v>
      </c>
      <c r="C371" s="232">
        <f>'Rate Class Load Model'!C5</f>
        <v>152.74858268602978</v>
      </c>
      <c r="D371" s="232">
        <f>'Rate Class Load Model'!D5</f>
        <v>7492.6399999999994</v>
      </c>
      <c r="E371" s="232">
        <f t="shared" si="159"/>
        <v>297101.71858268604</v>
      </c>
      <c r="F371" s="232">
        <f t="shared" si="160"/>
        <v>292018.87719475536</v>
      </c>
      <c r="G371" s="232">
        <f t="shared" si="156"/>
        <v>154.10086077255474</v>
      </c>
      <c r="H371" s="232">
        <f t="shared" si="157"/>
        <v>7558.9720909696853</v>
      </c>
      <c r="I371" s="232">
        <f t="shared" si="161"/>
        <v>299731.95014649758</v>
      </c>
      <c r="J371" s="197"/>
    </row>
    <row r="372" spans="1:10">
      <c r="A372" s="190">
        <f t="shared" si="155"/>
        <v>2012</v>
      </c>
      <c r="B372" s="232">
        <f>'Rate Class Load Model'!B6</f>
        <v>292338.75999999995</v>
      </c>
      <c r="C372" s="232">
        <f>'Rate Class Load Model'!C6</f>
        <v>149.81522222222219</v>
      </c>
      <c r="D372" s="232">
        <f>'Rate Class Load Model'!D6</f>
        <v>6949.3700000000008</v>
      </c>
      <c r="E372" s="232">
        <f t="shared" si="159"/>
        <v>299437.94522222219</v>
      </c>
      <c r="F372" s="232">
        <f t="shared" si="160"/>
        <v>296033.84887074743</v>
      </c>
      <c r="G372" s="232">
        <f t="shared" si="156"/>
        <v>151.70884919218642</v>
      </c>
      <c r="H372" s="232">
        <f t="shared" si="157"/>
        <v>7037.2083001477695</v>
      </c>
      <c r="I372" s="232">
        <f t="shared" si="161"/>
        <v>303222.76602008741</v>
      </c>
      <c r="J372" s="197"/>
    </row>
    <row r="373" spans="1:10">
      <c r="A373" s="190">
        <f t="shared" si="155"/>
        <v>2013</v>
      </c>
      <c r="B373" s="232">
        <f>'Rate Class Load Model'!B7</f>
        <v>293432.70999999996</v>
      </c>
      <c r="C373" s="232">
        <f>'Rate Class Load Model'!C7</f>
        <v>149.73916666666665</v>
      </c>
      <c r="D373" s="232">
        <f>'Rate Class Load Model'!D7</f>
        <v>6704.31</v>
      </c>
      <c r="E373" s="232">
        <f t="shared" si="159"/>
        <v>300286.75916666666</v>
      </c>
      <c r="F373" s="232">
        <f t="shared" si="160"/>
        <v>294180.15599116572</v>
      </c>
      <c r="G373" s="232">
        <f t="shared" si="156"/>
        <v>150.12058951432908</v>
      </c>
      <c r="H373" s="232">
        <f t="shared" si="157"/>
        <v>6721.3875426946533</v>
      </c>
      <c r="I373" s="232">
        <f t="shared" si="161"/>
        <v>301051.66412337468</v>
      </c>
      <c r="J373" s="197"/>
    </row>
    <row r="374" spans="1:10">
      <c r="A374" s="190">
        <f t="shared" si="155"/>
        <v>2014</v>
      </c>
      <c r="B374" s="232">
        <f>'Rate Class Load Model'!B8</f>
        <v>288260.6999999999</v>
      </c>
      <c r="C374" s="232">
        <f>'Rate Class Load Model'!C8</f>
        <v>138.89961839927633</v>
      </c>
      <c r="D374" s="232">
        <f>'Rate Class Load Model'!D8</f>
        <v>6610.2200000000012</v>
      </c>
      <c r="E374" s="232">
        <f t="shared" si="159"/>
        <v>295009.81961839914</v>
      </c>
      <c r="F374" s="232">
        <f t="shared" si="160"/>
        <v>284682.51153836917</v>
      </c>
      <c r="G374" s="232">
        <f t="shared" si="156"/>
        <v>137.17545339211026</v>
      </c>
      <c r="H374" s="232">
        <f t="shared" si="157"/>
        <v>6528.1671466875641</v>
      </c>
      <c r="I374" s="232">
        <f t="shared" si="161"/>
        <v>291347.85413844883</v>
      </c>
      <c r="J374" s="197"/>
    </row>
    <row r="375" spans="1:10">
      <c r="A375" s="190">
        <f t="shared" si="155"/>
        <v>2015</v>
      </c>
      <c r="B375" s="232">
        <f>'Rate Class Load Model'!B9</f>
        <v>288082.36000000004</v>
      </c>
      <c r="C375" s="232">
        <f>'Rate Class Load Model'!C9</f>
        <v>136.41233333333338</v>
      </c>
      <c r="D375" s="232">
        <f>'Rate Class Load Model'!D9</f>
        <v>5922.15</v>
      </c>
      <c r="E375" s="232">
        <f t="shared" si="159"/>
        <v>294140.92233333341</v>
      </c>
      <c r="F375" s="232">
        <f t="shared" si="160"/>
        <v>286295.61156199512</v>
      </c>
      <c r="G375" s="232">
        <f t="shared" si="156"/>
        <v>135.5662748537099</v>
      </c>
      <c r="H375" s="232">
        <f t="shared" si="157"/>
        <v>5885.4195585313482</v>
      </c>
      <c r="I375" s="232">
        <f t="shared" si="161"/>
        <v>292316.5973953802</v>
      </c>
      <c r="J375" s="197"/>
    </row>
    <row r="376" spans="1:10">
      <c r="A376" s="190">
        <f t="shared" si="155"/>
        <v>2016</v>
      </c>
      <c r="B376" s="232">
        <f>'Rate Class Load Model'!B10</f>
        <v>283796.43</v>
      </c>
      <c r="C376" s="232">
        <f>'Rate Class Load Model'!C10</f>
        <v>135.40497222222223</v>
      </c>
      <c r="D376" s="232">
        <f>'Rate Class Load Model'!D10</f>
        <v>3094.0399999999995</v>
      </c>
      <c r="E376" s="232">
        <f t="shared" si="159"/>
        <v>287025.8749722222</v>
      </c>
      <c r="F376" s="232">
        <f t="shared" si="160"/>
        <v>283742.99575165473</v>
      </c>
      <c r="G376" s="232">
        <f t="shared" si="156"/>
        <v>135.37947766997254</v>
      </c>
      <c r="H376" s="232">
        <f t="shared" si="157"/>
        <v>3093.4574426304434</v>
      </c>
      <c r="I376" s="232">
        <f t="shared" si="161"/>
        <v>286971.83267195511</v>
      </c>
      <c r="J376" s="197"/>
    </row>
    <row r="377" spans="1:10">
      <c r="A377" s="190">
        <f t="shared" si="155"/>
        <v>2017</v>
      </c>
      <c r="B377" s="232">
        <f>'Rate Class Load Model'!B11</f>
        <v>279963</v>
      </c>
      <c r="C377" s="232">
        <f>'Rate Class Load Model'!C11</f>
        <v>122.87111111111111</v>
      </c>
      <c r="D377" s="232">
        <f>'Rate Class Load Model'!D11</f>
        <v>3196.56</v>
      </c>
      <c r="E377" s="232">
        <f t="shared" si="159"/>
        <v>283282.43111111113</v>
      </c>
      <c r="F377" s="232">
        <f t="shared" si="160"/>
        <v>283899.09938028007</v>
      </c>
      <c r="G377" s="232">
        <f t="shared" si="156"/>
        <v>124.59859975889232</v>
      </c>
      <c r="H377" s="232">
        <f t="shared" si="157"/>
        <v>3241.5015738330712</v>
      </c>
      <c r="I377" s="232">
        <f t="shared" si="161"/>
        <v>287265.19955387199</v>
      </c>
      <c r="J377" s="197"/>
    </row>
    <row r="378" spans="1:10">
      <c r="A378" s="233"/>
      <c r="B378" s="234"/>
      <c r="C378" s="234"/>
      <c r="D378" s="234"/>
    </row>
    <row r="379" spans="1:10" ht="13" customHeight="1">
      <c r="A379" s="306" t="s">
        <v>283</v>
      </c>
      <c r="B379" s="306"/>
      <c r="C379" s="306"/>
      <c r="D379" s="306"/>
      <c r="E379"/>
      <c r="F379"/>
      <c r="G379"/>
      <c r="H379"/>
    </row>
    <row r="380" spans="1:10" ht="39">
      <c r="A380" s="289" t="s">
        <v>184</v>
      </c>
      <c r="B380" s="290" t="str">
        <f>B366</f>
        <v>General Service 50 to 4,999 kW</v>
      </c>
      <c r="C380" s="290" t="str">
        <f t="shared" ref="C380:D380" si="162">C366</f>
        <v>Sentinel Lights</v>
      </c>
      <c r="D380" s="290" t="str">
        <f t="shared" si="162"/>
        <v>Street Lights</v>
      </c>
      <c r="E380"/>
      <c r="F380"/>
      <c r="G380"/>
      <c r="H380"/>
      <c r="I380" s="197"/>
      <c r="J380" s="197"/>
    </row>
    <row r="381" spans="1:10" ht="13">
      <c r="A381" s="405" t="s">
        <v>225</v>
      </c>
      <c r="B381" s="405"/>
      <c r="C381" s="405"/>
      <c r="D381" s="405"/>
      <c r="E381"/>
      <c r="F381"/>
      <c r="G381"/>
      <c r="H381"/>
    </row>
    <row r="382" spans="1:10">
      <c r="A382" s="190">
        <f>A368</f>
        <v>2008</v>
      </c>
      <c r="B382" s="248">
        <f>'Rate Class Load Model'!B16</f>
        <v>2.4851017976497513E-3</v>
      </c>
      <c r="C382" s="248">
        <f>'Rate Class Load Model'!C16</f>
        <v>2.5627363072241558E-3</v>
      </c>
      <c r="D382" s="248">
        <f>'Rate Class Load Model'!D16</f>
        <v>2.7469868854712435E-3</v>
      </c>
      <c r="E382"/>
      <c r="F382"/>
      <c r="G382"/>
      <c r="H382"/>
    </row>
    <row r="383" spans="1:10">
      <c r="A383" s="190">
        <f t="shared" ref="A383:A391" si="163">A369</f>
        <v>2009</v>
      </c>
      <c r="B383" s="248">
        <f>'Rate Class Load Model'!B17</f>
        <v>2.469024247894502E-3</v>
      </c>
      <c r="C383" s="248">
        <f>'Rate Class Load Model'!C17</f>
        <v>2.6725818439983571E-3</v>
      </c>
      <c r="D383" s="248">
        <f>'Rate Class Load Model'!D17</f>
        <v>2.7389797292053479E-3</v>
      </c>
      <c r="E383"/>
      <c r="F383"/>
      <c r="G383"/>
      <c r="H383"/>
    </row>
    <row r="384" spans="1:10">
      <c r="A384" s="190">
        <f t="shared" si="163"/>
        <v>2010</v>
      </c>
      <c r="B384" s="248">
        <f>'Rate Class Load Model'!B18</f>
        <v>2.4147723529670258E-3</v>
      </c>
      <c r="C384" s="248">
        <f>'Rate Class Load Model'!C18</f>
        <v>2.8664259346478957E-3</v>
      </c>
      <c r="D384" s="248">
        <f>'Rate Class Load Model'!D18</f>
        <v>2.6894741969934015E-3</v>
      </c>
      <c r="E384"/>
      <c r="F384"/>
      <c r="G384"/>
      <c r="H384"/>
      <c r="I384" s="197"/>
    </row>
    <row r="385" spans="1:11">
      <c r="A385" s="190">
        <f t="shared" si="163"/>
        <v>2011</v>
      </c>
      <c r="B385" s="248">
        <f>'Rate Class Load Model'!B19</f>
        <v>2.4424082638767682E-3</v>
      </c>
      <c r="C385" s="248">
        <f>'Rate Class Load Model'!C19</f>
        <v>2.9006579440913425E-3</v>
      </c>
      <c r="D385" s="248">
        <f>'Rate Class Load Model'!D19</f>
        <v>2.7396752248693293E-3</v>
      </c>
      <c r="E385"/>
      <c r="F385"/>
      <c r="G385"/>
      <c r="H385"/>
    </row>
    <row r="386" spans="1:11">
      <c r="A386" s="190">
        <f t="shared" si="163"/>
        <v>2012</v>
      </c>
      <c r="B386" s="248">
        <f>'Rate Class Load Model'!B20</f>
        <v>2.4335419278273887E-3</v>
      </c>
      <c r="C386" s="248">
        <f>'Rate Class Load Model'!C20</f>
        <v>2.9057838335752018E-3</v>
      </c>
      <c r="D386" s="248">
        <f>'Rate Class Load Model'!D20</f>
        <v>2.7446338461339583E-3</v>
      </c>
      <c r="E386"/>
      <c r="F386"/>
      <c r="G386"/>
      <c r="H386"/>
    </row>
    <row r="387" spans="1:11">
      <c r="A387" s="190">
        <f t="shared" si="163"/>
        <v>2013</v>
      </c>
      <c r="B387" s="248">
        <f>'Rate Class Load Model'!B21</f>
        <v>2.4613387617033471E-3</v>
      </c>
      <c r="C387" s="248">
        <f>'Rate Class Load Model'!C21</f>
        <v>2.9142609750129095E-3</v>
      </c>
      <c r="D387" s="248">
        <f>'Rate Class Load Model'!D21</f>
        <v>2.7464797855519694E-3</v>
      </c>
      <c r="E387"/>
      <c r="F387"/>
      <c r="G387"/>
      <c r="H387"/>
    </row>
    <row r="388" spans="1:11">
      <c r="A388" s="190">
        <f t="shared" si="163"/>
        <v>2014</v>
      </c>
      <c r="B388" s="248">
        <f>'Rate Class Load Model'!B22</f>
        <v>2.3650077972807984E-3</v>
      </c>
      <c r="C388" s="248">
        <f>'Rate Class Load Model'!C22</f>
        <v>2.777777777777777E-3</v>
      </c>
      <c r="D388" s="248">
        <f>'Rate Class Load Model'!D22</f>
        <v>2.7478069840992654E-3</v>
      </c>
      <c r="E388"/>
      <c r="F388"/>
      <c r="G388"/>
      <c r="H388"/>
    </row>
    <row r="389" spans="1:11">
      <c r="A389" s="190">
        <f t="shared" si="163"/>
        <v>2015</v>
      </c>
      <c r="B389" s="248">
        <f>'Rate Class Load Model'!B23</f>
        <v>2.4054202500975439E-3</v>
      </c>
      <c r="C389" s="248">
        <f>'Rate Class Load Model'!C23</f>
        <v>2.7777777777777766E-3</v>
      </c>
      <c r="D389" s="248">
        <f>'Rate Class Load Model'!D23</f>
        <v>2.9177681717984889E-3</v>
      </c>
      <c r="E389"/>
      <c r="F389"/>
      <c r="G389"/>
      <c r="H389"/>
    </row>
    <row r="390" spans="1:11">
      <c r="A390" s="190">
        <f t="shared" si="163"/>
        <v>2016</v>
      </c>
      <c r="B390" s="248">
        <f>'Rate Class Load Model'!B24</f>
        <v>2.4331572807867077E-3</v>
      </c>
      <c r="C390" s="248">
        <f>'Rate Class Load Model'!C24</f>
        <v>2.7777777777777761E-3</v>
      </c>
      <c r="D390" s="248">
        <f>'Rate Class Load Model'!D24</f>
        <v>2.7229425214385784E-3</v>
      </c>
      <c r="E390"/>
      <c r="F390"/>
      <c r="G390"/>
      <c r="H390"/>
    </row>
    <row r="391" spans="1:11">
      <c r="A391" s="190">
        <f t="shared" si="163"/>
        <v>2017</v>
      </c>
      <c r="B391" s="248">
        <f>'Rate Class Load Model'!B25</f>
        <v>2.397898056874907E-3</v>
      </c>
      <c r="C391" s="248">
        <f>'Rate Class Load Model'!C25</f>
        <v>2.7777777777777753E-3</v>
      </c>
      <c r="D391" s="248">
        <f>'Rate Class Load Model'!D25</f>
        <v>2.7688933507861745E-3</v>
      </c>
      <c r="E391"/>
      <c r="F391"/>
      <c r="G391"/>
      <c r="H391"/>
    </row>
    <row r="392" spans="1:11">
      <c r="A392" s="190" t="s">
        <v>285</v>
      </c>
      <c r="B392" s="248">
        <f>'Rate Class Load Model'!B27</f>
        <v>2.430767073695874E-3</v>
      </c>
      <c r="C392" s="248">
        <f>'Rate Class Load Model'!C27</f>
        <v>2.7933557949660964E-3</v>
      </c>
      <c r="D392" s="248">
        <f>'Rate Class Load Model'!D27</f>
        <v>2.7563640696347761E-3</v>
      </c>
      <c r="E392"/>
      <c r="F392"/>
      <c r="G392"/>
      <c r="H392"/>
    </row>
    <row r="393" spans="1:11">
      <c r="A393" s="190" t="s">
        <v>226</v>
      </c>
      <c r="B393" s="248">
        <f>B392</f>
        <v>2.430767073695874E-3</v>
      </c>
      <c r="C393" s="248">
        <f t="shared" ref="C393:D393" si="164">C392</f>
        <v>2.7933557949660964E-3</v>
      </c>
      <c r="D393" s="248">
        <f t="shared" si="164"/>
        <v>2.7563640696347761E-3</v>
      </c>
      <c r="E393"/>
      <c r="F393"/>
      <c r="G393"/>
      <c r="H393"/>
    </row>
    <row r="395" spans="1:11" ht="13">
      <c r="A395" s="406" t="s">
        <v>286</v>
      </c>
      <c r="B395" s="406"/>
      <c r="C395" s="406"/>
      <c r="D395" s="406"/>
      <c r="E395" s="406"/>
      <c r="F395"/>
      <c r="G395"/>
      <c r="H395"/>
      <c r="I395"/>
    </row>
    <row r="396" spans="1:11" s="194" customFormat="1" ht="39">
      <c r="A396" s="289" t="s">
        <v>184</v>
      </c>
      <c r="B396" s="290" t="str">
        <f>B366</f>
        <v>General Service 50 to 4,999 kW</v>
      </c>
      <c r="C396" s="290" t="str">
        <f t="shared" ref="C396:E396" si="165">C366</f>
        <v>Sentinel Lights</v>
      </c>
      <c r="D396" s="290" t="str">
        <f t="shared" si="165"/>
        <v>Street Lights</v>
      </c>
      <c r="E396" s="290" t="str">
        <f t="shared" si="165"/>
        <v>Total</v>
      </c>
      <c r="F396"/>
      <c r="G396"/>
      <c r="H396"/>
      <c r="I396"/>
    </row>
    <row r="397" spans="1:11" ht="13">
      <c r="A397" s="405" t="s">
        <v>227</v>
      </c>
      <c r="B397" s="405"/>
      <c r="C397" s="405"/>
      <c r="D397" s="405"/>
      <c r="E397" s="405"/>
      <c r="F397"/>
      <c r="G397"/>
      <c r="H397"/>
      <c r="I397"/>
    </row>
    <row r="398" spans="1:11">
      <c r="A398" s="190" t="str">
        <f>A362</f>
        <v>2018 Bridge</v>
      </c>
      <c r="B398" s="232">
        <f>'Rate Class Load Model'!B12</f>
        <v>282314.64167395374</v>
      </c>
      <c r="C398" s="232">
        <f>'Rate Class Load Model'!C12</f>
        <v>119.48677026939222</v>
      </c>
      <c r="D398" s="232">
        <f>'Rate Class Load Model'!D12</f>
        <v>3182.8403066540436</v>
      </c>
      <c r="E398" s="232">
        <f>SUM(B398:D398)</f>
        <v>285616.96875087719</v>
      </c>
      <c r="F398"/>
      <c r="G398"/>
      <c r="H398"/>
      <c r="I398"/>
      <c r="J398" s="197"/>
      <c r="K398" s="197"/>
    </row>
    <row r="399" spans="1:11">
      <c r="A399" s="190" t="str">
        <f>A363</f>
        <v>2019 Test</v>
      </c>
      <c r="B399" s="232">
        <f>'Rate Class Load Model'!B13</f>
        <v>278374.18831233855</v>
      </c>
      <c r="C399" s="232">
        <f>'Rate Class Load Model'!C13</f>
        <v>119.48677026939222</v>
      </c>
      <c r="D399" s="232">
        <f>'Rate Class Load Model'!D13</f>
        <v>3182.8403066540436</v>
      </c>
      <c r="E399" s="232">
        <f>SUM(B399:D399)</f>
        <v>281676.515389262</v>
      </c>
      <c r="F399"/>
      <c r="G399"/>
      <c r="H399"/>
      <c r="I399"/>
      <c r="J399" s="197"/>
      <c r="K399" s="197"/>
    </row>
    <row r="400" spans="1:11" ht="13">
      <c r="A400" s="188"/>
      <c r="B400" s="249"/>
      <c r="C400" s="249"/>
      <c r="D400" s="249"/>
      <c r="E400" s="249"/>
    </row>
    <row r="402" spans="14:34" ht="13">
      <c r="O402" s="242" t="s">
        <v>287</v>
      </c>
      <c r="P402" s="242"/>
      <c r="Q402" s="242"/>
      <c r="R402" s="242"/>
      <c r="S402" s="242"/>
      <c r="T402" s="242"/>
      <c r="U402" s="242"/>
      <c r="V402" s="242"/>
      <c r="W402" s="242"/>
      <c r="X402" s="242"/>
    </row>
    <row r="403" spans="14:34" ht="26">
      <c r="O403" s="290"/>
      <c r="P403" s="290" t="str">
        <f>Summary!G3</f>
        <v xml:space="preserve">2013 Actual </v>
      </c>
      <c r="Q403" s="290" t="str">
        <f>Summary!H3</f>
        <v xml:space="preserve">2014 Actual </v>
      </c>
      <c r="R403" s="290" t="s">
        <v>155</v>
      </c>
      <c r="S403" s="290" t="str">
        <f>Summary!J3</f>
        <v xml:space="preserve">2016 Actual </v>
      </c>
      <c r="T403" s="290" t="str">
        <f>Summary!K3</f>
        <v xml:space="preserve">2017 Actual </v>
      </c>
      <c r="U403" s="290" t="str">
        <f>Summary!L3</f>
        <v>2018 Weather Normal</v>
      </c>
      <c r="V403" s="290" t="str">
        <f>Summary!M3</f>
        <v>2019 Weather Normal</v>
      </c>
      <c r="W403"/>
    </row>
    <row r="404" spans="14:34" ht="13">
      <c r="O404" s="393" t="s">
        <v>7</v>
      </c>
      <c r="P404" s="394"/>
      <c r="Q404" s="394"/>
      <c r="R404" s="394"/>
      <c r="S404" s="394"/>
      <c r="T404" s="394"/>
      <c r="U404" s="394"/>
      <c r="V404" s="395"/>
      <c r="W404"/>
    </row>
    <row r="405" spans="14:34">
      <c r="O405" s="190" t="s">
        <v>52</v>
      </c>
      <c r="P405" s="210">
        <f>Summary!G4</f>
        <v>315512631.28999996</v>
      </c>
      <c r="Q405" s="210">
        <f>Summary!H4</f>
        <v>319149657</v>
      </c>
      <c r="R405" s="210">
        <f>Summary!I4</f>
        <v>308961454</v>
      </c>
      <c r="S405" s="210">
        <f>Summary!J4</f>
        <v>302232068</v>
      </c>
      <c r="T405" s="210">
        <f>Summary!K4</f>
        <v>297287399</v>
      </c>
      <c r="U405" s="96"/>
      <c r="V405" s="96"/>
      <c r="W405"/>
    </row>
    <row r="406" spans="14:34" ht="12.75" customHeight="1">
      <c r="O406" s="185" t="s">
        <v>228</v>
      </c>
      <c r="P406" s="210">
        <f>Summary!G5</f>
        <v>312063888.01504695</v>
      </c>
      <c r="Q406" s="210">
        <f>Summary!H5</f>
        <v>315256865.74267906</v>
      </c>
      <c r="R406" s="210">
        <f>Summary!I5</f>
        <v>310181325.00870436</v>
      </c>
      <c r="S406" s="210">
        <f>Summary!J5</f>
        <v>305377241.82675278</v>
      </c>
      <c r="T406" s="210">
        <f>Summary!K5</f>
        <v>300040567.3162716</v>
      </c>
      <c r="U406" s="210">
        <f>Summary!L5</f>
        <v>303681258.80928487</v>
      </c>
      <c r="V406" s="210">
        <f>Summary!M5</f>
        <v>303754462.5616833</v>
      </c>
      <c r="W406"/>
    </row>
    <row r="407" spans="14:34" ht="13">
      <c r="O407" s="185" t="s">
        <v>229</v>
      </c>
      <c r="P407" s="236">
        <f t="shared" ref="P407:T407" si="166">(P406-P405)/P405</f>
        <v>-1.0930602875873876E-2</v>
      </c>
      <c r="Q407" s="236">
        <f t="shared" si="166"/>
        <v>-1.2197385057258391E-2</v>
      </c>
      <c r="R407" s="236">
        <f t="shared" si="166"/>
        <v>3.9482951446246249E-3</v>
      </c>
      <c r="S407" s="236">
        <f t="shared" si="166"/>
        <v>1.0406486140156318E-2</v>
      </c>
      <c r="T407" s="236">
        <f t="shared" si="166"/>
        <v>9.2609654009304411E-3</v>
      </c>
      <c r="U407" s="252"/>
      <c r="V407" s="252"/>
      <c r="W407"/>
      <c r="Y407" s="250"/>
      <c r="Z407" s="293"/>
      <c r="AA407" s="293"/>
      <c r="AB407" s="293"/>
      <c r="AC407" s="293"/>
      <c r="AD407" s="293"/>
      <c r="AE407" s="293"/>
      <c r="AF407" s="293"/>
      <c r="AG407" s="293"/>
      <c r="AH407" s="293"/>
    </row>
    <row r="408" spans="14:34" ht="13">
      <c r="O408" s="393"/>
      <c r="P408" s="394"/>
      <c r="Q408" s="394"/>
      <c r="R408" s="394"/>
      <c r="S408" s="394"/>
      <c r="T408" s="394"/>
      <c r="U408" s="394"/>
      <c r="V408" s="395"/>
      <c r="W408"/>
    </row>
    <row r="409" spans="14:34">
      <c r="N409"/>
      <c r="O409" s="307" t="s">
        <v>1</v>
      </c>
      <c r="P409" s="227"/>
      <c r="Q409" s="227"/>
      <c r="R409" s="251"/>
      <c r="S409" s="251"/>
      <c r="T409" s="252"/>
      <c r="U409" s="228">
        <f>'Rate Class Energy Model'!F20</f>
        <v>1.0725267186616549</v>
      </c>
      <c r="V409" s="253">
        <f>U409</f>
        <v>1.0725267186616549</v>
      </c>
      <c r="W409"/>
    </row>
    <row r="410" spans="14:34">
      <c r="O410" s="307" t="s">
        <v>230</v>
      </c>
      <c r="P410" s="210"/>
      <c r="Q410" s="210"/>
      <c r="R410" s="210"/>
      <c r="S410" s="210"/>
      <c r="T410" s="252"/>
      <c r="U410" s="210">
        <f>U406/U409</f>
        <v>283145634.99940723</v>
      </c>
      <c r="V410" s="210">
        <f>V406/V409</f>
        <v>283213888.54603195</v>
      </c>
      <c r="W410"/>
    </row>
    <row r="411" spans="14:34">
      <c r="O411" s="307" t="s">
        <v>231</v>
      </c>
      <c r="P411" s="210"/>
      <c r="Q411" s="210"/>
      <c r="R411" s="210"/>
      <c r="S411" s="210"/>
      <c r="T411" s="252"/>
      <c r="U411" s="210">
        <f>'Rate Class Energy Model'!N69</f>
        <v>1316686.9980026772</v>
      </c>
      <c r="V411" s="210">
        <f>'Rate Class Energy Model'!N70</f>
        <v>3858055.6482080324</v>
      </c>
      <c r="W411"/>
    </row>
    <row r="412" spans="14:34">
      <c r="O412" s="307" t="s">
        <v>232</v>
      </c>
      <c r="P412" s="210">
        <f>Summary!G8</f>
        <v>293263621.05207425</v>
      </c>
      <c r="Q412" s="210">
        <f>Summary!H8</f>
        <v>297398397.24340039</v>
      </c>
      <c r="R412" s="210">
        <f>Summary!I8</f>
        <v>288752254.73999995</v>
      </c>
      <c r="S412" s="210">
        <f>Summary!J8</f>
        <v>280505070.49164295</v>
      </c>
      <c r="T412" s="210">
        <f>Summary!K8</f>
        <v>278833243.44205451</v>
      </c>
      <c r="U412" s="210">
        <f>Summary!L8</f>
        <v>281828948.00140458</v>
      </c>
      <c r="V412" s="210">
        <f>Summary!M8</f>
        <v>279355832.89782393</v>
      </c>
      <c r="W412"/>
    </row>
    <row r="413" spans="14:34" ht="13">
      <c r="O413" s="393"/>
      <c r="P413" s="394"/>
      <c r="Q413" s="394"/>
      <c r="R413" s="394"/>
      <c r="S413" s="394"/>
      <c r="T413" s="394"/>
      <c r="U413" s="394"/>
      <c r="V413" s="395"/>
      <c r="W413"/>
    </row>
    <row r="414" spans="14:34" ht="13">
      <c r="O414" s="393" t="s">
        <v>233</v>
      </c>
      <c r="P414" s="394"/>
      <c r="Q414" s="394"/>
      <c r="R414" s="394"/>
      <c r="S414" s="394"/>
      <c r="T414" s="394"/>
      <c r="U414" s="394"/>
      <c r="V414" s="395"/>
      <c r="W414"/>
    </row>
    <row r="415" spans="14:34" ht="13">
      <c r="O415" s="393" t="str">
        <f>Summary!A11</f>
        <v xml:space="preserve">Residential </v>
      </c>
      <c r="P415" s="394"/>
      <c r="Q415" s="394"/>
      <c r="R415" s="394"/>
      <c r="S415" s="394"/>
      <c r="T415" s="394"/>
      <c r="U415" s="394"/>
      <c r="V415" s="395"/>
      <c r="W415"/>
    </row>
    <row r="416" spans="14:34">
      <c r="O416" s="190" t="s">
        <v>47</v>
      </c>
      <c r="P416" s="206">
        <f>Summary!G12</f>
        <v>10889.666666666666</v>
      </c>
      <c r="Q416" s="206">
        <f>Summary!H12</f>
        <v>10964.083333333334</v>
      </c>
      <c r="R416" s="206">
        <f>Summary!I12</f>
        <v>11020.916666666666</v>
      </c>
      <c r="S416" s="206">
        <f>Summary!J12</f>
        <v>11078.416666666666</v>
      </c>
      <c r="T416" s="206">
        <f>Summary!K12</f>
        <v>11168.75</v>
      </c>
      <c r="U416" s="206">
        <f>Summary!L12</f>
        <v>11208</v>
      </c>
      <c r="V416" s="206">
        <f>Summary!M12</f>
        <v>11208</v>
      </c>
      <c r="W416"/>
    </row>
    <row r="417" spans="15:25">
      <c r="O417" s="190" t="s">
        <v>48</v>
      </c>
      <c r="P417" s="206">
        <f>Summary!G13</f>
        <v>113520549.72461653</v>
      </c>
      <c r="Q417" s="206">
        <f>Summary!H13</f>
        <v>114433382.22499122</v>
      </c>
      <c r="R417" s="206">
        <f>Summary!I13</f>
        <v>108243956.44</v>
      </c>
      <c r="S417" s="206">
        <f>Summary!J13</f>
        <v>104348161.31</v>
      </c>
      <c r="T417" s="206">
        <f>Summary!K13</f>
        <v>103129632.00000001</v>
      </c>
      <c r="U417" s="206">
        <f>Summary!L13</f>
        <v>105412758.65379637</v>
      </c>
      <c r="V417" s="206">
        <f>Summary!M13</f>
        <v>104688526.15422076</v>
      </c>
      <c r="W417"/>
    </row>
    <row r="418" spans="15:25" ht="13">
      <c r="O418" s="393"/>
      <c r="P418" s="394"/>
      <c r="Q418" s="394"/>
      <c r="R418" s="394"/>
      <c r="S418" s="394"/>
      <c r="T418" s="394"/>
      <c r="U418" s="394"/>
      <c r="V418" s="395"/>
      <c r="W418"/>
      <c r="X418" s="197"/>
      <c r="Y418" s="197"/>
    </row>
    <row r="419" spans="15:25" ht="13">
      <c r="O419" s="393" t="str">
        <f>Summary!A15</f>
        <v>General Service &lt; 50 kW</v>
      </c>
      <c r="P419" s="394"/>
      <c r="Q419" s="394"/>
      <c r="R419" s="394"/>
      <c r="S419" s="394"/>
      <c r="T419" s="394"/>
      <c r="U419" s="394"/>
      <c r="V419" s="395"/>
      <c r="W419"/>
      <c r="X419" s="197"/>
      <c r="Y419" s="197"/>
    </row>
    <row r="420" spans="15:25">
      <c r="O420" s="190" t="s">
        <v>47</v>
      </c>
      <c r="P420" s="206">
        <f>Summary!G16</f>
        <v>2074.8333333333335</v>
      </c>
      <c r="Q420" s="206">
        <f>Summary!H16</f>
        <v>2106</v>
      </c>
      <c r="R420" s="206">
        <f>Summary!I16</f>
        <v>2132.5833333333335</v>
      </c>
      <c r="S420" s="206">
        <f>Summary!J16</f>
        <v>2137.6666666666665</v>
      </c>
      <c r="T420" s="206">
        <f>Summary!K16</f>
        <v>2144.4166666666665</v>
      </c>
      <c r="U420" s="206">
        <f>Summary!L16</f>
        <v>2148</v>
      </c>
      <c r="V420" s="206">
        <f>Summary!M16</f>
        <v>2148</v>
      </c>
      <c r="W420"/>
    </row>
    <row r="421" spans="15:25">
      <c r="O421" s="190" t="s">
        <v>48</v>
      </c>
      <c r="P421" s="206">
        <f>Summary!G17</f>
        <v>57852243.801948376</v>
      </c>
      <c r="Q421" s="206">
        <f>Summary!H17</f>
        <v>58443482.099599421</v>
      </c>
      <c r="R421" s="206">
        <f>Summary!I17</f>
        <v>58492111.439999998</v>
      </c>
      <c r="S421" s="206">
        <f>Summary!J17</f>
        <v>58168701.330000006</v>
      </c>
      <c r="T421" s="206">
        <f>Summary!K17</f>
        <v>57585352</v>
      </c>
      <c r="U421" s="206">
        <f>Summary!L17</f>
        <v>58910419.30617138</v>
      </c>
      <c r="V421" s="206">
        <f>Summary!M17</f>
        <v>58782610.726187877</v>
      </c>
      <c r="W421"/>
    </row>
    <row r="422" spans="15:25" ht="13">
      <c r="O422" s="393"/>
      <c r="P422" s="394"/>
      <c r="Q422" s="394"/>
      <c r="R422" s="394"/>
      <c r="S422" s="394"/>
      <c r="T422" s="394"/>
      <c r="U422" s="394"/>
      <c r="V422" s="395"/>
      <c r="W422"/>
    </row>
    <row r="423" spans="15:25" ht="13">
      <c r="O423" s="393" t="str">
        <f>Summary!A19</f>
        <v>General Service 50 to 4,999 kW</v>
      </c>
      <c r="P423" s="394"/>
      <c r="Q423" s="394"/>
      <c r="R423" s="394"/>
      <c r="S423" s="394"/>
      <c r="T423" s="394"/>
      <c r="U423" s="394"/>
      <c r="V423" s="395"/>
      <c r="W423"/>
    </row>
    <row r="424" spans="15:25">
      <c r="O424" s="190" t="s">
        <v>47</v>
      </c>
      <c r="P424" s="206">
        <f>Summary!G20</f>
        <v>171.33333333333334</v>
      </c>
      <c r="Q424" s="206">
        <f>Summary!H20</f>
        <v>172</v>
      </c>
      <c r="R424" s="206">
        <f>Summary!I20</f>
        <v>155.83333333333334</v>
      </c>
      <c r="S424" s="206">
        <f>Summary!J20</f>
        <v>149.33333333333334</v>
      </c>
      <c r="T424" s="206">
        <f>Summary!K20</f>
        <v>137.91666666666666</v>
      </c>
      <c r="U424" s="206">
        <f>Summary!L20</f>
        <v>136</v>
      </c>
      <c r="V424" s="206">
        <f>Summary!M20</f>
        <v>136</v>
      </c>
      <c r="W424"/>
    </row>
    <row r="425" spans="15:25">
      <c r="O425" s="190" t="s">
        <v>48</v>
      </c>
      <c r="P425" s="206">
        <f>Summary!G21</f>
        <v>119216710.25768617</v>
      </c>
      <c r="Q425" s="206">
        <f>Summary!H21</f>
        <v>121885729.22737581</v>
      </c>
      <c r="R425" s="206">
        <f>Summary!I21</f>
        <v>119763837.52000001</v>
      </c>
      <c r="S425" s="206">
        <f>Summary!J21</f>
        <v>116637108.60000002</v>
      </c>
      <c r="T425" s="206">
        <f>Summary!K21</f>
        <v>116753503.84363943</v>
      </c>
      <c r="U425" s="206">
        <f>Summary!L21</f>
        <v>116142202.48783723</v>
      </c>
      <c r="V425" s="206">
        <f>Summary!M21</f>
        <v>114521128.4638157</v>
      </c>
      <c r="W425"/>
    </row>
    <row r="426" spans="15:25">
      <c r="O426" s="190" t="s">
        <v>49</v>
      </c>
      <c r="P426" s="206">
        <f>Summary!G22</f>
        <v>293432.70999999996</v>
      </c>
      <c r="Q426" s="206">
        <f>Summary!H22</f>
        <v>288260.6999999999</v>
      </c>
      <c r="R426" s="206">
        <f>Summary!I22</f>
        <v>288082.36000000004</v>
      </c>
      <c r="S426" s="206">
        <f>Summary!J22</f>
        <v>283796.43</v>
      </c>
      <c r="T426" s="206">
        <f>Summary!K22</f>
        <v>279963</v>
      </c>
      <c r="U426" s="206">
        <f>Summary!L22</f>
        <v>282314.64167395374</v>
      </c>
      <c r="V426" s="206">
        <f>Summary!M22</f>
        <v>278374.18831233855</v>
      </c>
      <c r="W426"/>
    </row>
    <row r="427" spans="15:25" ht="13">
      <c r="O427" s="393"/>
      <c r="P427" s="394"/>
      <c r="Q427" s="394"/>
      <c r="R427" s="394"/>
      <c r="S427" s="394"/>
      <c r="T427" s="394"/>
      <c r="U427" s="394"/>
      <c r="V427" s="395"/>
      <c r="W427"/>
    </row>
    <row r="428" spans="15:25" ht="13">
      <c r="O428" s="393" t="str">
        <f>Summary!A24</f>
        <v>Sentinel Lights</v>
      </c>
      <c r="P428" s="394"/>
      <c r="Q428" s="394"/>
      <c r="R428" s="394"/>
      <c r="S428" s="394"/>
      <c r="T428" s="394"/>
      <c r="U428" s="394"/>
      <c r="V428" s="395"/>
      <c r="W428"/>
    </row>
    <row r="429" spans="15:25">
      <c r="O429" s="190" t="str">
        <f>Summary!A25</f>
        <v xml:space="preserve">  Connections</v>
      </c>
      <c r="P429" s="206">
        <f>Summary!G25</f>
        <v>59</v>
      </c>
      <c r="Q429" s="206">
        <f>Summary!H25</f>
        <v>56.666666666666664</v>
      </c>
      <c r="R429" s="206">
        <f>Summary!I25</f>
        <v>53</v>
      </c>
      <c r="S429" s="206">
        <f>Summary!J25</f>
        <v>52.333333333333336</v>
      </c>
      <c r="T429" s="206">
        <f>Summary!K25</f>
        <v>45.5</v>
      </c>
      <c r="U429" s="206">
        <f>Summary!L25</f>
        <v>44</v>
      </c>
      <c r="V429" s="206">
        <f>Summary!M25</f>
        <v>44</v>
      </c>
      <c r="W429"/>
    </row>
    <row r="430" spans="15:25">
      <c r="O430" s="190" t="s">
        <v>48</v>
      </c>
      <c r="P430" s="206">
        <f>Summary!G26</f>
        <v>51381.522777315215</v>
      </c>
      <c r="Q430" s="206">
        <f>Summary!H26</f>
        <v>50003.862623739493</v>
      </c>
      <c r="R430" s="206">
        <f>Summary!I26</f>
        <v>49108.440000000039</v>
      </c>
      <c r="S430" s="206">
        <f>Summary!J26</f>
        <v>48745.79000000003</v>
      </c>
      <c r="T430" s="206">
        <f>Summary!K26</f>
        <v>44233.600000000035</v>
      </c>
      <c r="U430" s="206">
        <f>Summary!L26</f>
        <v>42775.349450549482</v>
      </c>
      <c r="V430" s="206">
        <f>Summary!M26</f>
        <v>42775.349450549482</v>
      </c>
      <c r="W430"/>
    </row>
    <row r="431" spans="15:25">
      <c r="O431" s="190" t="s">
        <v>49</v>
      </c>
      <c r="P431" s="206">
        <f>Summary!G27</f>
        <v>149.73916666666665</v>
      </c>
      <c r="Q431" s="206">
        <f>Summary!H27</f>
        <v>138.89961839927633</v>
      </c>
      <c r="R431" s="206">
        <f>Summary!I27</f>
        <v>136.41233333333338</v>
      </c>
      <c r="S431" s="206">
        <f>Summary!J27</f>
        <v>135.40497222222223</v>
      </c>
      <c r="T431" s="206">
        <f>Summary!K27</f>
        <v>122.87111111111111</v>
      </c>
      <c r="U431" s="206">
        <f>Summary!L27</f>
        <v>119.48677026939222</v>
      </c>
      <c r="V431" s="206">
        <f>Summary!M27</f>
        <v>119.48677026939222</v>
      </c>
      <c r="W431"/>
    </row>
    <row r="432" spans="15:25" ht="13">
      <c r="O432" s="393"/>
      <c r="P432" s="394"/>
      <c r="Q432" s="394"/>
      <c r="R432" s="394"/>
      <c r="S432" s="394"/>
      <c r="T432" s="394"/>
      <c r="U432" s="394"/>
      <c r="V432" s="395"/>
      <c r="W432"/>
    </row>
    <row r="433" spans="6:32" ht="13">
      <c r="O433" s="393" t="str">
        <f>Summary!A29</f>
        <v>Street Lights</v>
      </c>
      <c r="P433" s="394"/>
      <c r="Q433" s="394"/>
      <c r="R433" s="394"/>
      <c r="S433" s="394"/>
      <c r="T433" s="394"/>
      <c r="U433" s="394"/>
      <c r="V433" s="395"/>
      <c r="W433"/>
    </row>
    <row r="434" spans="6:32">
      <c r="O434" s="190" t="str">
        <f>Summary!A30</f>
        <v xml:space="preserve">  Connections</v>
      </c>
      <c r="P434" s="206">
        <f>Summary!G30</f>
        <v>2843.25</v>
      </c>
      <c r="Q434" s="206">
        <f>Summary!H30</f>
        <v>2843.6666666666665</v>
      </c>
      <c r="R434" s="206">
        <f>Summary!I30</f>
        <v>2766.0833333333335</v>
      </c>
      <c r="S434" s="206">
        <f>Summary!J30</f>
        <v>2679.1666666666665</v>
      </c>
      <c r="T434" s="206">
        <f>Summary!K30</f>
        <v>2848.3333333333335</v>
      </c>
      <c r="U434" s="206">
        <f>Summary!L30</f>
        <v>2849</v>
      </c>
      <c r="V434" s="206">
        <f>Summary!M30</f>
        <v>2849</v>
      </c>
      <c r="W434"/>
    </row>
    <row r="435" spans="6:32">
      <c r="O435" s="190" t="s">
        <v>48</v>
      </c>
      <c r="P435" s="206">
        <f>Summary!G31</f>
        <v>2441055.6506799893</v>
      </c>
      <c r="Q435" s="206">
        <f>Summary!H31</f>
        <v>2405634.7619215474</v>
      </c>
      <c r="R435" s="206">
        <f>Summary!I31</f>
        <v>2029684.9000000004</v>
      </c>
      <c r="S435" s="206">
        <f>Summary!J31</f>
        <v>1136285.4616429303</v>
      </c>
      <c r="T435" s="206">
        <f>Summary!K31</f>
        <v>1154453.9984150699</v>
      </c>
      <c r="U435" s="206">
        <f>Summary!L31</f>
        <v>1154724.2041490464</v>
      </c>
      <c r="V435" s="206">
        <f>Summary!M31</f>
        <v>1154724.2041490464</v>
      </c>
      <c r="W435"/>
    </row>
    <row r="436" spans="6:32">
      <c r="O436" s="190" t="s">
        <v>49</v>
      </c>
      <c r="P436" s="206">
        <f>Summary!G32</f>
        <v>6704.31</v>
      </c>
      <c r="Q436" s="206">
        <f>Summary!H32</f>
        <v>6610.2200000000012</v>
      </c>
      <c r="R436" s="206">
        <f>Summary!I32</f>
        <v>5922.15</v>
      </c>
      <c r="S436" s="206">
        <f>Summary!J32</f>
        <v>3094.0399999999995</v>
      </c>
      <c r="T436" s="206">
        <f>Summary!K32</f>
        <v>3196.56</v>
      </c>
      <c r="U436" s="206">
        <f>Summary!L32</f>
        <v>3182.8403066540436</v>
      </c>
      <c r="V436" s="206">
        <f>Summary!M32</f>
        <v>3182.8403066540436</v>
      </c>
      <c r="W436"/>
    </row>
    <row r="437" spans="6:32" ht="13">
      <c r="O437" s="393"/>
      <c r="P437" s="394"/>
      <c r="Q437" s="394"/>
      <c r="R437" s="394"/>
      <c r="S437" s="394"/>
      <c r="T437" s="394"/>
      <c r="U437" s="394"/>
      <c r="V437" s="395"/>
      <c r="W437"/>
    </row>
    <row r="438" spans="6:32" ht="13">
      <c r="O438" s="393" t="str">
        <f>Summary!A34</f>
        <v xml:space="preserve">Unmetered Scattered Loads </v>
      </c>
      <c r="P438" s="394"/>
      <c r="Q438" s="394"/>
      <c r="R438" s="394"/>
      <c r="S438" s="394"/>
      <c r="T438" s="394"/>
      <c r="U438" s="394"/>
      <c r="V438" s="395"/>
      <c r="W438"/>
      <c r="X438" s="197"/>
      <c r="Y438" s="197"/>
    </row>
    <row r="439" spans="6:32">
      <c r="O439" s="190" t="str">
        <f>Summary!A35</f>
        <v xml:space="preserve">  Connections</v>
      </c>
      <c r="P439" s="206">
        <f>Summary!G35</f>
        <v>56.25</v>
      </c>
      <c r="Q439" s="206">
        <f>Summary!H35</f>
        <v>54.75</v>
      </c>
      <c r="R439" s="206">
        <f>Summary!I35</f>
        <v>52.166666666666664</v>
      </c>
      <c r="S439" s="206">
        <f>Summary!J35</f>
        <v>51</v>
      </c>
      <c r="T439" s="206">
        <f>Summary!K35</f>
        <v>51</v>
      </c>
      <c r="U439" s="206">
        <f>Summary!L35</f>
        <v>51</v>
      </c>
      <c r="V439" s="206">
        <f>Summary!M35</f>
        <v>51</v>
      </c>
      <c r="W439"/>
    </row>
    <row r="440" spans="6:32">
      <c r="O440" s="190" t="s">
        <v>48</v>
      </c>
      <c r="P440" s="206">
        <f>Summary!G36</f>
        <v>181680.0943658062</v>
      </c>
      <c r="Q440" s="206">
        <f>Summary!H36</f>
        <v>180165.06688870379</v>
      </c>
      <c r="R440" s="206">
        <f>Summary!I36</f>
        <v>173556</v>
      </c>
      <c r="S440" s="206">
        <f>Summary!J36</f>
        <v>166068</v>
      </c>
      <c r="T440" s="206">
        <f>Summary!K36</f>
        <v>166068</v>
      </c>
      <c r="U440" s="206">
        <f>Summary!L36</f>
        <v>166068</v>
      </c>
      <c r="V440" s="206">
        <f>Summary!M36</f>
        <v>166068</v>
      </c>
      <c r="W440"/>
    </row>
    <row r="441" spans="6:32" ht="13">
      <c r="O441" s="393"/>
      <c r="P441" s="394"/>
      <c r="Q441" s="394"/>
      <c r="R441" s="394"/>
      <c r="S441" s="394"/>
      <c r="T441" s="394"/>
      <c r="U441" s="394"/>
      <c r="V441" s="395"/>
      <c r="W441"/>
    </row>
    <row r="442" spans="6:32" ht="13">
      <c r="O442" s="393" t="s">
        <v>10</v>
      </c>
      <c r="P442" s="394"/>
      <c r="Q442" s="394"/>
      <c r="R442" s="394"/>
      <c r="S442" s="394"/>
      <c r="T442" s="394"/>
      <c r="U442" s="394"/>
      <c r="V442" s="395"/>
      <c r="W442"/>
    </row>
    <row r="443" spans="6:32">
      <c r="O443" s="255" t="str">
        <f>Summary!A39</f>
        <v xml:space="preserve">  Customer/Connections</v>
      </c>
      <c r="P443" s="206">
        <f t="shared" ref="P443:V443" si="167">P439+P434+P429+P424+P420+P416</f>
        <v>16094.333333333332</v>
      </c>
      <c r="Q443" s="206">
        <f t="shared" si="167"/>
        <v>16197.166666666668</v>
      </c>
      <c r="R443" s="206">
        <f t="shared" si="167"/>
        <v>16180.583333333332</v>
      </c>
      <c r="S443" s="206">
        <f t="shared" si="167"/>
        <v>16147.916666666666</v>
      </c>
      <c r="T443" s="206">
        <f t="shared" si="167"/>
        <v>16395.916666666664</v>
      </c>
      <c r="U443" s="206">
        <f t="shared" si="167"/>
        <v>16436</v>
      </c>
      <c r="V443" s="206">
        <f t="shared" si="167"/>
        <v>16436</v>
      </c>
      <c r="W443"/>
    </row>
    <row r="444" spans="6:32">
      <c r="O444" s="255" t="str">
        <f>Summary!A40</f>
        <v xml:space="preserve">  kWh</v>
      </c>
      <c r="P444" s="206">
        <f t="shared" ref="P444:V445" si="168">P440+P435+P430+P425+P421+P417</f>
        <v>293263621.05207419</v>
      </c>
      <c r="Q444" s="206">
        <f t="shared" si="168"/>
        <v>297398397.24340045</v>
      </c>
      <c r="R444" s="206">
        <f t="shared" si="168"/>
        <v>288752254.74000001</v>
      </c>
      <c r="S444" s="206">
        <f t="shared" si="168"/>
        <v>280505070.49164295</v>
      </c>
      <c r="T444" s="206">
        <f t="shared" si="168"/>
        <v>278833243.44205451</v>
      </c>
      <c r="U444" s="206">
        <f t="shared" si="168"/>
        <v>281828948.00140458</v>
      </c>
      <c r="V444" s="206">
        <f t="shared" si="168"/>
        <v>279355832.89782393</v>
      </c>
      <c r="W444"/>
    </row>
    <row r="445" spans="6:32" s="197" customFormat="1">
      <c r="O445" s="190" t="s">
        <v>49</v>
      </c>
      <c r="P445" s="206">
        <f t="shared" si="168"/>
        <v>300286.75916666666</v>
      </c>
      <c r="Q445" s="206">
        <f t="shared" si="168"/>
        <v>295009.8196183992</v>
      </c>
      <c r="R445" s="206">
        <f t="shared" si="168"/>
        <v>294140.92233333335</v>
      </c>
      <c r="S445" s="206">
        <f t="shared" si="168"/>
        <v>287025.8749722222</v>
      </c>
      <c r="T445" s="206">
        <f t="shared" si="168"/>
        <v>283282.43111111113</v>
      </c>
      <c r="U445" s="206">
        <f t="shared" si="168"/>
        <v>285616.96875087719</v>
      </c>
      <c r="V445" s="206">
        <f t="shared" si="168"/>
        <v>281676.515389262</v>
      </c>
    </row>
    <row r="446" spans="6:32">
      <c r="F446" s="197"/>
      <c r="G446" s="197"/>
      <c r="H446" s="197"/>
      <c r="I446" s="197"/>
      <c r="J446" s="197"/>
      <c r="K446" s="197"/>
    </row>
    <row r="447" spans="6:32">
      <c r="P447"/>
      <c r="Q447"/>
      <c r="R447"/>
      <c r="S447"/>
      <c r="T447"/>
      <c r="U447"/>
      <c r="V447"/>
      <c r="W447"/>
      <c r="X447"/>
      <c r="Y447" s="197"/>
      <c r="Z447" s="197"/>
      <c r="AA447" s="197"/>
      <c r="AB447" s="235"/>
      <c r="AC447" s="235"/>
      <c r="AD447" s="235"/>
      <c r="AE447" s="235"/>
    </row>
    <row r="448" spans="6:32" ht="13">
      <c r="AB448" s="329" t="s">
        <v>322</v>
      </c>
      <c r="AC448" s="188"/>
      <c r="AD448" s="188"/>
      <c r="AE448" s="235"/>
      <c r="AF448" s="235"/>
    </row>
    <row r="449" spans="28:44" s="194" customFormat="1" ht="52">
      <c r="AB449" s="330" t="s">
        <v>174</v>
      </c>
      <c r="AC449" s="328" t="s">
        <v>320</v>
      </c>
      <c r="AD449" s="328" t="s">
        <v>243</v>
      </c>
      <c r="AE449" s="301" t="s">
        <v>234</v>
      </c>
      <c r="AF449" s="301" t="s">
        <v>235</v>
      </c>
    </row>
    <row r="450" spans="28:44">
      <c r="AB450" s="257" t="str">
        <f>+Summary!A11</f>
        <v xml:space="preserve">Residential </v>
      </c>
      <c r="AC450" s="258">
        <f>+P5</f>
        <v>4360158.4974347996</v>
      </c>
      <c r="AD450" s="258">
        <f>+Q5</f>
        <v>4709729.7699999996</v>
      </c>
      <c r="AE450" s="258">
        <f>AD450-AC450</f>
        <v>349571.27256519999</v>
      </c>
      <c r="AF450" s="259">
        <f>AE450/AC450</f>
        <v>8.0173982842793978E-2</v>
      </c>
    </row>
    <row r="451" spans="28:44">
      <c r="AB451" s="332" t="str">
        <f>+Summary!A15</f>
        <v>General Service &lt; 50 kW</v>
      </c>
      <c r="AC451" s="258">
        <f t="shared" ref="AC451:AC455" si="169">+P6</f>
        <v>1605546.0332740799</v>
      </c>
      <c r="AD451" s="258">
        <f t="shared" ref="AD451:AD455" si="170">+Q6</f>
        <v>1756673.2000000002</v>
      </c>
      <c r="AE451" s="258">
        <f t="shared" ref="AE451:AE456" si="171">AD451-AC451</f>
        <v>151127.16672592028</v>
      </c>
      <c r="AF451" s="259">
        <f t="shared" ref="AF451:AF456" si="172">AE451/AC451</f>
        <v>9.4128205354372191E-2</v>
      </c>
    </row>
    <row r="452" spans="28:44">
      <c r="AB452" s="332" t="str">
        <f>+Summary!A19</f>
        <v>General Service 50 to 4,999 kW</v>
      </c>
      <c r="AC452" s="258">
        <f t="shared" si="169"/>
        <v>1431161.2836823999</v>
      </c>
      <c r="AD452" s="258">
        <f t="shared" si="170"/>
        <v>1343209.62</v>
      </c>
      <c r="AE452" s="258">
        <f t="shared" si="171"/>
        <v>-87951.663682399783</v>
      </c>
      <c r="AF452" s="259">
        <f t="shared" si="172"/>
        <v>-6.1454753342753098E-2</v>
      </c>
    </row>
    <row r="453" spans="28:44">
      <c r="AB453" s="332" t="str">
        <f>+Summary!A24</f>
        <v>Sentinel Lights</v>
      </c>
      <c r="AC453" s="258">
        <f t="shared" si="169"/>
        <v>6738.6785778399999</v>
      </c>
      <c r="AD453" s="258">
        <f t="shared" si="170"/>
        <v>6504.8099999999995</v>
      </c>
      <c r="AE453" s="258">
        <f t="shared" si="171"/>
        <v>-233.8685778400004</v>
      </c>
      <c r="AF453" s="259">
        <f t="shared" si="172"/>
        <v>-3.4705406280850407E-2</v>
      </c>
    </row>
    <row r="454" spans="28:44">
      <c r="AB454" s="332" t="str">
        <f>+Summary!A29</f>
        <v>Street Lights</v>
      </c>
      <c r="AC454" s="258">
        <f t="shared" si="169"/>
        <v>256330.87506176002</v>
      </c>
      <c r="AD454" s="258">
        <f t="shared" si="170"/>
        <v>269768.7</v>
      </c>
      <c r="AE454" s="258">
        <f t="shared" si="171"/>
        <v>13437.824938239995</v>
      </c>
      <c r="AF454" s="259">
        <f t="shared" si="172"/>
        <v>5.2423746983278174E-2</v>
      </c>
    </row>
    <row r="455" spans="28:44">
      <c r="AB455" s="332" t="str">
        <f>+Summary!A34</f>
        <v xml:space="preserve">Unmetered Scattered Loads </v>
      </c>
      <c r="AC455" s="258">
        <f t="shared" si="169"/>
        <v>18405.58316912</v>
      </c>
      <c r="AD455" s="258">
        <f t="shared" si="170"/>
        <v>21198.35</v>
      </c>
      <c r="AE455" s="258">
        <f t="shared" si="171"/>
        <v>2792.7668308799985</v>
      </c>
      <c r="AF455" s="259">
        <f t="shared" si="172"/>
        <v>0.15173476467540392</v>
      </c>
    </row>
    <row r="456" spans="28:44" ht="13">
      <c r="AB456" s="331" t="s">
        <v>17</v>
      </c>
      <c r="AC456" s="357">
        <f>SUM(AC450:AC455)</f>
        <v>7678340.9512</v>
      </c>
      <c r="AD456" s="357">
        <f>SUM(AD450:AD455)</f>
        <v>8107084.4499999993</v>
      </c>
      <c r="AE456" s="357">
        <f t="shared" si="171"/>
        <v>428743.49879999924</v>
      </c>
      <c r="AF456" s="358">
        <f t="shared" si="172"/>
        <v>5.583803864987183E-2</v>
      </c>
    </row>
    <row r="458" spans="28:44" ht="13">
      <c r="AD458" s="184" t="s">
        <v>321</v>
      </c>
      <c r="AE458" s="359">
        <f>+Q12-P12</f>
        <v>428743.49879999924</v>
      </c>
      <c r="AG458" s="188" t="s">
        <v>323</v>
      </c>
      <c r="AH458" s="188"/>
      <c r="AI458" s="188"/>
      <c r="AJ458" s="235"/>
      <c r="AK458" s="260"/>
    </row>
    <row r="459" spans="28:44" s="194" customFormat="1" ht="48" customHeight="1">
      <c r="AG459" s="303" t="s">
        <v>236</v>
      </c>
      <c r="AH459" s="400" t="s">
        <v>237</v>
      </c>
      <c r="AI459" s="401"/>
      <c r="AJ459" s="301" t="s">
        <v>238</v>
      </c>
      <c r="AK459" s="400" t="s">
        <v>139</v>
      </c>
      <c r="AL459" s="401"/>
      <c r="AM459" s="400" t="s">
        <v>239</v>
      </c>
      <c r="AN459" s="401"/>
      <c r="AO459" s="400" t="s">
        <v>240</v>
      </c>
      <c r="AP459" s="401"/>
      <c r="AQ459" s="400" t="s">
        <v>241</v>
      </c>
      <c r="AR459" s="401"/>
    </row>
    <row r="460" spans="28:44" ht="13">
      <c r="AG460" s="397" t="s">
        <v>210</v>
      </c>
      <c r="AH460" s="397"/>
      <c r="AI460" s="397"/>
      <c r="AJ460" s="397"/>
      <c r="AK460" s="397"/>
      <c r="AL460" s="397"/>
      <c r="AM460" s="261"/>
      <c r="AN460" s="261">
        <f>AM489</f>
        <v>1.0025472483662976</v>
      </c>
      <c r="AO460" s="398"/>
      <c r="AP460" s="398"/>
      <c r="AQ460" s="398"/>
      <c r="AR460" s="398"/>
    </row>
    <row r="461" spans="28:44" ht="51.65" customHeight="1">
      <c r="AG461" s="264"/>
      <c r="AH461" s="265" t="str">
        <f>+AC449</f>
        <v>2013 
Board Approved Proxy</v>
      </c>
      <c r="AI461" s="265" t="str">
        <f>AD449</f>
        <v>2013 Actual</v>
      </c>
      <c r="AJ461" s="266"/>
      <c r="AK461" s="265" t="str">
        <f>AH461</f>
        <v>2013 
Board Approved Proxy</v>
      </c>
      <c r="AL461" s="265" t="str">
        <f>AI461</f>
        <v>2013 Actual</v>
      </c>
      <c r="AM461" s="265" t="str">
        <f>AK461</f>
        <v>2013 
Board Approved Proxy</v>
      </c>
      <c r="AN461" s="265" t="str">
        <f>AL461</f>
        <v>2013 Actual</v>
      </c>
      <c r="AO461" s="265" t="str">
        <f>AK461</f>
        <v>2013 
Board Approved Proxy</v>
      </c>
      <c r="AP461" s="265" t="str">
        <f>AL461</f>
        <v>2013 Actual</v>
      </c>
      <c r="AQ461" s="265" t="str">
        <f>AM461</f>
        <v>2013 
Board Approved Proxy</v>
      </c>
      <c r="AR461" s="265" t="str">
        <f>AN461</f>
        <v>2013 Actual</v>
      </c>
    </row>
    <row r="462" spans="28:44">
      <c r="AG462" s="257" t="str">
        <f t="shared" ref="AG462:AG465" si="173">AB450</f>
        <v xml:space="preserve">Residential </v>
      </c>
      <c r="AH462" s="256">
        <f>$B$77+B139</f>
        <v>10875</v>
      </c>
      <c r="AI462" s="256">
        <f>AH491</f>
        <v>10889.666666666666</v>
      </c>
      <c r="AJ462" s="267" t="s">
        <v>107</v>
      </c>
      <c r="AK462" s="267">
        <f>($B$62+B124)*1000000</f>
        <v>112237276.00000001</v>
      </c>
      <c r="AL462" s="267">
        <f>AK491</f>
        <v>113520549.72461653</v>
      </c>
      <c r="AM462" s="256">
        <f>AK462</f>
        <v>112237276.00000001</v>
      </c>
      <c r="AN462" s="256">
        <f>AL462*AN460</f>
        <v>113809714.75944376</v>
      </c>
      <c r="AO462" s="267">
        <f>AK462/AH462</f>
        <v>10320.669057471267</v>
      </c>
      <c r="AP462" s="267">
        <f>AL462/AI462</f>
        <v>10424.611992220442</v>
      </c>
      <c r="AQ462" s="267">
        <f>AM462/AH462</f>
        <v>10320.669057471267</v>
      </c>
      <c r="AR462" s="267">
        <f>AN462/AI462</f>
        <v>10451.166068086912</v>
      </c>
    </row>
    <row r="463" spans="28:44">
      <c r="AG463" s="257" t="str">
        <f t="shared" si="173"/>
        <v>General Service &lt; 50 kW</v>
      </c>
      <c r="AH463" s="256">
        <f>$C$77+C139</f>
        <v>2084</v>
      </c>
      <c r="AI463" s="256">
        <f t="shared" ref="AI463:AI467" si="174">AH492</f>
        <v>2074.8333333333335</v>
      </c>
      <c r="AJ463" s="267" t="s">
        <v>107</v>
      </c>
      <c r="AK463" s="267">
        <f>($C$62+C124)*1000000</f>
        <v>59340060.000000007</v>
      </c>
      <c r="AL463" s="267">
        <f t="shared" ref="AL463:AL467" si="175">AK492</f>
        <v>57852243.801948376</v>
      </c>
      <c r="AM463" s="256">
        <f t="shared" ref="AM463:AM467" si="176">AK463</f>
        <v>59340060.000000007</v>
      </c>
      <c r="AN463" s="256">
        <f>AL463*AN460</f>
        <v>57999607.835459538</v>
      </c>
      <c r="AO463" s="267">
        <f t="shared" ref="AO463:AP467" si="177">AK463/AH463</f>
        <v>28474.117082533594</v>
      </c>
      <c r="AP463" s="267">
        <f t="shared" si="177"/>
        <v>27882.83900808822</v>
      </c>
      <c r="AQ463" s="267">
        <f t="shared" ref="AQ463:AR467" si="178">AM463/AH463</f>
        <v>28474.117082533594</v>
      </c>
      <c r="AR463" s="267">
        <f t="shared" si="178"/>
        <v>27953.863524199311</v>
      </c>
    </row>
    <row r="464" spans="28:44">
      <c r="AG464" s="257" t="str">
        <f t="shared" si="173"/>
        <v>General Service 50 to 4,999 kW</v>
      </c>
      <c r="AH464" s="256">
        <f>$D$77+D139</f>
        <v>171</v>
      </c>
      <c r="AI464" s="256">
        <f t="shared" si="174"/>
        <v>171.33333333333334</v>
      </c>
      <c r="AJ464" s="267" t="s">
        <v>128</v>
      </c>
      <c r="AK464" s="267">
        <f>206989+97877</f>
        <v>304866</v>
      </c>
      <c r="AL464" s="267">
        <f t="shared" si="175"/>
        <v>293432.70999999996</v>
      </c>
      <c r="AM464" s="256">
        <f t="shared" si="176"/>
        <v>304866</v>
      </c>
      <c r="AN464" s="256">
        <f>AL464*AN460</f>
        <v>294180.15599116572</v>
      </c>
      <c r="AO464" s="267">
        <f t="shared" si="177"/>
        <v>1782.8421052631579</v>
      </c>
      <c r="AP464" s="267">
        <f t="shared" si="177"/>
        <v>1712.6422762645911</v>
      </c>
      <c r="AQ464" s="267">
        <f t="shared" si="178"/>
        <v>1782.8421052631579</v>
      </c>
      <c r="AR464" s="267">
        <f t="shared" si="178"/>
        <v>1717.0048015048583</v>
      </c>
    </row>
    <row r="465" spans="28:44">
      <c r="AG465" s="257" t="str">
        <f t="shared" si="173"/>
        <v>Sentinel Lights</v>
      </c>
      <c r="AH465" s="256">
        <f>$E$77+E139</f>
        <v>56</v>
      </c>
      <c r="AI465" s="256">
        <f t="shared" si="174"/>
        <v>59</v>
      </c>
      <c r="AJ465" s="267" t="s">
        <v>128</v>
      </c>
      <c r="AK465" s="267">
        <f>110+36</f>
        <v>146</v>
      </c>
      <c r="AL465" s="267">
        <f t="shared" si="175"/>
        <v>149.73916666666665</v>
      </c>
      <c r="AM465" s="256">
        <f t="shared" si="176"/>
        <v>146</v>
      </c>
      <c r="AN465" s="256">
        <f>AL465*AN460</f>
        <v>150.12058951432908</v>
      </c>
      <c r="AO465" s="267">
        <f t="shared" si="177"/>
        <v>2.6071428571428572</v>
      </c>
      <c r="AP465" s="267">
        <f t="shared" si="177"/>
        <v>2.5379519774011294</v>
      </c>
      <c r="AQ465" s="267">
        <f t="shared" si="178"/>
        <v>2.6071428571428572</v>
      </c>
      <c r="AR465" s="267">
        <f t="shared" si="178"/>
        <v>2.5444167714293067</v>
      </c>
    </row>
    <row r="466" spans="28:44">
      <c r="AG466" s="257" t="str">
        <f>AB454</f>
        <v>Street Lights</v>
      </c>
      <c r="AH466" s="256">
        <f>$F$77+F139</f>
        <v>3151</v>
      </c>
      <c r="AI466" s="256">
        <f t="shared" si="174"/>
        <v>2843.25</v>
      </c>
      <c r="AJ466" s="267" t="s">
        <v>128</v>
      </c>
      <c r="AK466" s="267">
        <f>5087+2421</f>
        <v>7508</v>
      </c>
      <c r="AL466" s="267">
        <f t="shared" si="175"/>
        <v>6704.31</v>
      </c>
      <c r="AM466" s="256">
        <f t="shared" si="176"/>
        <v>7508</v>
      </c>
      <c r="AN466" s="256">
        <f>AL466*AN460</f>
        <v>6721.3875426946533</v>
      </c>
      <c r="AO466" s="267">
        <f t="shared" si="177"/>
        <v>2.3827356394795305</v>
      </c>
      <c r="AP466" s="267">
        <f t="shared" si="177"/>
        <v>2.357974149300976</v>
      </c>
      <c r="AQ466" s="267">
        <f t="shared" si="178"/>
        <v>2.3827356394795305</v>
      </c>
      <c r="AR466" s="267">
        <f t="shared" si="178"/>
        <v>2.363980495100555</v>
      </c>
    </row>
    <row r="467" spans="28:44">
      <c r="AG467" s="332" t="str">
        <f>AB455</f>
        <v xml:space="preserve">Unmetered Scattered Loads </v>
      </c>
      <c r="AH467" s="256">
        <f>$G$77+G139</f>
        <v>53</v>
      </c>
      <c r="AI467" s="256">
        <f t="shared" si="174"/>
        <v>56.25</v>
      </c>
      <c r="AJ467" s="267" t="s">
        <v>107</v>
      </c>
      <c r="AK467" s="267">
        <f>($G$62+G124)*1000000</f>
        <v>165968.99999999997</v>
      </c>
      <c r="AL467" s="267">
        <f t="shared" si="175"/>
        <v>181680.0943658062</v>
      </c>
      <c r="AM467" s="256">
        <f t="shared" si="176"/>
        <v>165968.99999999997</v>
      </c>
      <c r="AN467" s="256">
        <f>AL467*AN460</f>
        <v>182142.87868936828</v>
      </c>
      <c r="AO467" s="267">
        <f t="shared" si="177"/>
        <v>3131.4905660377353</v>
      </c>
      <c r="AP467" s="267">
        <f t="shared" si="177"/>
        <v>3229.8683442809993</v>
      </c>
      <c r="AQ467" s="267">
        <f t="shared" si="178"/>
        <v>3131.4905660377353</v>
      </c>
      <c r="AR467" s="267">
        <f t="shared" si="178"/>
        <v>3238.0956211443249</v>
      </c>
    </row>
    <row r="468" spans="28:44">
      <c r="AG468" s="257" t="s">
        <v>10</v>
      </c>
      <c r="AH468" s="256">
        <f>SUM(AH462:AH467)</f>
        <v>16390</v>
      </c>
      <c r="AI468" s="256">
        <f>SUM(AI462:AI467)</f>
        <v>16094.333333333334</v>
      </c>
      <c r="AJ468" s="267"/>
      <c r="AK468" s="268"/>
      <c r="AL468" s="268"/>
      <c r="AM468" s="268"/>
      <c r="AN468" s="268"/>
      <c r="AO468" s="268"/>
      <c r="AP468" s="268"/>
      <c r="AQ468" s="268"/>
      <c r="AR468" s="268"/>
    </row>
    <row r="469" spans="28:44">
      <c r="AG469" s="252"/>
      <c r="AH469" s="399" t="s">
        <v>242</v>
      </c>
      <c r="AI469" s="399"/>
      <c r="AJ469" s="252"/>
      <c r="AK469" s="399" t="s">
        <v>242</v>
      </c>
      <c r="AL469" s="399"/>
      <c r="AM469" s="399" t="s">
        <v>242</v>
      </c>
      <c r="AN469" s="399"/>
      <c r="AO469" s="399" t="s">
        <v>242</v>
      </c>
      <c r="AP469" s="399"/>
      <c r="AQ469" s="399" t="s">
        <v>242</v>
      </c>
      <c r="AR469" s="399"/>
    </row>
    <row r="470" spans="28:44">
      <c r="AG470" s="254" t="str">
        <f t="shared" ref="AG470:AG475" si="179">AG462</f>
        <v xml:space="preserve">Residential </v>
      </c>
      <c r="AH470" s="396">
        <f t="shared" ref="AH470:AH475" si="180">AI462-AH462</f>
        <v>14.66666666666606</v>
      </c>
      <c r="AI470" s="396"/>
      <c r="AJ470" s="267" t="s">
        <v>107</v>
      </c>
      <c r="AK470" s="396">
        <f t="shared" ref="AK470:AK475" si="181">AL462-AK462</f>
        <v>1283273.7246165127</v>
      </c>
      <c r="AL470" s="396"/>
      <c r="AM470" s="396">
        <f t="shared" ref="AM470:AM475" si="182">AN462-AM462</f>
        <v>1572438.759443745</v>
      </c>
      <c r="AN470" s="396"/>
      <c r="AO470" s="396">
        <f t="shared" ref="AO470:AO475" si="183">AP462-AO462</f>
        <v>103.94293474917504</v>
      </c>
      <c r="AP470" s="396"/>
      <c r="AQ470" s="396">
        <f t="shared" ref="AQ470:AQ475" si="184">AR462-AQ462</f>
        <v>130.49701061564519</v>
      </c>
      <c r="AR470" s="396"/>
    </row>
    <row r="471" spans="28:44">
      <c r="AG471" s="254" t="str">
        <f t="shared" si="179"/>
        <v>General Service &lt; 50 kW</v>
      </c>
      <c r="AH471" s="396">
        <f t="shared" si="180"/>
        <v>-9.1666666666665151</v>
      </c>
      <c r="AI471" s="396"/>
      <c r="AJ471" s="267" t="s">
        <v>107</v>
      </c>
      <c r="AK471" s="396">
        <f t="shared" si="181"/>
        <v>-1487816.1980516315</v>
      </c>
      <c r="AL471" s="396"/>
      <c r="AM471" s="396">
        <f t="shared" si="182"/>
        <v>-1340452.1645404696</v>
      </c>
      <c r="AN471" s="396"/>
      <c r="AO471" s="396">
        <f t="shared" si="183"/>
        <v>-591.27807444537393</v>
      </c>
      <c r="AP471" s="396"/>
      <c r="AQ471" s="396">
        <f t="shared" si="184"/>
        <v>-520.2535583342833</v>
      </c>
      <c r="AR471" s="396"/>
    </row>
    <row r="472" spans="28:44">
      <c r="AG472" s="254" t="str">
        <f t="shared" si="179"/>
        <v>General Service 50 to 4,999 kW</v>
      </c>
      <c r="AH472" s="396">
        <f t="shared" si="180"/>
        <v>0.33333333333334281</v>
      </c>
      <c r="AI472" s="396"/>
      <c r="AJ472" s="267" t="s">
        <v>128</v>
      </c>
      <c r="AK472" s="396">
        <f t="shared" si="181"/>
        <v>-11433.290000000037</v>
      </c>
      <c r="AL472" s="396"/>
      <c r="AM472" s="396">
        <f t="shared" si="182"/>
        <v>-10685.844008834276</v>
      </c>
      <c r="AN472" s="396"/>
      <c r="AO472" s="396">
        <f t="shared" si="183"/>
        <v>-70.199828998566772</v>
      </c>
      <c r="AP472" s="396"/>
      <c r="AQ472" s="396">
        <f t="shared" si="184"/>
        <v>-65.83730375829964</v>
      </c>
      <c r="AR472" s="396"/>
    </row>
    <row r="473" spans="28:44">
      <c r="AG473" s="254" t="str">
        <f t="shared" si="179"/>
        <v>Sentinel Lights</v>
      </c>
      <c r="AH473" s="396">
        <f t="shared" si="180"/>
        <v>3</v>
      </c>
      <c r="AI473" s="396"/>
      <c r="AJ473" s="267" t="s">
        <v>128</v>
      </c>
      <c r="AK473" s="396">
        <f t="shared" si="181"/>
        <v>3.7391666666666481</v>
      </c>
      <c r="AL473" s="396"/>
      <c r="AM473" s="396">
        <f t="shared" si="182"/>
        <v>4.1205895143290832</v>
      </c>
      <c r="AN473" s="396"/>
      <c r="AO473" s="396">
        <f t="shared" si="183"/>
        <v>-6.9190879741727773E-2</v>
      </c>
      <c r="AP473" s="396"/>
      <c r="AQ473" s="396">
        <f t="shared" si="184"/>
        <v>-6.2726085713550539E-2</v>
      </c>
      <c r="AR473" s="396"/>
    </row>
    <row r="474" spans="28:44">
      <c r="AG474" s="254" t="str">
        <f t="shared" si="179"/>
        <v>Street Lights</v>
      </c>
      <c r="AH474" s="396">
        <f t="shared" si="180"/>
        <v>-307.75</v>
      </c>
      <c r="AI474" s="396"/>
      <c r="AJ474" s="267" t="s">
        <v>128</v>
      </c>
      <c r="AK474" s="396">
        <f t="shared" si="181"/>
        <v>-803.6899999999996</v>
      </c>
      <c r="AL474" s="396"/>
      <c r="AM474" s="396">
        <f t="shared" si="182"/>
        <v>-786.61245730534665</v>
      </c>
      <c r="AN474" s="396"/>
      <c r="AO474" s="396">
        <f t="shared" si="183"/>
        <v>-2.4761490178554446E-2</v>
      </c>
      <c r="AP474" s="396"/>
      <c r="AQ474" s="396">
        <f t="shared" si="184"/>
        <v>-1.8755144378975519E-2</v>
      </c>
      <c r="AR474" s="396"/>
    </row>
    <row r="475" spans="28:44">
      <c r="AG475" s="254" t="str">
        <f t="shared" si="179"/>
        <v xml:space="preserve">Unmetered Scattered Loads </v>
      </c>
      <c r="AH475" s="396">
        <f t="shared" si="180"/>
        <v>3.25</v>
      </c>
      <c r="AI475" s="396"/>
      <c r="AJ475" s="267" t="s">
        <v>107</v>
      </c>
      <c r="AK475" s="396">
        <f t="shared" si="181"/>
        <v>15711.094365806232</v>
      </c>
      <c r="AL475" s="396"/>
      <c r="AM475" s="396">
        <f t="shared" si="182"/>
        <v>16173.878689368314</v>
      </c>
      <c r="AN475" s="396"/>
      <c r="AO475" s="396">
        <f t="shared" si="183"/>
        <v>98.377778243263947</v>
      </c>
      <c r="AP475" s="396"/>
      <c r="AQ475" s="396">
        <f t="shared" si="184"/>
        <v>106.60505510658959</v>
      </c>
      <c r="AR475" s="396"/>
    </row>
    <row r="476" spans="28:44">
      <c r="AG476" s="324"/>
      <c r="AH476" s="325"/>
      <c r="AI476" s="325"/>
      <c r="AJ476" s="326"/>
      <c r="AK476" s="325"/>
      <c r="AL476" s="325"/>
      <c r="AM476" s="325"/>
      <c r="AN476" s="325"/>
      <c r="AO476" s="325"/>
      <c r="AP476" s="325"/>
      <c r="AQ476" s="325"/>
      <c r="AR476" s="325"/>
    </row>
    <row r="477" spans="28:44" ht="13">
      <c r="AB477" s="302" t="s">
        <v>324</v>
      </c>
      <c r="AC477" s="302"/>
      <c r="AD477" s="302"/>
      <c r="AE477" s="235"/>
      <c r="AF477" s="235"/>
    </row>
    <row r="478" spans="28:44" s="194" customFormat="1" ht="19.25" customHeight="1">
      <c r="AB478" s="330" t="s">
        <v>174</v>
      </c>
      <c r="AC478" s="301" t="s">
        <v>243</v>
      </c>
      <c r="AD478" s="301" t="s">
        <v>244</v>
      </c>
      <c r="AE478" s="301" t="s">
        <v>234</v>
      </c>
      <c r="AF478" s="301" t="s">
        <v>235</v>
      </c>
    </row>
    <row r="479" spans="28:44">
      <c r="AB479" s="305" t="str">
        <f>AB450</f>
        <v xml:space="preserve">Residential </v>
      </c>
      <c r="AC479" s="258">
        <f>+Q5</f>
        <v>4709729.7699999996</v>
      </c>
      <c r="AD479" s="258">
        <f>+R5</f>
        <v>4726949.3</v>
      </c>
      <c r="AE479" s="258">
        <f>AD479-AC479</f>
        <v>17219.530000000261</v>
      </c>
      <c r="AF479" s="259">
        <f>AE479/AC479</f>
        <v>3.6561609351103519E-3</v>
      </c>
    </row>
    <row r="480" spans="28:44">
      <c r="AB480" s="327" t="str">
        <f t="shared" ref="AB480:AB482" si="185">AB451</f>
        <v>General Service &lt; 50 kW</v>
      </c>
      <c r="AC480" s="258">
        <f t="shared" ref="AC480:AD480" si="186">+Q6</f>
        <v>1756673.2000000002</v>
      </c>
      <c r="AD480" s="258">
        <f t="shared" si="186"/>
        <v>1713827.05</v>
      </c>
      <c r="AE480" s="258">
        <f t="shared" ref="AE480:AE485" si="187">AD480-AC480</f>
        <v>-42846.15000000014</v>
      </c>
      <c r="AF480" s="259">
        <f t="shared" ref="AF480:AF485" si="188">AE480/AC480</f>
        <v>-2.4390507010638138E-2</v>
      </c>
    </row>
    <row r="481" spans="28:44">
      <c r="AB481" s="327" t="str">
        <f t="shared" si="185"/>
        <v>General Service 50 to 4,999 kW</v>
      </c>
      <c r="AC481" s="258">
        <f t="shared" ref="AC481:AD481" si="189">+Q7</f>
        <v>1343209.62</v>
      </c>
      <c r="AD481" s="258">
        <f t="shared" si="189"/>
        <v>1351705.8800000001</v>
      </c>
      <c r="AE481" s="258">
        <f t="shared" si="187"/>
        <v>8496.2600000000093</v>
      </c>
      <c r="AF481" s="259">
        <f t="shared" si="188"/>
        <v>6.3253418330937866E-3</v>
      </c>
    </row>
    <row r="482" spans="28:44">
      <c r="AB482" s="327" t="str">
        <f t="shared" si="185"/>
        <v>Sentinel Lights</v>
      </c>
      <c r="AC482" s="258">
        <f t="shared" ref="AC482:AD482" si="190">+Q8</f>
        <v>6504.8099999999995</v>
      </c>
      <c r="AD482" s="258">
        <f t="shared" si="190"/>
        <v>7324.6399999999994</v>
      </c>
      <c r="AE482" s="258">
        <f t="shared" si="187"/>
        <v>819.82999999999993</v>
      </c>
      <c r="AF482" s="259">
        <f t="shared" si="188"/>
        <v>0.12603442683183674</v>
      </c>
    </row>
    <row r="483" spans="28:44">
      <c r="AB483" s="327" t="str">
        <f>AB454</f>
        <v>Street Lights</v>
      </c>
      <c r="AC483" s="258">
        <f t="shared" ref="AC483:AD483" si="191">+Q9</f>
        <v>269768.7</v>
      </c>
      <c r="AD483" s="258">
        <f t="shared" si="191"/>
        <v>273836.11</v>
      </c>
      <c r="AE483" s="258">
        <f t="shared" si="187"/>
        <v>4067.4099999999744</v>
      </c>
      <c r="AF483" s="259">
        <f t="shared" si="188"/>
        <v>1.5077397785584369E-2</v>
      </c>
    </row>
    <row r="484" spans="28:44">
      <c r="AB484" s="332" t="str">
        <f>AB455</f>
        <v xml:space="preserve">Unmetered Scattered Loads </v>
      </c>
      <c r="AC484" s="258">
        <f t="shared" ref="AC484:AD484" si="192">+Q10</f>
        <v>21198.35</v>
      </c>
      <c r="AD484" s="258">
        <f t="shared" si="192"/>
        <v>18651.099999999999</v>
      </c>
      <c r="AE484" s="258">
        <f t="shared" si="187"/>
        <v>-2547.25</v>
      </c>
      <c r="AF484" s="259">
        <f t="shared" si="188"/>
        <v>-0.12016265416883862</v>
      </c>
    </row>
    <row r="485" spans="28:44" ht="13">
      <c r="AB485" s="331" t="s">
        <v>17</v>
      </c>
      <c r="AC485" s="357">
        <f>SUM(AC479:AC484)</f>
        <v>8107084.4499999993</v>
      </c>
      <c r="AD485" s="357">
        <f>SUM(AD479:AD484)</f>
        <v>8092294.0799999991</v>
      </c>
      <c r="AE485" s="357">
        <f t="shared" si="187"/>
        <v>-14790.370000000112</v>
      </c>
      <c r="AF485" s="358">
        <f t="shared" si="188"/>
        <v>-1.8243759629271055E-3</v>
      </c>
    </row>
    <row r="487" spans="28:44" ht="13">
      <c r="AD487" s="184" t="s">
        <v>321</v>
      </c>
      <c r="AE487" s="359">
        <f>+R12-Q12</f>
        <v>-14790.370000000112</v>
      </c>
      <c r="AG487" s="302" t="s">
        <v>325</v>
      </c>
      <c r="AH487" s="302"/>
      <c r="AI487" s="302"/>
      <c r="AJ487" s="235"/>
      <c r="AK487" s="260"/>
    </row>
    <row r="488" spans="28:44" s="194" customFormat="1" ht="59" customHeight="1">
      <c r="AG488" s="303" t="s">
        <v>236</v>
      </c>
      <c r="AH488" s="400" t="s">
        <v>237</v>
      </c>
      <c r="AI488" s="401"/>
      <c r="AJ488" s="301" t="s">
        <v>238</v>
      </c>
      <c r="AK488" s="400" t="s">
        <v>139</v>
      </c>
      <c r="AL488" s="401"/>
      <c r="AM488" s="400" t="s">
        <v>239</v>
      </c>
      <c r="AN488" s="401"/>
      <c r="AO488" s="400" t="s">
        <v>240</v>
      </c>
      <c r="AP488" s="401"/>
      <c r="AQ488" s="400" t="s">
        <v>241</v>
      </c>
      <c r="AR488" s="401"/>
    </row>
    <row r="489" spans="28:44" ht="13">
      <c r="AG489" s="397" t="str">
        <f>AG460</f>
        <v>Weather 
Normal Conversion 
Factor</v>
      </c>
      <c r="AH489" s="397"/>
      <c r="AI489" s="397"/>
      <c r="AJ489" s="397"/>
      <c r="AK489" s="397"/>
      <c r="AL489" s="397"/>
      <c r="AM489" s="261">
        <f>$F$277</f>
        <v>1.0025472483662976</v>
      </c>
      <c r="AN489" s="261">
        <f>$F$278</f>
        <v>0.98758697088562297</v>
      </c>
      <c r="AO489" s="398"/>
      <c r="AP489" s="398"/>
      <c r="AQ489" s="398"/>
      <c r="AR489" s="398"/>
    </row>
    <row r="490" spans="28:44" ht="25.5">
      <c r="AG490" s="304"/>
      <c r="AH490" s="265" t="str">
        <f>AC478</f>
        <v>2013 Actual</v>
      </c>
      <c r="AI490" s="265" t="str">
        <f>AD478</f>
        <v>2014 Actual</v>
      </c>
      <c r="AJ490" s="266"/>
      <c r="AK490" s="265" t="str">
        <f>AH490</f>
        <v>2013 Actual</v>
      </c>
      <c r="AL490" s="265" t="str">
        <f>AI490</f>
        <v>2014 Actual</v>
      </c>
      <c r="AM490" s="265" t="str">
        <f>AK490</f>
        <v>2013 Actual</v>
      </c>
      <c r="AN490" s="265" t="str">
        <f>AL490</f>
        <v>2014 Actual</v>
      </c>
      <c r="AO490" s="265" t="str">
        <f>AK490</f>
        <v>2013 Actual</v>
      </c>
      <c r="AP490" s="265" t="str">
        <f>AL490</f>
        <v>2014 Actual</v>
      </c>
      <c r="AQ490" s="265" t="str">
        <f>AM490</f>
        <v>2013 Actual</v>
      </c>
      <c r="AR490" s="265" t="str">
        <f>AN490</f>
        <v>2014 Actual</v>
      </c>
    </row>
    <row r="491" spans="28:44">
      <c r="AG491" s="305" t="str">
        <f t="shared" ref="AG491:AG496" si="193">AB479</f>
        <v xml:space="preserve">Residential </v>
      </c>
      <c r="AH491" s="256">
        <f>$P$416</f>
        <v>10889.666666666666</v>
      </c>
      <c r="AI491" s="256">
        <f>$Q$416</f>
        <v>10964.083333333334</v>
      </c>
      <c r="AJ491" s="267" t="str">
        <f>AJ462</f>
        <v>kWh</v>
      </c>
      <c r="AK491" s="267">
        <f>$P$417</f>
        <v>113520549.72461653</v>
      </c>
      <c r="AL491" s="267">
        <f>$Q$417</f>
        <v>114433382.22499122</v>
      </c>
      <c r="AM491" s="256">
        <f>AK491*AM489</f>
        <v>113809714.75944376</v>
      </c>
      <c r="AN491" s="256">
        <f>AL491*AN489</f>
        <v>113012917.31977576</v>
      </c>
      <c r="AO491" s="267">
        <f>AK491/AH491</f>
        <v>10424.611992220442</v>
      </c>
      <c r="AP491" s="267">
        <f>AL491/AI491</f>
        <v>10437.113504700153</v>
      </c>
      <c r="AQ491" s="267">
        <f>AM491/AH491</f>
        <v>10451.166068086912</v>
      </c>
      <c r="AR491" s="267">
        <f>AN491/AI491</f>
        <v>10307.557310896253</v>
      </c>
    </row>
    <row r="492" spans="28:44">
      <c r="AG492" s="305" t="str">
        <f t="shared" si="193"/>
        <v>General Service &lt; 50 kW</v>
      </c>
      <c r="AH492" s="256">
        <f>$P$420</f>
        <v>2074.8333333333335</v>
      </c>
      <c r="AI492" s="256">
        <f>$Q$420</f>
        <v>2106</v>
      </c>
      <c r="AJ492" s="267" t="str">
        <f t="shared" ref="AJ492:AJ496" si="194">AJ463</f>
        <v>kWh</v>
      </c>
      <c r="AK492" s="268">
        <f>$P$421</f>
        <v>57852243.801948376</v>
      </c>
      <c r="AL492" s="268">
        <f>$Q$421</f>
        <v>58443482.099599421</v>
      </c>
      <c r="AM492" s="256">
        <f>AK492*AM489</f>
        <v>57999607.835459538</v>
      </c>
      <c r="AN492" s="256">
        <f>AL492*AN489</f>
        <v>57718021.454751521</v>
      </c>
      <c r="AO492" s="267">
        <f t="shared" ref="AO492:AO496" si="195">AK492/AH492</f>
        <v>27882.83900808822</v>
      </c>
      <c r="AP492" s="267">
        <f t="shared" ref="AP492:AP496" si="196">AL492/AI492</f>
        <v>27750.941167900961</v>
      </c>
      <c r="AQ492" s="267">
        <f t="shared" ref="AQ492:AQ496" si="197">AM492/AH492</f>
        <v>27953.863524199311</v>
      </c>
      <c r="AR492" s="267">
        <f t="shared" ref="AR492:AR496" si="198">AN492/AI492</f>
        <v>27406.467927232443</v>
      </c>
    </row>
    <row r="493" spans="28:44">
      <c r="AG493" s="305" t="str">
        <f t="shared" si="193"/>
        <v>General Service 50 to 4,999 kW</v>
      </c>
      <c r="AH493" s="256">
        <f>$P$424</f>
        <v>171.33333333333334</v>
      </c>
      <c r="AI493" s="256">
        <f>$Q$424</f>
        <v>172</v>
      </c>
      <c r="AJ493" s="267" t="str">
        <f t="shared" si="194"/>
        <v>kW</v>
      </c>
      <c r="AK493" s="268">
        <f>$P$426</f>
        <v>293432.70999999996</v>
      </c>
      <c r="AL493" s="268">
        <f>$Q$426</f>
        <v>288260.6999999999</v>
      </c>
      <c r="AM493" s="256">
        <f>AK493*AM489</f>
        <v>294180.15599116572</v>
      </c>
      <c r="AN493" s="256">
        <f>AL493*AN489</f>
        <v>284682.51153836917</v>
      </c>
      <c r="AO493" s="267">
        <f t="shared" si="195"/>
        <v>1712.6422762645911</v>
      </c>
      <c r="AP493" s="267">
        <f t="shared" si="196"/>
        <v>1675.9343023255808</v>
      </c>
      <c r="AQ493" s="267">
        <f t="shared" si="197"/>
        <v>1717.0048015048583</v>
      </c>
      <c r="AR493" s="267">
        <f t="shared" si="198"/>
        <v>1655.1308810370301</v>
      </c>
    </row>
    <row r="494" spans="28:44">
      <c r="AG494" s="305" t="str">
        <f t="shared" si="193"/>
        <v>Sentinel Lights</v>
      </c>
      <c r="AH494" s="256">
        <f>$P$429</f>
        <v>59</v>
      </c>
      <c r="AI494" s="256">
        <f>$Q$429</f>
        <v>56.666666666666664</v>
      </c>
      <c r="AJ494" s="267" t="str">
        <f t="shared" si="194"/>
        <v>kW</v>
      </c>
      <c r="AK494" s="268">
        <f>$P$431</f>
        <v>149.73916666666665</v>
      </c>
      <c r="AL494" s="268">
        <f>$Q$431</f>
        <v>138.89961839927633</v>
      </c>
      <c r="AM494" s="256">
        <f>AK494*AM489</f>
        <v>150.12058951432908</v>
      </c>
      <c r="AN494" s="256">
        <f>AL494*AN489</f>
        <v>137.17545339211026</v>
      </c>
      <c r="AO494" s="267">
        <f t="shared" si="195"/>
        <v>2.5379519774011294</v>
      </c>
      <c r="AP494" s="267">
        <f t="shared" si="196"/>
        <v>2.451169736457818</v>
      </c>
      <c r="AQ494" s="267">
        <f t="shared" si="197"/>
        <v>2.5444167714293067</v>
      </c>
      <c r="AR494" s="267">
        <f t="shared" si="198"/>
        <v>2.4207432951548871</v>
      </c>
    </row>
    <row r="495" spans="28:44">
      <c r="AG495" s="305" t="str">
        <f t="shared" si="193"/>
        <v>Street Lights</v>
      </c>
      <c r="AH495" s="256">
        <f>$P$434</f>
        <v>2843.25</v>
      </c>
      <c r="AI495" s="256">
        <f>$Q$434</f>
        <v>2843.6666666666665</v>
      </c>
      <c r="AJ495" s="267" t="str">
        <f t="shared" si="194"/>
        <v>kW</v>
      </c>
      <c r="AK495" s="268">
        <f>$P$436</f>
        <v>6704.31</v>
      </c>
      <c r="AL495" s="268">
        <f>$Q$436</f>
        <v>6610.2200000000012</v>
      </c>
      <c r="AM495" s="256">
        <f>AK495*AM489</f>
        <v>6721.3875426946533</v>
      </c>
      <c r="AN495" s="256">
        <f>AL495*AN489</f>
        <v>6528.1671466875641</v>
      </c>
      <c r="AO495" s="267">
        <f t="shared" si="195"/>
        <v>2.357974149300976</v>
      </c>
      <c r="AP495" s="267">
        <f t="shared" si="196"/>
        <v>2.3245410854530539</v>
      </c>
      <c r="AQ495" s="267">
        <f t="shared" si="197"/>
        <v>2.363980495100555</v>
      </c>
      <c r="AR495" s="267">
        <f t="shared" si="198"/>
        <v>2.2956864892817599</v>
      </c>
    </row>
    <row r="496" spans="28:44">
      <c r="AG496" s="305" t="str">
        <f t="shared" si="193"/>
        <v xml:space="preserve">Unmetered Scattered Loads </v>
      </c>
      <c r="AH496" s="256">
        <f>$P$439</f>
        <v>56.25</v>
      </c>
      <c r="AI496" s="256">
        <f>$Q$439</f>
        <v>54.75</v>
      </c>
      <c r="AJ496" s="267" t="str">
        <f t="shared" si="194"/>
        <v>kWh</v>
      </c>
      <c r="AK496" s="268">
        <f>$P$440</f>
        <v>181680.0943658062</v>
      </c>
      <c r="AL496" s="268">
        <f>$Q$440</f>
        <v>180165.06688870379</v>
      </c>
      <c r="AM496" s="256">
        <f>AK496*AM489</f>
        <v>182142.87868936828</v>
      </c>
      <c r="AN496" s="256">
        <f>AL496*AN489</f>
        <v>177928.67266802062</v>
      </c>
      <c r="AO496" s="267">
        <f t="shared" si="195"/>
        <v>3229.8683442809993</v>
      </c>
      <c r="AP496" s="267">
        <f t="shared" si="196"/>
        <v>3290.6861532183339</v>
      </c>
      <c r="AQ496" s="267">
        <f t="shared" si="197"/>
        <v>3238.0956211443249</v>
      </c>
      <c r="AR496" s="267">
        <f t="shared" si="198"/>
        <v>3249.8387701921574</v>
      </c>
    </row>
    <row r="497" spans="28:44">
      <c r="AG497" s="305" t="s">
        <v>10</v>
      </c>
      <c r="AH497" s="256">
        <f>SUM(AH491:AH496)</f>
        <v>16094.333333333334</v>
      </c>
      <c r="AI497" s="256">
        <f>SUM(AI491:AI496)</f>
        <v>16197.166666666666</v>
      </c>
      <c r="AJ497" s="267"/>
      <c r="AK497" s="268"/>
      <c r="AL497" s="268"/>
      <c r="AM497" s="268"/>
      <c r="AN497" s="268"/>
      <c r="AO497" s="268"/>
      <c r="AP497" s="268"/>
      <c r="AQ497" s="268"/>
      <c r="AR497" s="268"/>
    </row>
    <row r="498" spans="28:44">
      <c r="AG498" s="252"/>
      <c r="AH498" s="399" t="s">
        <v>242</v>
      </c>
      <c r="AI498" s="399"/>
      <c r="AJ498" s="252"/>
      <c r="AK498" s="399" t="s">
        <v>242</v>
      </c>
      <c r="AL498" s="399"/>
      <c r="AM498" s="399" t="s">
        <v>242</v>
      </c>
      <c r="AN498" s="399"/>
      <c r="AO498" s="399" t="s">
        <v>242</v>
      </c>
      <c r="AP498" s="399"/>
      <c r="AQ498" s="399" t="s">
        <v>242</v>
      </c>
      <c r="AR498" s="399"/>
    </row>
    <row r="499" spans="28:44">
      <c r="AG499" s="254" t="str">
        <f t="shared" ref="AG499:AG504" si="199">AG491</f>
        <v xml:space="preserve">Residential </v>
      </c>
      <c r="AH499" s="396">
        <f t="shared" ref="AH499:AH504" si="200">AI491-AH491</f>
        <v>74.416666666667879</v>
      </c>
      <c r="AI499" s="396"/>
      <c r="AJ499" s="267" t="str">
        <f t="shared" ref="AJ499:AJ504" si="201">AJ491</f>
        <v>kWh</v>
      </c>
      <c r="AK499" s="396">
        <f t="shared" ref="AK499:AK504" si="202">AL491-AK491</f>
        <v>912832.5003746897</v>
      </c>
      <c r="AL499" s="396"/>
      <c r="AM499" s="396">
        <f t="shared" ref="AM499:AM504" si="203">AN491-AM491</f>
        <v>-796797.43966799974</v>
      </c>
      <c r="AN499" s="396"/>
      <c r="AO499" s="396">
        <f t="shared" ref="AO499:AO504" si="204">AP491-AO491</f>
        <v>12.501512479711892</v>
      </c>
      <c r="AP499" s="396"/>
      <c r="AQ499" s="396">
        <f t="shared" ref="AQ499:AQ504" si="205">AR491-AQ491</f>
        <v>-143.60875719065916</v>
      </c>
      <c r="AR499" s="396"/>
    </row>
    <row r="500" spans="28:44">
      <c r="AG500" s="254" t="str">
        <f t="shared" si="199"/>
        <v>General Service &lt; 50 kW</v>
      </c>
      <c r="AH500" s="396">
        <f t="shared" si="200"/>
        <v>31.166666666666515</v>
      </c>
      <c r="AI500" s="396"/>
      <c r="AJ500" s="267" t="str">
        <f t="shared" si="201"/>
        <v>kWh</v>
      </c>
      <c r="AK500" s="396">
        <f t="shared" si="202"/>
        <v>591238.29765104502</v>
      </c>
      <c r="AL500" s="396"/>
      <c r="AM500" s="396">
        <f t="shared" si="203"/>
        <v>-281586.38070801646</v>
      </c>
      <c r="AN500" s="396"/>
      <c r="AO500" s="396">
        <f t="shared" si="204"/>
        <v>-131.89784018725913</v>
      </c>
      <c r="AP500" s="396"/>
      <c r="AQ500" s="396">
        <f t="shared" si="205"/>
        <v>-547.39559696686774</v>
      </c>
      <c r="AR500" s="396"/>
    </row>
    <row r="501" spans="28:44">
      <c r="AG501" s="254" t="str">
        <f t="shared" si="199"/>
        <v>General Service 50 to 4,999 kW</v>
      </c>
      <c r="AH501" s="396">
        <f t="shared" si="200"/>
        <v>0.66666666666665719</v>
      </c>
      <c r="AI501" s="396"/>
      <c r="AJ501" s="267" t="str">
        <f t="shared" si="201"/>
        <v>kW</v>
      </c>
      <c r="AK501" s="396">
        <f t="shared" si="202"/>
        <v>-5172.0100000000675</v>
      </c>
      <c r="AL501" s="396"/>
      <c r="AM501" s="396">
        <f t="shared" si="203"/>
        <v>-9497.6444527965505</v>
      </c>
      <c r="AN501" s="396"/>
      <c r="AO501" s="396">
        <f t="shared" si="204"/>
        <v>-36.707973939010344</v>
      </c>
      <c r="AP501" s="396"/>
      <c r="AQ501" s="396">
        <f t="shared" si="205"/>
        <v>-61.873920467828157</v>
      </c>
      <c r="AR501" s="396"/>
    </row>
    <row r="502" spans="28:44">
      <c r="AG502" s="254" t="str">
        <f t="shared" si="199"/>
        <v>Sentinel Lights</v>
      </c>
      <c r="AH502" s="396">
        <f t="shared" si="200"/>
        <v>-2.3333333333333357</v>
      </c>
      <c r="AI502" s="396"/>
      <c r="AJ502" s="267" t="str">
        <f t="shared" si="201"/>
        <v>kW</v>
      </c>
      <c r="AK502" s="396">
        <f t="shared" si="202"/>
        <v>-10.839548267390313</v>
      </c>
      <c r="AL502" s="396"/>
      <c r="AM502" s="396">
        <f t="shared" si="203"/>
        <v>-12.945136122218827</v>
      </c>
      <c r="AN502" s="396"/>
      <c r="AO502" s="396">
        <f t="shared" si="204"/>
        <v>-8.6782240943311439E-2</v>
      </c>
      <c r="AP502" s="396"/>
      <c r="AQ502" s="396">
        <f t="shared" si="205"/>
        <v>-0.1236734762744196</v>
      </c>
      <c r="AR502" s="396"/>
    </row>
    <row r="503" spans="28:44">
      <c r="AG503" s="254" t="str">
        <f t="shared" si="199"/>
        <v>Street Lights</v>
      </c>
      <c r="AH503" s="396">
        <f t="shared" si="200"/>
        <v>0.41666666666651508</v>
      </c>
      <c r="AI503" s="396"/>
      <c r="AJ503" s="267" t="str">
        <f t="shared" si="201"/>
        <v>kW</v>
      </c>
      <c r="AK503" s="396">
        <f t="shared" si="202"/>
        <v>-94.089999999999236</v>
      </c>
      <c r="AL503" s="396"/>
      <c r="AM503" s="396">
        <f t="shared" si="203"/>
        <v>-193.22039600708922</v>
      </c>
      <c r="AN503" s="396"/>
      <c r="AO503" s="396">
        <f t="shared" si="204"/>
        <v>-3.3433063847922107E-2</v>
      </c>
      <c r="AP503" s="396"/>
      <c r="AQ503" s="396">
        <f t="shared" si="205"/>
        <v>-6.8294005818795078E-2</v>
      </c>
      <c r="AR503" s="396"/>
    </row>
    <row r="504" spans="28:44" s="197" customFormat="1">
      <c r="AG504" s="254" t="str">
        <f t="shared" si="199"/>
        <v xml:space="preserve">Unmetered Scattered Loads </v>
      </c>
      <c r="AH504" s="396">
        <f t="shared" si="200"/>
        <v>-1.5</v>
      </c>
      <c r="AI504" s="396"/>
      <c r="AJ504" s="267" t="str">
        <f t="shared" si="201"/>
        <v>kWh</v>
      </c>
      <c r="AK504" s="396">
        <f t="shared" si="202"/>
        <v>-1515.0274771024124</v>
      </c>
      <c r="AL504" s="396"/>
      <c r="AM504" s="396">
        <f t="shared" si="203"/>
        <v>-4214.2060213476652</v>
      </c>
      <c r="AN504" s="396"/>
      <c r="AO504" s="396">
        <f t="shared" si="204"/>
        <v>60.817808937334576</v>
      </c>
      <c r="AP504" s="396"/>
      <c r="AQ504" s="396">
        <f t="shared" si="205"/>
        <v>11.743149047832503</v>
      </c>
      <c r="AR504" s="396"/>
    </row>
    <row r="505" spans="28:44" customFormat="1"/>
    <row r="506" spans="28:44" ht="13">
      <c r="AB506" s="302" t="s">
        <v>326</v>
      </c>
      <c r="AC506" s="302"/>
      <c r="AD506" s="302"/>
      <c r="AE506" s="235"/>
      <c r="AF506" s="235"/>
    </row>
    <row r="507" spans="28:44" s="194" customFormat="1" ht="13">
      <c r="AB507" s="330" t="s">
        <v>174</v>
      </c>
      <c r="AC507" s="301" t="s">
        <v>244</v>
      </c>
      <c r="AD507" s="301" t="s">
        <v>245</v>
      </c>
      <c r="AE507" s="301" t="s">
        <v>234</v>
      </c>
      <c r="AF507" s="301" t="s">
        <v>235</v>
      </c>
    </row>
    <row r="508" spans="28:44">
      <c r="AB508" s="305" t="str">
        <f>AB479</f>
        <v xml:space="preserve">Residential </v>
      </c>
      <c r="AC508" s="258">
        <f>+R5</f>
        <v>4726949.3</v>
      </c>
      <c r="AD508" s="258">
        <f>+S5</f>
        <v>4600046.3500000006</v>
      </c>
      <c r="AE508" s="258">
        <f>AD508-AC508</f>
        <v>-126902.94999999925</v>
      </c>
      <c r="AF508" s="259">
        <f>AE508/AC508</f>
        <v>-2.6846691586050915E-2</v>
      </c>
    </row>
    <row r="509" spans="28:44">
      <c r="AB509" s="305" t="str">
        <f t="shared" ref="AB509:AB513" si="206">AB480</f>
        <v>General Service &lt; 50 kW</v>
      </c>
      <c r="AC509" s="258">
        <f t="shared" ref="AC509:AD509" si="207">+R6</f>
        <v>1713827.05</v>
      </c>
      <c r="AD509" s="258">
        <f t="shared" si="207"/>
        <v>1723114.35</v>
      </c>
      <c r="AE509" s="258">
        <f t="shared" ref="AE509:AE514" si="208">AD509-AC509</f>
        <v>9287.3000000000466</v>
      </c>
      <c r="AF509" s="259">
        <f t="shared" ref="AF509:AF514" si="209">AE509/AC509</f>
        <v>5.4190415538137564E-3</v>
      </c>
    </row>
    <row r="510" spans="28:44">
      <c r="AB510" s="305" t="str">
        <f t="shared" si="206"/>
        <v>General Service 50 to 4,999 kW</v>
      </c>
      <c r="AC510" s="258">
        <f t="shared" ref="AC510:AD510" si="210">+R7</f>
        <v>1351705.8800000001</v>
      </c>
      <c r="AD510" s="258">
        <f t="shared" si="210"/>
        <v>1312310.3999999999</v>
      </c>
      <c r="AE510" s="258">
        <f t="shared" si="208"/>
        <v>-39395.480000000214</v>
      </c>
      <c r="AF510" s="259">
        <f t="shared" si="209"/>
        <v>-2.9145008971922362E-2</v>
      </c>
    </row>
    <row r="511" spans="28:44">
      <c r="AB511" s="305" t="str">
        <f t="shared" si="206"/>
        <v>Sentinel Lights</v>
      </c>
      <c r="AC511" s="258">
        <f t="shared" ref="AC511:AD511" si="211">+R8</f>
        <v>7324.6399999999994</v>
      </c>
      <c r="AD511" s="258">
        <f t="shared" si="211"/>
        <v>5904.58</v>
      </c>
      <c r="AE511" s="258">
        <f t="shared" si="208"/>
        <v>-1420.0599999999995</v>
      </c>
      <c r="AF511" s="259">
        <f t="shared" si="209"/>
        <v>-0.19387437471329644</v>
      </c>
    </row>
    <row r="512" spans="28:44">
      <c r="AB512" s="305" t="str">
        <f t="shared" si="206"/>
        <v>Street Lights</v>
      </c>
      <c r="AC512" s="258">
        <f t="shared" ref="AC512:AD512" si="212">+R9</f>
        <v>273836.11</v>
      </c>
      <c r="AD512" s="258">
        <f t="shared" si="212"/>
        <v>259559.21999999997</v>
      </c>
      <c r="AE512" s="258">
        <f t="shared" si="208"/>
        <v>-14276.890000000014</v>
      </c>
      <c r="AF512" s="259">
        <f t="shared" si="209"/>
        <v>-5.2136622887317581E-2</v>
      </c>
    </row>
    <row r="513" spans="28:44">
      <c r="AB513" s="305" t="str">
        <f t="shared" si="206"/>
        <v xml:space="preserve">Unmetered Scattered Loads </v>
      </c>
      <c r="AC513" s="258">
        <f t="shared" ref="AC513:AD513" si="213">+R10</f>
        <v>18651.099999999999</v>
      </c>
      <c r="AD513" s="258">
        <f t="shared" si="213"/>
        <v>18229.2</v>
      </c>
      <c r="AE513" s="258">
        <f t="shared" si="208"/>
        <v>-421.89999999999782</v>
      </c>
      <c r="AF513" s="259">
        <f t="shared" si="209"/>
        <v>-2.2620649720391711E-2</v>
      </c>
    </row>
    <row r="514" spans="28:44" ht="13">
      <c r="AB514" s="331" t="s">
        <v>17</v>
      </c>
      <c r="AC514" s="357">
        <f>SUM(AC508:AC513)</f>
        <v>8092294.0799999991</v>
      </c>
      <c r="AD514" s="357">
        <f>SUM(AD508:AD513)</f>
        <v>7919164.1000000015</v>
      </c>
      <c r="AE514" s="357">
        <f t="shared" si="208"/>
        <v>-173129.97999999765</v>
      </c>
      <c r="AF514" s="358">
        <f t="shared" si="209"/>
        <v>-2.1394425151686734E-2</v>
      </c>
    </row>
    <row r="516" spans="28:44" ht="13">
      <c r="AD516" s="184" t="s">
        <v>321</v>
      </c>
      <c r="AE516" s="359">
        <f>+S12-R12</f>
        <v>-173129.97999999765</v>
      </c>
      <c r="AG516" s="302" t="s">
        <v>327</v>
      </c>
      <c r="AH516" s="302"/>
      <c r="AI516" s="302"/>
      <c r="AJ516" s="235"/>
      <c r="AK516" s="260"/>
    </row>
    <row r="517" spans="28:44" s="194" customFormat="1" ht="59" customHeight="1">
      <c r="AG517" s="303" t="s">
        <v>236</v>
      </c>
      <c r="AH517" s="400" t="s">
        <v>237</v>
      </c>
      <c r="AI517" s="401"/>
      <c r="AJ517" s="301" t="s">
        <v>238</v>
      </c>
      <c r="AK517" s="400" t="s">
        <v>139</v>
      </c>
      <c r="AL517" s="401"/>
      <c r="AM517" s="400" t="s">
        <v>239</v>
      </c>
      <c r="AN517" s="401"/>
      <c r="AO517" s="400" t="s">
        <v>240</v>
      </c>
      <c r="AP517" s="401"/>
      <c r="AQ517" s="400" t="s">
        <v>241</v>
      </c>
      <c r="AR517" s="401"/>
    </row>
    <row r="518" spans="28:44" ht="13">
      <c r="AG518" s="397" t="str">
        <f>AG489</f>
        <v>Weather 
Normal Conversion 
Factor</v>
      </c>
      <c r="AH518" s="397"/>
      <c r="AI518" s="397"/>
      <c r="AJ518" s="397"/>
      <c r="AK518" s="397"/>
      <c r="AL518" s="397"/>
      <c r="AM518" s="261">
        <f>$F$278</f>
        <v>0.98758697088562297</v>
      </c>
      <c r="AN518" s="261">
        <f>$F$279</f>
        <v>0.99379778602895041</v>
      </c>
      <c r="AO518" s="398"/>
      <c r="AP518" s="398"/>
      <c r="AQ518" s="398"/>
      <c r="AR518" s="398"/>
    </row>
    <row r="519" spans="28:44" ht="25.5">
      <c r="AG519" s="304"/>
      <c r="AH519" s="265" t="str">
        <f>AC507</f>
        <v>2014 Actual</v>
      </c>
      <c r="AI519" s="265" t="str">
        <f>AD507</f>
        <v>2015 Actual</v>
      </c>
      <c r="AJ519" s="266"/>
      <c r="AK519" s="265" t="str">
        <f>AH519</f>
        <v>2014 Actual</v>
      </c>
      <c r="AL519" s="265" t="str">
        <f>AI519</f>
        <v>2015 Actual</v>
      </c>
      <c r="AM519" s="265" t="str">
        <f>AK519</f>
        <v>2014 Actual</v>
      </c>
      <c r="AN519" s="265" t="str">
        <f>AL519</f>
        <v>2015 Actual</v>
      </c>
      <c r="AO519" s="265" t="str">
        <f>AK519</f>
        <v>2014 Actual</v>
      </c>
      <c r="AP519" s="265" t="str">
        <f>AL519</f>
        <v>2015 Actual</v>
      </c>
      <c r="AQ519" s="265" t="str">
        <f>AM519</f>
        <v>2014 Actual</v>
      </c>
      <c r="AR519" s="265" t="str">
        <f>AN519</f>
        <v>2015 Actual</v>
      </c>
    </row>
    <row r="520" spans="28:44">
      <c r="AG520" s="305" t="str">
        <f t="shared" ref="AG520:AG525" si="214">AB508</f>
        <v xml:space="preserve">Residential </v>
      </c>
      <c r="AH520" s="256">
        <f>$Q$416</f>
        <v>10964.083333333334</v>
      </c>
      <c r="AI520" s="256">
        <f>$R$416</f>
        <v>11020.916666666666</v>
      </c>
      <c r="AJ520" s="267" t="str">
        <f t="shared" ref="AJ520:AJ525" si="215">AJ499</f>
        <v>kWh</v>
      </c>
      <c r="AK520" s="267">
        <f>$Q$417</f>
        <v>114433382.22499122</v>
      </c>
      <c r="AL520" s="267">
        <f>$R$417</f>
        <v>108243956.44</v>
      </c>
      <c r="AM520" s="256">
        <f>AK520*AM518</f>
        <v>113012917.31977576</v>
      </c>
      <c r="AN520" s="256">
        <f>AL520*AN518</f>
        <v>107572604.26108615</v>
      </c>
      <c r="AO520" s="267">
        <f>AK520/AH520</f>
        <v>10437.113504700153</v>
      </c>
      <c r="AP520" s="267">
        <f>AL520/AI520</f>
        <v>9821.6835961920897</v>
      </c>
      <c r="AQ520" s="267">
        <f>AM520/AH520</f>
        <v>10307.557310896253</v>
      </c>
      <c r="AR520" s="267">
        <f>AN520/AI520</f>
        <v>9760.7674129725583</v>
      </c>
    </row>
    <row r="521" spans="28:44">
      <c r="AG521" s="305" t="str">
        <f t="shared" si="214"/>
        <v>General Service &lt; 50 kW</v>
      </c>
      <c r="AH521" s="256">
        <f>$Q$420</f>
        <v>2106</v>
      </c>
      <c r="AI521" s="256">
        <f>$R$420</f>
        <v>2132.5833333333335</v>
      </c>
      <c r="AJ521" s="267" t="str">
        <f t="shared" si="215"/>
        <v>kWh</v>
      </c>
      <c r="AK521" s="268">
        <f>$Q$421</f>
        <v>58443482.099599421</v>
      </c>
      <c r="AL521" s="268">
        <f>$R$421</f>
        <v>58492111.439999998</v>
      </c>
      <c r="AM521" s="256">
        <f>AK521*AM518</f>
        <v>57718021.454751521</v>
      </c>
      <c r="AN521" s="256">
        <f>AL521*AN518</f>
        <v>58129330.84923064</v>
      </c>
      <c r="AO521" s="267">
        <f t="shared" ref="AO521:AO525" si="216">AK521/AH521</f>
        <v>27750.941167900961</v>
      </c>
      <c r="AP521" s="267">
        <f t="shared" ref="AP521:AP525" si="217">AL521/AI521</f>
        <v>27427.819830409124</v>
      </c>
      <c r="AQ521" s="267">
        <f t="shared" ref="AQ521:AQ525" si="218">AM521/AH521</f>
        <v>27406.467927232443</v>
      </c>
      <c r="AR521" s="267">
        <f t="shared" ref="AR521:AR525" si="219">AN521/AI521</f>
        <v>27257.706623061531</v>
      </c>
    </row>
    <row r="522" spans="28:44">
      <c r="AG522" s="305" t="str">
        <f t="shared" si="214"/>
        <v>General Service 50 to 4,999 kW</v>
      </c>
      <c r="AH522" s="256">
        <f>$Q$424</f>
        <v>172</v>
      </c>
      <c r="AI522" s="256">
        <f>$R$424</f>
        <v>155.83333333333334</v>
      </c>
      <c r="AJ522" s="267" t="str">
        <f t="shared" si="215"/>
        <v>kW</v>
      </c>
      <c r="AK522" s="268">
        <f>$Q$426</f>
        <v>288260.6999999999</v>
      </c>
      <c r="AL522" s="268">
        <f>$R$426</f>
        <v>288082.36000000004</v>
      </c>
      <c r="AM522" s="256">
        <f>AK522*AM518</f>
        <v>284682.51153836917</v>
      </c>
      <c r="AN522" s="256">
        <f>AL522*AN518</f>
        <v>286295.61156199512</v>
      </c>
      <c r="AO522" s="267">
        <f t="shared" si="216"/>
        <v>1675.9343023255808</v>
      </c>
      <c r="AP522" s="267">
        <f t="shared" si="217"/>
        <v>1848.6568556149734</v>
      </c>
      <c r="AQ522" s="267">
        <f t="shared" si="218"/>
        <v>1655.1308810370301</v>
      </c>
      <c r="AR522" s="267">
        <f t="shared" si="219"/>
        <v>1837.1910902374018</v>
      </c>
    </row>
    <row r="523" spans="28:44">
      <c r="AG523" s="305" t="str">
        <f t="shared" si="214"/>
        <v>Sentinel Lights</v>
      </c>
      <c r="AH523" s="256">
        <f>$Q$429</f>
        <v>56.666666666666664</v>
      </c>
      <c r="AI523" s="256">
        <f>$R$429</f>
        <v>53</v>
      </c>
      <c r="AJ523" s="267" t="str">
        <f t="shared" si="215"/>
        <v>kW</v>
      </c>
      <c r="AK523" s="268">
        <f>$Q$431</f>
        <v>138.89961839927633</v>
      </c>
      <c r="AL523" s="268">
        <f>$R$431</f>
        <v>136.41233333333338</v>
      </c>
      <c r="AM523" s="256">
        <f>AK523*AM518</f>
        <v>137.17545339211026</v>
      </c>
      <c r="AN523" s="256">
        <f>AL523*AN518</f>
        <v>135.5662748537099</v>
      </c>
      <c r="AO523" s="267">
        <f t="shared" si="216"/>
        <v>2.451169736457818</v>
      </c>
      <c r="AP523" s="267">
        <f t="shared" si="217"/>
        <v>2.573817610062894</v>
      </c>
      <c r="AQ523" s="267">
        <f t="shared" si="218"/>
        <v>2.4207432951548871</v>
      </c>
      <c r="AR523" s="267">
        <f t="shared" si="219"/>
        <v>2.5578542425228283</v>
      </c>
    </row>
    <row r="524" spans="28:44">
      <c r="AG524" s="305" t="str">
        <f t="shared" si="214"/>
        <v>Street Lights</v>
      </c>
      <c r="AH524" s="256">
        <f>$Q$434</f>
        <v>2843.6666666666665</v>
      </c>
      <c r="AI524" s="256">
        <f>$R$434</f>
        <v>2766.0833333333335</v>
      </c>
      <c r="AJ524" s="267" t="str">
        <f t="shared" si="215"/>
        <v>kW</v>
      </c>
      <c r="AK524" s="268">
        <f>$Q$436</f>
        <v>6610.2200000000012</v>
      </c>
      <c r="AL524" s="268">
        <f>$R$436</f>
        <v>5922.15</v>
      </c>
      <c r="AM524" s="256">
        <f>AK524*AM518</f>
        <v>6528.1671466875641</v>
      </c>
      <c r="AN524" s="256">
        <f>AL524*AN518</f>
        <v>5885.4195585313482</v>
      </c>
      <c r="AO524" s="267">
        <f t="shared" si="216"/>
        <v>2.3245410854530539</v>
      </c>
      <c r="AP524" s="267">
        <f t="shared" si="217"/>
        <v>2.1409875576175699</v>
      </c>
      <c r="AQ524" s="267">
        <f t="shared" si="218"/>
        <v>2.2956864892817599</v>
      </c>
      <c r="AR524" s="267">
        <f t="shared" si="219"/>
        <v>2.1277086946758708</v>
      </c>
    </row>
    <row r="525" spans="28:44">
      <c r="AG525" s="305" t="str">
        <f t="shared" si="214"/>
        <v xml:space="preserve">Unmetered Scattered Loads </v>
      </c>
      <c r="AH525" s="256">
        <f>$Q$439</f>
        <v>54.75</v>
      </c>
      <c r="AI525" s="256">
        <f>$R$439</f>
        <v>52.166666666666664</v>
      </c>
      <c r="AJ525" s="267" t="str">
        <f t="shared" si="215"/>
        <v>kWh</v>
      </c>
      <c r="AK525" s="268">
        <f>$Q$440</f>
        <v>180165.06688870379</v>
      </c>
      <c r="AL525" s="268">
        <f>$R$440</f>
        <v>173556</v>
      </c>
      <c r="AM525" s="256">
        <f>AK525*AM518</f>
        <v>177928.67266802062</v>
      </c>
      <c r="AN525" s="256">
        <f>AL525*AN518</f>
        <v>172479.56855204052</v>
      </c>
      <c r="AO525" s="267">
        <f t="shared" si="216"/>
        <v>3290.6861532183339</v>
      </c>
      <c r="AP525" s="267">
        <f t="shared" si="217"/>
        <v>3326.9520766773167</v>
      </c>
      <c r="AQ525" s="267">
        <f t="shared" si="218"/>
        <v>3249.8387701921574</v>
      </c>
      <c r="AR525" s="267">
        <f t="shared" si="219"/>
        <v>3306.3176080263361</v>
      </c>
    </row>
    <row r="526" spans="28:44">
      <c r="AG526" s="305" t="s">
        <v>10</v>
      </c>
      <c r="AH526" s="256">
        <f>SUM(AH520:AH525)</f>
        <v>16197.166666666666</v>
      </c>
      <c r="AI526" s="256">
        <f>SUM(AI520:AI525)</f>
        <v>16180.583333333334</v>
      </c>
      <c r="AJ526" s="267"/>
      <c r="AK526" s="268"/>
      <c r="AL526" s="268"/>
      <c r="AM526" s="268"/>
      <c r="AN526" s="268"/>
      <c r="AO526" s="268"/>
      <c r="AP526" s="268"/>
      <c r="AQ526" s="268"/>
      <c r="AR526" s="268"/>
    </row>
    <row r="527" spans="28:44">
      <c r="AG527" s="252"/>
      <c r="AH527" s="399" t="s">
        <v>242</v>
      </c>
      <c r="AI527" s="399"/>
      <c r="AJ527" s="252"/>
      <c r="AK527" s="399" t="s">
        <v>242</v>
      </c>
      <c r="AL527" s="399"/>
      <c r="AM527" s="399" t="s">
        <v>242</v>
      </c>
      <c r="AN527" s="399"/>
      <c r="AO527" s="399" t="s">
        <v>242</v>
      </c>
      <c r="AP527" s="399"/>
      <c r="AQ527" s="399" t="s">
        <v>242</v>
      </c>
      <c r="AR527" s="399"/>
    </row>
    <row r="528" spans="28:44">
      <c r="AG528" s="254" t="str">
        <f t="shared" ref="AG528:AG533" si="220">AG520</f>
        <v xml:space="preserve">Residential </v>
      </c>
      <c r="AH528" s="396">
        <f t="shared" ref="AH528:AH533" si="221">AI520-AH520</f>
        <v>56.833333333332121</v>
      </c>
      <c r="AI528" s="396"/>
      <c r="AJ528" s="267" t="str">
        <f t="shared" ref="AJ528:AJ533" si="222">AJ520</f>
        <v>kWh</v>
      </c>
      <c r="AK528" s="396">
        <f t="shared" ref="AK528:AK533" si="223">AL520-AK520</f>
        <v>-6189425.7849912196</v>
      </c>
      <c r="AL528" s="396"/>
      <c r="AM528" s="396">
        <f t="shared" ref="AM528:AM533" si="224">AN520-AM520</f>
        <v>-5440313.0586896092</v>
      </c>
      <c r="AN528" s="396"/>
      <c r="AO528" s="396">
        <f t="shared" ref="AO528:AO533" si="225">AP520-AO520</f>
        <v>-615.42990850806382</v>
      </c>
      <c r="AP528" s="396"/>
      <c r="AQ528" s="396">
        <f t="shared" ref="AQ528:AQ533" si="226">AR520-AQ520</f>
        <v>-546.7898979236943</v>
      </c>
      <c r="AR528" s="396"/>
    </row>
    <row r="529" spans="28:44">
      <c r="AG529" s="254" t="str">
        <f t="shared" si="220"/>
        <v>General Service &lt; 50 kW</v>
      </c>
      <c r="AH529" s="396">
        <f t="shared" si="221"/>
        <v>26.583333333333485</v>
      </c>
      <c r="AI529" s="396"/>
      <c r="AJ529" s="267" t="str">
        <f t="shared" si="222"/>
        <v>kWh</v>
      </c>
      <c r="AK529" s="396">
        <f t="shared" si="223"/>
        <v>48629.340400576591</v>
      </c>
      <c r="AL529" s="396"/>
      <c r="AM529" s="396">
        <f t="shared" si="224"/>
        <v>411309.39447911829</v>
      </c>
      <c r="AN529" s="396"/>
      <c r="AO529" s="396">
        <f t="shared" si="225"/>
        <v>-323.12133749183704</v>
      </c>
      <c r="AP529" s="396"/>
      <c r="AQ529" s="396">
        <f t="shared" si="226"/>
        <v>-148.7613041709119</v>
      </c>
      <c r="AR529" s="396"/>
    </row>
    <row r="530" spans="28:44">
      <c r="AG530" s="254" t="str">
        <f t="shared" si="220"/>
        <v>General Service 50 to 4,999 kW</v>
      </c>
      <c r="AH530" s="396">
        <f t="shared" si="221"/>
        <v>-16.166666666666657</v>
      </c>
      <c r="AI530" s="396"/>
      <c r="AJ530" s="267" t="str">
        <f t="shared" si="222"/>
        <v>kW</v>
      </c>
      <c r="AK530" s="396">
        <f t="shared" si="223"/>
        <v>-178.33999999985099</v>
      </c>
      <c r="AL530" s="396"/>
      <c r="AM530" s="396">
        <f t="shared" si="224"/>
        <v>1613.1000236259424</v>
      </c>
      <c r="AN530" s="396"/>
      <c r="AO530" s="396">
        <f t="shared" si="225"/>
        <v>172.72255328939264</v>
      </c>
      <c r="AP530" s="396"/>
      <c r="AQ530" s="396">
        <f t="shared" si="226"/>
        <v>182.06020920037167</v>
      </c>
      <c r="AR530" s="396"/>
    </row>
    <row r="531" spans="28:44">
      <c r="AG531" s="254" t="str">
        <f t="shared" si="220"/>
        <v>Sentinel Lights</v>
      </c>
      <c r="AH531" s="396">
        <f t="shared" si="221"/>
        <v>-3.6666666666666643</v>
      </c>
      <c r="AI531" s="396"/>
      <c r="AJ531" s="267" t="str">
        <f t="shared" si="222"/>
        <v>kW</v>
      </c>
      <c r="AK531" s="396">
        <f t="shared" si="223"/>
        <v>-2.487285065942956</v>
      </c>
      <c r="AL531" s="396"/>
      <c r="AM531" s="396">
        <f t="shared" si="224"/>
        <v>-1.6091785384003572</v>
      </c>
      <c r="AN531" s="396"/>
      <c r="AO531" s="396">
        <f t="shared" si="225"/>
        <v>0.12264787360507601</v>
      </c>
      <c r="AP531" s="396"/>
      <c r="AQ531" s="396">
        <f t="shared" si="226"/>
        <v>0.13711094736794127</v>
      </c>
      <c r="AR531" s="396"/>
    </row>
    <row r="532" spans="28:44">
      <c r="AG532" s="254" t="str">
        <f t="shared" si="220"/>
        <v>Street Lights</v>
      </c>
      <c r="AH532" s="396">
        <f t="shared" si="221"/>
        <v>-77.58333333333303</v>
      </c>
      <c r="AI532" s="396"/>
      <c r="AJ532" s="267" t="str">
        <f t="shared" si="222"/>
        <v>kW</v>
      </c>
      <c r="AK532" s="396">
        <f t="shared" si="223"/>
        <v>-688.07000000000153</v>
      </c>
      <c r="AL532" s="396"/>
      <c r="AM532" s="396">
        <f t="shared" si="224"/>
        <v>-642.7475881562159</v>
      </c>
      <c r="AN532" s="396"/>
      <c r="AO532" s="396">
        <f t="shared" si="225"/>
        <v>-0.18355352783548406</v>
      </c>
      <c r="AP532" s="396"/>
      <c r="AQ532" s="396">
        <f t="shared" si="226"/>
        <v>-0.16797779460588913</v>
      </c>
      <c r="AR532" s="396"/>
    </row>
    <row r="533" spans="28:44" s="197" customFormat="1">
      <c r="AG533" s="254" t="str">
        <f t="shared" si="220"/>
        <v xml:space="preserve">Unmetered Scattered Loads </v>
      </c>
      <c r="AH533" s="396">
        <f t="shared" si="221"/>
        <v>-2.5833333333333357</v>
      </c>
      <c r="AI533" s="396"/>
      <c r="AJ533" s="267" t="str">
        <f t="shared" si="222"/>
        <v>kWh</v>
      </c>
      <c r="AK533" s="396">
        <f t="shared" si="223"/>
        <v>-6609.06688870379</v>
      </c>
      <c r="AL533" s="396"/>
      <c r="AM533" s="396">
        <f t="shared" si="224"/>
        <v>-5449.1041159800952</v>
      </c>
      <c r="AN533" s="396"/>
      <c r="AO533" s="396">
        <f t="shared" si="225"/>
        <v>36.265923458982797</v>
      </c>
      <c r="AP533" s="396"/>
      <c r="AQ533" s="396">
        <f t="shared" si="226"/>
        <v>56.478837834178648</v>
      </c>
      <c r="AR533" s="396"/>
    </row>
    <row r="534" spans="28:44" customFormat="1"/>
    <row r="535" spans="28:44" ht="13">
      <c r="AB535" s="302" t="s">
        <v>328</v>
      </c>
      <c r="AC535" s="302"/>
      <c r="AD535" s="302"/>
      <c r="AE535" s="235"/>
      <c r="AF535" s="235"/>
    </row>
    <row r="536" spans="28:44" s="194" customFormat="1" ht="13">
      <c r="AB536" s="330" t="s">
        <v>174</v>
      </c>
      <c r="AC536" s="301" t="s">
        <v>245</v>
      </c>
      <c r="AD536" s="301" t="s">
        <v>246</v>
      </c>
      <c r="AE536" s="301" t="s">
        <v>234</v>
      </c>
      <c r="AF536" s="301" t="s">
        <v>235</v>
      </c>
    </row>
    <row r="537" spans="28:44">
      <c r="AB537" s="305" t="str">
        <f>AB508</f>
        <v xml:space="preserve">Residential </v>
      </c>
      <c r="AC537" s="258">
        <f>+S5</f>
        <v>4600046.3500000006</v>
      </c>
      <c r="AD537" s="258">
        <f>+T5</f>
        <v>4703088.33</v>
      </c>
      <c r="AE537" s="258">
        <f>AD537-AC537</f>
        <v>103041.97999999952</v>
      </c>
      <c r="AF537" s="259">
        <f>AE537/AC537</f>
        <v>2.2400204728371814E-2</v>
      </c>
    </row>
    <row r="538" spans="28:44">
      <c r="AB538" s="305" t="str">
        <f t="shared" ref="AB538:AB542" si="227">AB509</f>
        <v>General Service &lt; 50 kW</v>
      </c>
      <c r="AC538" s="258">
        <f t="shared" ref="AC538:AD538" si="228">+S6</f>
        <v>1723114.35</v>
      </c>
      <c r="AD538" s="258">
        <f t="shared" si="228"/>
        <v>1746904.51</v>
      </c>
      <c r="AE538" s="258">
        <f t="shared" ref="AE538:AE543" si="229">AD538-AC538</f>
        <v>23790.159999999916</v>
      </c>
      <c r="AF538" s="259">
        <f t="shared" ref="AF538:AF543" si="230">AE538/AC538</f>
        <v>1.3806489395204628E-2</v>
      </c>
    </row>
    <row r="539" spans="28:44">
      <c r="AB539" s="305" t="str">
        <f t="shared" si="227"/>
        <v>General Service 50 to 4,999 kW</v>
      </c>
      <c r="AC539" s="258">
        <f t="shared" ref="AC539:AD539" si="231">+S7</f>
        <v>1312310.3999999999</v>
      </c>
      <c r="AD539" s="258">
        <f t="shared" si="231"/>
        <v>1306488.6399999999</v>
      </c>
      <c r="AE539" s="258">
        <f t="shared" si="229"/>
        <v>-5821.7600000000093</v>
      </c>
      <c r="AF539" s="259">
        <f t="shared" si="230"/>
        <v>-4.4362675171971582E-3</v>
      </c>
    </row>
    <row r="540" spans="28:44">
      <c r="AB540" s="305" t="str">
        <f t="shared" si="227"/>
        <v>Sentinel Lights</v>
      </c>
      <c r="AC540" s="258">
        <f t="shared" ref="AC540:AD540" si="232">+S8</f>
        <v>5904.58</v>
      </c>
      <c r="AD540" s="258">
        <f t="shared" si="232"/>
        <v>6780.59</v>
      </c>
      <c r="AE540" s="258">
        <f t="shared" si="229"/>
        <v>876.01000000000022</v>
      </c>
      <c r="AF540" s="259">
        <f t="shared" si="230"/>
        <v>0.14836110273719727</v>
      </c>
    </row>
    <row r="541" spans="28:44">
      <c r="AB541" s="305" t="str">
        <f t="shared" si="227"/>
        <v>Street Lights</v>
      </c>
      <c r="AC541" s="258">
        <f t="shared" ref="AC541:AD541" si="233">+S9</f>
        <v>259559.21999999997</v>
      </c>
      <c r="AD541" s="258">
        <f t="shared" si="233"/>
        <v>204295.08</v>
      </c>
      <c r="AE541" s="258">
        <f t="shared" si="229"/>
        <v>-55264.139999999985</v>
      </c>
      <c r="AF541" s="259">
        <f t="shared" si="230"/>
        <v>-0.2129153416318634</v>
      </c>
    </row>
    <row r="542" spans="28:44">
      <c r="AB542" s="305" t="str">
        <f t="shared" si="227"/>
        <v xml:space="preserve">Unmetered Scattered Loads </v>
      </c>
      <c r="AC542" s="258">
        <f t="shared" ref="AC542:AD542" si="234">+S10</f>
        <v>18229.2</v>
      </c>
      <c r="AD542" s="258">
        <f t="shared" si="234"/>
        <v>18533.48</v>
      </c>
      <c r="AE542" s="258">
        <f t="shared" si="229"/>
        <v>304.27999999999884</v>
      </c>
      <c r="AF542" s="259">
        <f t="shared" si="230"/>
        <v>1.6691900906238278E-2</v>
      </c>
    </row>
    <row r="543" spans="28:44" ht="13">
      <c r="AB543" s="331" t="s">
        <v>17</v>
      </c>
      <c r="AC543" s="357">
        <f>SUM(AC537:AC542)</f>
        <v>7919164.1000000015</v>
      </c>
      <c r="AD543" s="357">
        <f>SUM(AD537:AD542)</f>
        <v>7986090.6299999999</v>
      </c>
      <c r="AE543" s="357">
        <f t="shared" si="229"/>
        <v>66926.529999998398</v>
      </c>
      <c r="AF543" s="358">
        <f t="shared" si="230"/>
        <v>8.451211410052532E-3</v>
      </c>
    </row>
    <row r="545" spans="30:44" ht="13">
      <c r="AD545" s="184" t="s">
        <v>321</v>
      </c>
      <c r="AE545" s="359">
        <f>+T12-S12</f>
        <v>66926.529999998398</v>
      </c>
      <c r="AG545" s="302" t="s">
        <v>329</v>
      </c>
      <c r="AH545" s="302"/>
      <c r="AI545" s="302"/>
      <c r="AJ545" s="235"/>
      <c r="AK545" s="260"/>
    </row>
    <row r="546" spans="30:44" s="194" customFormat="1" ht="59" customHeight="1">
      <c r="AG546" s="303" t="s">
        <v>236</v>
      </c>
      <c r="AH546" s="400" t="s">
        <v>237</v>
      </c>
      <c r="AI546" s="401"/>
      <c r="AJ546" s="301" t="s">
        <v>238</v>
      </c>
      <c r="AK546" s="400" t="s">
        <v>139</v>
      </c>
      <c r="AL546" s="401"/>
      <c r="AM546" s="400" t="s">
        <v>239</v>
      </c>
      <c r="AN546" s="401"/>
      <c r="AO546" s="400" t="s">
        <v>240</v>
      </c>
      <c r="AP546" s="401"/>
      <c r="AQ546" s="400" t="s">
        <v>241</v>
      </c>
      <c r="AR546" s="401"/>
    </row>
    <row r="547" spans="30:44" ht="13">
      <c r="AG547" s="397" t="str">
        <f>AG518</f>
        <v>Weather 
Normal Conversion 
Factor</v>
      </c>
      <c r="AH547" s="397"/>
      <c r="AI547" s="397"/>
      <c r="AJ547" s="397"/>
      <c r="AK547" s="397"/>
      <c r="AL547" s="397"/>
      <c r="AM547" s="261">
        <f>$F$279</f>
        <v>0.99379778602895041</v>
      </c>
      <c r="AN547" s="261">
        <f>$F$280</f>
        <v>0.99981171627724397</v>
      </c>
      <c r="AO547" s="398"/>
      <c r="AP547" s="398"/>
      <c r="AQ547" s="398"/>
      <c r="AR547" s="398"/>
    </row>
    <row r="548" spans="30:44" ht="25.5">
      <c r="AG548" s="304"/>
      <c r="AH548" s="265" t="str">
        <f>AC536</f>
        <v>2015 Actual</v>
      </c>
      <c r="AI548" s="265" t="str">
        <f>AD536</f>
        <v>2016 Actual</v>
      </c>
      <c r="AJ548" s="266"/>
      <c r="AK548" s="265" t="str">
        <f>AH548</f>
        <v>2015 Actual</v>
      </c>
      <c r="AL548" s="265" t="str">
        <f>AI548</f>
        <v>2016 Actual</v>
      </c>
      <c r="AM548" s="265" t="str">
        <f>AK548</f>
        <v>2015 Actual</v>
      </c>
      <c r="AN548" s="265" t="str">
        <f>AL548</f>
        <v>2016 Actual</v>
      </c>
      <c r="AO548" s="265" t="str">
        <f>AK548</f>
        <v>2015 Actual</v>
      </c>
      <c r="AP548" s="265" t="str">
        <f>AL548</f>
        <v>2016 Actual</v>
      </c>
      <c r="AQ548" s="265" t="str">
        <f>AM548</f>
        <v>2015 Actual</v>
      </c>
      <c r="AR548" s="265" t="str">
        <f>AN548</f>
        <v>2016 Actual</v>
      </c>
    </row>
    <row r="549" spans="30:44">
      <c r="AG549" s="305" t="str">
        <f t="shared" ref="AG549:AG554" si="235">AB537</f>
        <v xml:space="preserve">Residential </v>
      </c>
      <c r="AH549" s="256">
        <f>$R$416</f>
        <v>11020.916666666666</v>
      </c>
      <c r="AI549" s="256">
        <f>$S$416</f>
        <v>11078.416666666666</v>
      </c>
      <c r="AJ549" s="267" t="str">
        <f t="shared" ref="AJ549:AJ554" si="236">AJ528</f>
        <v>kWh</v>
      </c>
      <c r="AK549" s="267">
        <f>$R$417</f>
        <v>108243956.44</v>
      </c>
      <c r="AL549" s="267">
        <f>$S$417</f>
        <v>104348161.31</v>
      </c>
      <c r="AM549" s="256">
        <f>AK549*AM547</f>
        <v>107572604.26108615</v>
      </c>
      <c r="AN549" s="256">
        <f>AL549*AN547</f>
        <v>104328514.2497258</v>
      </c>
      <c r="AO549" s="267">
        <f>AK549/AH549</f>
        <v>9821.6835961920897</v>
      </c>
      <c r="AP549" s="267">
        <f>AL549/AI549</f>
        <v>9419.0500727390354</v>
      </c>
      <c r="AQ549" s="267">
        <f>AM549/AH549</f>
        <v>9760.7674129725583</v>
      </c>
      <c r="AR549" s="267">
        <f>AN549/AI549</f>
        <v>9417.2766189265149</v>
      </c>
    </row>
    <row r="550" spans="30:44">
      <c r="AG550" s="305" t="str">
        <f t="shared" si="235"/>
        <v>General Service &lt; 50 kW</v>
      </c>
      <c r="AH550" s="256">
        <f>$R$420</f>
        <v>2132.5833333333335</v>
      </c>
      <c r="AI550" s="256">
        <f>$S$420</f>
        <v>2137.6666666666665</v>
      </c>
      <c r="AJ550" s="267" t="str">
        <f t="shared" si="236"/>
        <v>kWh</v>
      </c>
      <c r="AK550" s="268">
        <f>$R$421</f>
        <v>58492111.439999998</v>
      </c>
      <c r="AL550" s="268">
        <f>$S$421</f>
        <v>58168701.330000006</v>
      </c>
      <c r="AM550" s="256">
        <f>AK550*AM547</f>
        <v>58129330.84923064</v>
      </c>
      <c r="AN550" s="256">
        <f>AL550*AN547</f>
        <v>58157749.110365711</v>
      </c>
      <c r="AO550" s="267">
        <f t="shared" ref="AO550:AO554" si="237">AK550/AH550</f>
        <v>27427.819830409124</v>
      </c>
      <c r="AP550" s="267">
        <f t="shared" ref="AP550:AP554" si="238">AL550/AI550</f>
        <v>27211.30578356464</v>
      </c>
      <c r="AQ550" s="267">
        <f t="shared" ref="AQ550:AQ554" si="239">AM550/AH550</f>
        <v>27257.706623061531</v>
      </c>
      <c r="AR550" s="267">
        <f t="shared" ref="AR550:AR554" si="240">AN550/AI550</f>
        <v>27206.182337610659</v>
      </c>
    </row>
    <row r="551" spans="30:44">
      <c r="AG551" s="305" t="str">
        <f t="shared" si="235"/>
        <v>General Service 50 to 4,999 kW</v>
      </c>
      <c r="AH551" s="256">
        <f>$R$424</f>
        <v>155.83333333333334</v>
      </c>
      <c r="AI551" s="256">
        <f>$S$424</f>
        <v>149.33333333333334</v>
      </c>
      <c r="AJ551" s="267" t="str">
        <f t="shared" si="236"/>
        <v>kW</v>
      </c>
      <c r="AK551" s="268">
        <f>$R$426</f>
        <v>288082.36000000004</v>
      </c>
      <c r="AL551" s="268">
        <f>$S$426</f>
        <v>283796.43</v>
      </c>
      <c r="AM551" s="256">
        <f>AK551*AM547</f>
        <v>286295.61156199512</v>
      </c>
      <c r="AN551" s="256">
        <f>AL551*AN547</f>
        <v>283742.99575165473</v>
      </c>
      <c r="AO551" s="267">
        <f t="shared" si="237"/>
        <v>1848.6568556149734</v>
      </c>
      <c r="AP551" s="267">
        <f t="shared" si="238"/>
        <v>1900.4225223214285</v>
      </c>
      <c r="AQ551" s="267">
        <f t="shared" si="239"/>
        <v>1837.1910902374018</v>
      </c>
      <c r="AR551" s="267">
        <f t="shared" si="240"/>
        <v>1900.0647036941164</v>
      </c>
    </row>
    <row r="552" spans="30:44">
      <c r="AG552" s="305" t="str">
        <f t="shared" si="235"/>
        <v>Sentinel Lights</v>
      </c>
      <c r="AH552" s="256">
        <f>$R$429</f>
        <v>53</v>
      </c>
      <c r="AI552" s="256">
        <f>$S$429</f>
        <v>52.333333333333336</v>
      </c>
      <c r="AJ552" s="267" t="str">
        <f t="shared" si="236"/>
        <v>kW</v>
      </c>
      <c r="AK552" s="268">
        <f>$R$431</f>
        <v>136.41233333333338</v>
      </c>
      <c r="AL552" s="268">
        <f>$S$431</f>
        <v>135.40497222222223</v>
      </c>
      <c r="AM552" s="256">
        <f>AK552*AM547</f>
        <v>135.5662748537099</v>
      </c>
      <c r="AN552" s="256">
        <f>AL552*AN547</f>
        <v>135.37947766997254</v>
      </c>
      <c r="AO552" s="267">
        <f t="shared" si="237"/>
        <v>2.573817610062894</v>
      </c>
      <c r="AP552" s="267">
        <f t="shared" si="238"/>
        <v>2.5873561571125263</v>
      </c>
      <c r="AQ552" s="267">
        <f t="shared" si="239"/>
        <v>2.5578542425228283</v>
      </c>
      <c r="AR552" s="267">
        <f t="shared" si="240"/>
        <v>2.5868690000631696</v>
      </c>
    </row>
    <row r="553" spans="30:44">
      <c r="AG553" s="305" t="str">
        <f t="shared" si="235"/>
        <v>Street Lights</v>
      </c>
      <c r="AH553" s="256">
        <f>$R$434</f>
        <v>2766.0833333333335</v>
      </c>
      <c r="AI553" s="256">
        <f>$S$434</f>
        <v>2679.1666666666665</v>
      </c>
      <c r="AJ553" s="267" t="str">
        <f t="shared" si="236"/>
        <v>kW</v>
      </c>
      <c r="AK553" s="268">
        <f>$R$436</f>
        <v>5922.15</v>
      </c>
      <c r="AL553" s="268">
        <f>$S$436</f>
        <v>3094.0399999999995</v>
      </c>
      <c r="AM553" s="256">
        <f>AK553*AM547</f>
        <v>5885.4195585313482</v>
      </c>
      <c r="AN553" s="256">
        <f>AL553*AN547</f>
        <v>3093.4574426304434</v>
      </c>
      <c r="AO553" s="267">
        <f t="shared" si="237"/>
        <v>2.1409875576175699</v>
      </c>
      <c r="AP553" s="267">
        <f t="shared" si="238"/>
        <v>1.1548516329704508</v>
      </c>
      <c r="AQ553" s="267">
        <f t="shared" si="239"/>
        <v>2.1277086946758708</v>
      </c>
      <c r="AR553" s="267">
        <f t="shared" si="240"/>
        <v>1.1546341932057644</v>
      </c>
    </row>
    <row r="554" spans="30:44">
      <c r="AG554" s="305" t="str">
        <f t="shared" si="235"/>
        <v xml:space="preserve">Unmetered Scattered Loads </v>
      </c>
      <c r="AH554" s="256">
        <f>$R$439</f>
        <v>52.166666666666664</v>
      </c>
      <c r="AI554" s="256">
        <f>$S$439</f>
        <v>51</v>
      </c>
      <c r="AJ554" s="267" t="str">
        <f t="shared" si="236"/>
        <v>kWh</v>
      </c>
      <c r="AK554" s="268">
        <f>$R$440</f>
        <v>173556</v>
      </c>
      <c r="AL554" s="268">
        <f>$S$440</f>
        <v>166068</v>
      </c>
      <c r="AM554" s="256">
        <f>AK554*AM547</f>
        <v>172479.56855204052</v>
      </c>
      <c r="AN554" s="256">
        <f>AL554*AN547</f>
        <v>166036.73209872935</v>
      </c>
      <c r="AO554" s="267">
        <f t="shared" si="237"/>
        <v>3326.9520766773167</v>
      </c>
      <c r="AP554" s="267">
        <f t="shared" si="238"/>
        <v>3256.2352941176468</v>
      </c>
      <c r="AQ554" s="267">
        <f t="shared" si="239"/>
        <v>3306.3176080263361</v>
      </c>
      <c r="AR554" s="267">
        <f t="shared" si="240"/>
        <v>3255.6221980143009</v>
      </c>
    </row>
    <row r="555" spans="30:44">
      <c r="AG555" s="305" t="s">
        <v>10</v>
      </c>
      <c r="AH555" s="256">
        <f>SUM(AH549:AH554)</f>
        <v>16180.583333333334</v>
      </c>
      <c r="AI555" s="256">
        <f>SUM(AI549:AI554)</f>
        <v>16147.916666666666</v>
      </c>
      <c r="AJ555" s="267"/>
      <c r="AK555" s="268"/>
      <c r="AL555" s="268"/>
      <c r="AM555" s="268"/>
      <c r="AN555" s="268"/>
      <c r="AO555" s="268"/>
      <c r="AP555" s="268"/>
      <c r="AQ555" s="268"/>
      <c r="AR555" s="268"/>
    </row>
    <row r="556" spans="30:44" customFormat="1">
      <c r="AG556" s="252"/>
      <c r="AH556" s="399" t="s">
        <v>242</v>
      </c>
      <c r="AI556" s="399"/>
      <c r="AJ556" s="252"/>
      <c r="AK556" s="399" t="s">
        <v>242</v>
      </c>
      <c r="AL556" s="399"/>
      <c r="AM556" s="399" t="s">
        <v>242</v>
      </c>
      <c r="AN556" s="399"/>
      <c r="AO556" s="399" t="s">
        <v>242</v>
      </c>
      <c r="AP556" s="399"/>
      <c r="AQ556" s="399" t="s">
        <v>242</v>
      </c>
      <c r="AR556" s="399"/>
    </row>
    <row r="557" spans="30:44" customFormat="1">
      <c r="AG557" s="254" t="str">
        <f t="shared" ref="AG557:AG562" si="241">AG549</f>
        <v xml:space="preserve">Residential </v>
      </c>
      <c r="AH557" s="396">
        <f t="shared" ref="AH557:AH562" si="242">AI549-AH549</f>
        <v>57.5</v>
      </c>
      <c r="AI557" s="396"/>
      <c r="AJ557" s="267" t="str">
        <f t="shared" ref="AJ557:AJ562" si="243">AJ549</f>
        <v>kWh</v>
      </c>
      <c r="AK557" s="396">
        <f t="shared" ref="AK557:AK562" si="244">AL549-AK549</f>
        <v>-3895795.1299999952</v>
      </c>
      <c r="AL557" s="396"/>
      <c r="AM557" s="396">
        <f t="shared" ref="AM557:AM562" si="245">AN549-AM549</f>
        <v>-3244090.0113603473</v>
      </c>
      <c r="AN557" s="396"/>
      <c r="AO557" s="396">
        <f t="shared" ref="AO557:AO562" si="246">AP549-AO549</f>
        <v>-402.63352345305429</v>
      </c>
      <c r="AP557" s="396"/>
      <c r="AQ557" s="396">
        <f t="shared" ref="AQ557:AQ562" si="247">AR549-AQ549</f>
        <v>-343.49079404604345</v>
      </c>
      <c r="AR557" s="396"/>
    </row>
    <row r="558" spans="30:44" customFormat="1">
      <c r="AG558" s="254" t="str">
        <f t="shared" si="241"/>
        <v>General Service &lt; 50 kW</v>
      </c>
      <c r="AH558" s="396">
        <f t="shared" si="242"/>
        <v>5.0833333333330302</v>
      </c>
      <c r="AI558" s="396"/>
      <c r="AJ558" s="267" t="str">
        <f t="shared" si="243"/>
        <v>kWh</v>
      </c>
      <c r="AK558" s="396">
        <f t="shared" si="244"/>
        <v>-323410.10999999195</v>
      </c>
      <c r="AL558" s="396"/>
      <c r="AM558" s="396">
        <f t="shared" si="245"/>
        <v>28418.261135071516</v>
      </c>
      <c r="AN558" s="396"/>
      <c r="AO558" s="396">
        <f t="shared" si="246"/>
        <v>-216.51404684448426</v>
      </c>
      <c r="AP558" s="396"/>
      <c r="AQ558" s="396">
        <f t="shared" si="247"/>
        <v>-51.524285450872412</v>
      </c>
      <c r="AR558" s="396"/>
    </row>
    <row r="559" spans="30:44" customFormat="1">
      <c r="AG559" s="254" t="str">
        <f t="shared" si="241"/>
        <v>General Service 50 to 4,999 kW</v>
      </c>
      <c r="AH559" s="396">
        <f t="shared" si="242"/>
        <v>-6.5</v>
      </c>
      <c r="AI559" s="396"/>
      <c r="AJ559" s="267" t="str">
        <f t="shared" si="243"/>
        <v>kW</v>
      </c>
      <c r="AK559" s="396">
        <f t="shared" si="244"/>
        <v>-4285.9300000000512</v>
      </c>
      <c r="AL559" s="396"/>
      <c r="AM559" s="396">
        <f t="shared" si="245"/>
        <v>-2552.6158103403868</v>
      </c>
      <c r="AN559" s="396"/>
      <c r="AO559" s="396">
        <f t="shared" si="246"/>
        <v>51.765666706455022</v>
      </c>
      <c r="AP559" s="396"/>
      <c r="AQ559" s="396">
        <f t="shared" si="247"/>
        <v>62.873613456714565</v>
      </c>
      <c r="AR559" s="396"/>
    </row>
    <row r="560" spans="30:44" customFormat="1">
      <c r="AG560" s="254" t="str">
        <f t="shared" si="241"/>
        <v>Sentinel Lights</v>
      </c>
      <c r="AH560" s="396">
        <f t="shared" si="242"/>
        <v>-0.6666666666666643</v>
      </c>
      <c r="AI560" s="396"/>
      <c r="AJ560" s="267" t="str">
        <f t="shared" si="243"/>
        <v>kW</v>
      </c>
      <c r="AK560" s="396">
        <f t="shared" si="244"/>
        <v>-1.0073611111111518</v>
      </c>
      <c r="AL560" s="396"/>
      <c r="AM560" s="396">
        <f t="shared" si="245"/>
        <v>-0.18679718373735454</v>
      </c>
      <c r="AN560" s="396"/>
      <c r="AO560" s="396">
        <f t="shared" si="246"/>
        <v>1.353854704963231E-2</v>
      </c>
      <c r="AP560" s="396"/>
      <c r="AQ560" s="396">
        <f t="shared" si="247"/>
        <v>2.9014757540341218E-2</v>
      </c>
      <c r="AR560" s="396"/>
    </row>
    <row r="561" spans="28:44" customFormat="1">
      <c r="AG561" s="254" t="str">
        <f t="shared" si="241"/>
        <v>Street Lights</v>
      </c>
      <c r="AH561" s="396">
        <f t="shared" si="242"/>
        <v>-86.91666666666697</v>
      </c>
      <c r="AI561" s="396"/>
      <c r="AJ561" s="267" t="str">
        <f t="shared" si="243"/>
        <v>kW</v>
      </c>
      <c r="AK561" s="396">
        <f t="shared" si="244"/>
        <v>-2828.11</v>
      </c>
      <c r="AL561" s="396"/>
      <c r="AM561" s="396">
        <f t="shared" si="245"/>
        <v>-2791.9621159009048</v>
      </c>
      <c r="AN561" s="396"/>
      <c r="AO561" s="396">
        <f t="shared" si="246"/>
        <v>-0.98613592464711908</v>
      </c>
      <c r="AP561" s="396"/>
      <c r="AQ561" s="396">
        <f t="shared" si="247"/>
        <v>-0.97307450147010632</v>
      </c>
      <c r="AR561" s="396"/>
    </row>
    <row r="562" spans="28:44" customFormat="1">
      <c r="AG562" s="254" t="str">
        <f t="shared" si="241"/>
        <v xml:space="preserve">Unmetered Scattered Loads </v>
      </c>
      <c r="AH562" s="396">
        <f t="shared" si="242"/>
        <v>-1.1666666666666643</v>
      </c>
      <c r="AI562" s="396"/>
      <c r="AJ562" s="267" t="str">
        <f t="shared" si="243"/>
        <v>kWh</v>
      </c>
      <c r="AK562" s="396">
        <f t="shared" si="244"/>
        <v>-7488</v>
      </c>
      <c r="AL562" s="396"/>
      <c r="AM562" s="396">
        <f t="shared" si="245"/>
        <v>-6442.8364533111744</v>
      </c>
      <c r="AN562" s="396"/>
      <c r="AO562" s="396">
        <f t="shared" si="246"/>
        <v>-70.716782559669809</v>
      </c>
      <c r="AP562" s="396"/>
      <c r="AQ562" s="396">
        <f t="shared" si="247"/>
        <v>-50.695410012035154</v>
      </c>
      <c r="AR562" s="396"/>
    </row>
    <row r="563" spans="28:44" customFormat="1"/>
    <row r="564" spans="28:44" ht="13">
      <c r="AB564" s="302" t="s">
        <v>330</v>
      </c>
      <c r="AC564" s="302"/>
      <c r="AD564" s="302"/>
      <c r="AE564" s="235"/>
      <c r="AF564" s="235"/>
      <c r="AJ564"/>
    </row>
    <row r="565" spans="28:44" s="194" customFormat="1" ht="13">
      <c r="AB565" s="330" t="s">
        <v>174</v>
      </c>
      <c r="AC565" s="301" t="s">
        <v>246</v>
      </c>
      <c r="AD565" s="301" t="s">
        <v>247</v>
      </c>
      <c r="AE565" s="301" t="s">
        <v>234</v>
      </c>
      <c r="AF565" s="301" t="s">
        <v>235</v>
      </c>
      <c r="AJ565"/>
    </row>
    <row r="566" spans="28:44">
      <c r="AB566" s="305" t="str">
        <f>AB537</f>
        <v xml:space="preserve">Residential </v>
      </c>
      <c r="AC566" s="258">
        <f>+T5</f>
        <v>4703088.33</v>
      </c>
      <c r="AD566" s="258">
        <f>+U5</f>
        <v>4847250.92</v>
      </c>
      <c r="AE566" s="258">
        <f>AD566-AC566</f>
        <v>144162.58999999985</v>
      </c>
      <c r="AF566" s="259">
        <f>AE566/AC566</f>
        <v>3.0652749828323944E-2</v>
      </c>
      <c r="AJ566"/>
    </row>
    <row r="567" spans="28:44">
      <c r="AB567" s="305" t="str">
        <f t="shared" ref="AB567:AB571" si="248">AB538</f>
        <v>General Service &lt; 50 kW</v>
      </c>
      <c r="AC567" s="258">
        <f t="shared" ref="AC567:AD567" si="249">+T6</f>
        <v>1746904.51</v>
      </c>
      <c r="AD567" s="258">
        <f t="shared" si="249"/>
        <v>1783085.38</v>
      </c>
      <c r="AE567" s="258">
        <f t="shared" ref="AE567:AE572" si="250">AD567-AC567</f>
        <v>36180.869999999879</v>
      </c>
      <c r="AF567" s="259">
        <f t="shared" ref="AF567:AF572" si="251">AE567/AC567</f>
        <v>2.0711418278953255E-2</v>
      </c>
      <c r="AJ567"/>
    </row>
    <row r="568" spans="28:44">
      <c r="AB568" s="305" t="str">
        <f t="shared" si="248"/>
        <v>General Service 50 to 4,999 kW</v>
      </c>
      <c r="AC568" s="258">
        <f t="shared" ref="AC568:AD568" si="252">+T7</f>
        <v>1306488.6399999999</v>
      </c>
      <c r="AD568" s="258">
        <f t="shared" si="252"/>
        <v>1268340.22</v>
      </c>
      <c r="AE568" s="258">
        <f t="shared" si="250"/>
        <v>-38148.419999999925</v>
      </c>
      <c r="AF568" s="259">
        <f t="shared" si="251"/>
        <v>-2.9199197629456563E-2</v>
      </c>
      <c r="AJ568"/>
    </row>
    <row r="569" spans="28:44">
      <c r="AB569" s="305" t="str">
        <f t="shared" si="248"/>
        <v>Sentinel Lights</v>
      </c>
      <c r="AC569" s="258">
        <f t="shared" ref="AC569:AD569" si="253">+T8</f>
        <v>6780.59</v>
      </c>
      <c r="AD569" s="258">
        <f t="shared" si="253"/>
        <v>6089.83</v>
      </c>
      <c r="AE569" s="258">
        <f t="shared" si="250"/>
        <v>-690.76000000000022</v>
      </c>
      <c r="AF569" s="259">
        <f t="shared" si="251"/>
        <v>-0.10187314083287741</v>
      </c>
      <c r="AJ569"/>
    </row>
    <row r="570" spans="28:44">
      <c r="AB570" s="305" t="str">
        <f t="shared" si="248"/>
        <v>Street Lights</v>
      </c>
      <c r="AC570" s="258">
        <f t="shared" ref="AC570:AD570" si="254">+T9</f>
        <v>204295.08</v>
      </c>
      <c r="AD570" s="258">
        <f t="shared" si="254"/>
        <v>217360.31</v>
      </c>
      <c r="AE570" s="258">
        <f t="shared" si="250"/>
        <v>13065.23000000001</v>
      </c>
      <c r="AF570" s="259">
        <f t="shared" si="251"/>
        <v>6.3952739341544648E-2</v>
      </c>
    </row>
    <row r="571" spans="28:44">
      <c r="AB571" s="305" t="str">
        <f t="shared" si="248"/>
        <v xml:space="preserve">Unmetered Scattered Loads </v>
      </c>
      <c r="AC571" s="258">
        <f t="shared" ref="AC571:AD571" si="255">+T10</f>
        <v>18533.48</v>
      </c>
      <c r="AD571" s="258">
        <f t="shared" si="255"/>
        <v>18878.91</v>
      </c>
      <c r="AE571" s="258">
        <f t="shared" si="250"/>
        <v>345.43000000000029</v>
      </c>
      <c r="AF571" s="259">
        <f t="shared" si="251"/>
        <v>1.8638161856273094E-2</v>
      </c>
    </row>
    <row r="572" spans="28:44" ht="13">
      <c r="AB572" s="331" t="s">
        <v>17</v>
      </c>
      <c r="AC572" s="357">
        <f>SUM(AC566:AC571)</f>
        <v>7986090.6299999999</v>
      </c>
      <c r="AD572" s="357">
        <f>SUM(AD566:AD571)</f>
        <v>8141005.5699999994</v>
      </c>
      <c r="AE572" s="357">
        <f t="shared" si="250"/>
        <v>154914.93999999948</v>
      </c>
      <c r="AF572" s="358">
        <f t="shared" si="251"/>
        <v>1.9398094409053743E-2</v>
      </c>
    </row>
    <row r="574" spans="28:44" ht="13">
      <c r="AD574" s="184" t="s">
        <v>321</v>
      </c>
      <c r="AE574" s="359">
        <f>+U12-T12</f>
        <v>154914.93999999948</v>
      </c>
      <c r="AG574" s="302" t="s">
        <v>331</v>
      </c>
      <c r="AH574" s="302"/>
      <c r="AI574" s="302"/>
      <c r="AJ574" s="235"/>
      <c r="AK574" s="260"/>
    </row>
    <row r="575" spans="28:44" s="194" customFormat="1" ht="59" customHeight="1">
      <c r="AG575" s="303" t="s">
        <v>236</v>
      </c>
      <c r="AH575" s="400" t="s">
        <v>237</v>
      </c>
      <c r="AI575" s="401"/>
      <c r="AJ575" s="301" t="s">
        <v>238</v>
      </c>
      <c r="AK575" s="400" t="s">
        <v>139</v>
      </c>
      <c r="AL575" s="401"/>
      <c r="AM575" s="400" t="s">
        <v>239</v>
      </c>
      <c r="AN575" s="401"/>
      <c r="AO575" s="400" t="s">
        <v>240</v>
      </c>
      <c r="AP575" s="401"/>
      <c r="AQ575" s="400" t="s">
        <v>241</v>
      </c>
      <c r="AR575" s="401"/>
    </row>
    <row r="576" spans="28:44" ht="13">
      <c r="AG576" s="397" t="str">
        <f>AG547</f>
        <v>Weather 
Normal Conversion 
Factor</v>
      </c>
      <c r="AH576" s="397"/>
      <c r="AI576" s="397"/>
      <c r="AJ576" s="397"/>
      <c r="AK576" s="397"/>
      <c r="AL576" s="397"/>
      <c r="AM576" s="261">
        <f>$F$280</f>
        <v>0.99981171627724397</v>
      </c>
      <c r="AN576" s="261">
        <f>$F$281</f>
        <v>1.0140593556301372</v>
      </c>
      <c r="AO576" s="398"/>
      <c r="AP576" s="398"/>
      <c r="AQ576" s="398"/>
      <c r="AR576" s="398"/>
    </row>
    <row r="577" spans="33:44" ht="25.5">
      <c r="AG577" s="304"/>
      <c r="AH577" s="265" t="str">
        <f>AC565</f>
        <v>2016 Actual</v>
      </c>
      <c r="AI577" s="265" t="str">
        <f>AD565</f>
        <v>2017 Actual</v>
      </c>
      <c r="AJ577" s="266"/>
      <c r="AK577" s="265" t="str">
        <f>AH577</f>
        <v>2016 Actual</v>
      </c>
      <c r="AL577" s="265" t="str">
        <f>AI577</f>
        <v>2017 Actual</v>
      </c>
      <c r="AM577" s="265" t="str">
        <f>AK577</f>
        <v>2016 Actual</v>
      </c>
      <c r="AN577" s="265" t="str">
        <f>AL577</f>
        <v>2017 Actual</v>
      </c>
      <c r="AO577" s="265" t="str">
        <f>AK577</f>
        <v>2016 Actual</v>
      </c>
      <c r="AP577" s="265" t="str">
        <f>AL577</f>
        <v>2017 Actual</v>
      </c>
      <c r="AQ577" s="265" t="str">
        <f>AM577</f>
        <v>2016 Actual</v>
      </c>
      <c r="AR577" s="265" t="str">
        <f>AN577</f>
        <v>2017 Actual</v>
      </c>
    </row>
    <row r="578" spans="33:44">
      <c r="AG578" s="305" t="str">
        <f t="shared" ref="AG578:AG583" si="256">AB566</f>
        <v xml:space="preserve">Residential </v>
      </c>
      <c r="AH578" s="256">
        <f>$S$416</f>
        <v>11078.416666666666</v>
      </c>
      <c r="AI578" s="256">
        <f>$T$416</f>
        <v>11168.75</v>
      </c>
      <c r="AJ578" s="267" t="str">
        <f t="shared" ref="AJ578:AJ583" si="257">AJ557</f>
        <v>kWh</v>
      </c>
      <c r="AK578" s="267">
        <f>$S$417</f>
        <v>104348161.31</v>
      </c>
      <c r="AL578" s="267">
        <f>$T$417</f>
        <v>103129632.00000001</v>
      </c>
      <c r="AM578" s="256">
        <f>AK578*AM576</f>
        <v>104328514.2497258</v>
      </c>
      <c r="AN578" s="256">
        <f>AL578*AN576</f>
        <v>104579568.17229319</v>
      </c>
      <c r="AO578" s="267">
        <f>AK578/AH578</f>
        <v>9419.0500727390354</v>
      </c>
      <c r="AP578" s="267">
        <f>AL578/AI578</f>
        <v>9233.7667151650821</v>
      </c>
      <c r="AQ578" s="267">
        <f>AM578/AH578</f>
        <v>9417.2766189265149</v>
      </c>
      <c r="AR578" s="267">
        <f>AN578/AI578</f>
        <v>9363.5875252193109</v>
      </c>
    </row>
    <row r="579" spans="33:44">
      <c r="AG579" s="305" t="str">
        <f t="shared" si="256"/>
        <v>General Service &lt; 50 kW</v>
      </c>
      <c r="AH579" s="256">
        <f>$S$420</f>
        <v>2137.6666666666665</v>
      </c>
      <c r="AI579" s="256">
        <f>$T$420</f>
        <v>2144.4166666666665</v>
      </c>
      <c r="AJ579" s="267" t="str">
        <f t="shared" si="257"/>
        <v>kWh</v>
      </c>
      <c r="AK579" s="268">
        <f>$S$421</f>
        <v>58168701.330000006</v>
      </c>
      <c r="AL579" s="268">
        <f>$T$421</f>
        <v>57585352</v>
      </c>
      <c r="AM579" s="256">
        <f>AK579*AM576</f>
        <v>58157749.110365711</v>
      </c>
      <c r="AN579" s="256">
        <f>AL579*AN576</f>
        <v>58394964.942854628</v>
      </c>
      <c r="AO579" s="267">
        <f t="shared" ref="AO579:AO582" si="258">AK579/AH579</f>
        <v>27211.30578356464</v>
      </c>
      <c r="AP579" s="267">
        <f t="shared" ref="AP579:AP583" si="259">AL579/AI579</f>
        <v>26853.620798196869</v>
      </c>
      <c r="AQ579" s="267">
        <f t="shared" ref="AQ579:AQ583" si="260">AM579/AH579</f>
        <v>27206.182337610659</v>
      </c>
      <c r="AR579" s="267">
        <f t="shared" ref="AR579:AR583" si="261">AN579/AI579</f>
        <v>27231.165402955565</v>
      </c>
    </row>
    <row r="580" spans="33:44">
      <c r="AG580" s="305" t="str">
        <f t="shared" si="256"/>
        <v>General Service 50 to 4,999 kW</v>
      </c>
      <c r="AH580" s="256">
        <f>$S$424</f>
        <v>149.33333333333334</v>
      </c>
      <c r="AI580" s="256">
        <f>$T$424</f>
        <v>137.91666666666666</v>
      </c>
      <c r="AJ580" s="267" t="str">
        <f t="shared" si="257"/>
        <v>kW</v>
      </c>
      <c r="AK580" s="268">
        <f>$S$426</f>
        <v>283796.43</v>
      </c>
      <c r="AL580" s="268">
        <f>$T$426</f>
        <v>279963</v>
      </c>
      <c r="AM580" s="256">
        <f>AK580*AM576</f>
        <v>283742.99575165473</v>
      </c>
      <c r="AN580" s="256">
        <f>AL580*AN576</f>
        <v>283899.09938028007</v>
      </c>
      <c r="AO580" s="267">
        <f t="shared" si="258"/>
        <v>1900.4225223214285</v>
      </c>
      <c r="AP580" s="267">
        <f t="shared" si="259"/>
        <v>2029.9432024169187</v>
      </c>
      <c r="AQ580" s="267">
        <f t="shared" si="260"/>
        <v>1900.0647036941164</v>
      </c>
      <c r="AR580" s="267">
        <f t="shared" si="261"/>
        <v>2058.4828958086773</v>
      </c>
    </row>
    <row r="581" spans="33:44">
      <c r="AG581" s="305" t="str">
        <f t="shared" si="256"/>
        <v>Sentinel Lights</v>
      </c>
      <c r="AH581" s="256">
        <f>$S$429</f>
        <v>52.333333333333336</v>
      </c>
      <c r="AI581" s="256">
        <f>$T$429</f>
        <v>45.5</v>
      </c>
      <c r="AJ581" s="267" t="str">
        <f t="shared" si="257"/>
        <v>kW</v>
      </c>
      <c r="AK581" s="268">
        <f>$S$431</f>
        <v>135.40497222222223</v>
      </c>
      <c r="AL581" s="268">
        <f>$T$431</f>
        <v>122.87111111111111</v>
      </c>
      <c r="AM581" s="256">
        <f>AK581*AM576</f>
        <v>135.37947766997254</v>
      </c>
      <c r="AN581" s="256">
        <f>AL581*AN576</f>
        <v>124.59859975889232</v>
      </c>
      <c r="AO581" s="267">
        <f t="shared" si="258"/>
        <v>2.5873561571125263</v>
      </c>
      <c r="AP581" s="267">
        <f t="shared" si="259"/>
        <v>2.7004639804639803</v>
      </c>
      <c r="AQ581" s="267">
        <f t="shared" si="260"/>
        <v>2.5868690000631696</v>
      </c>
      <c r="AR581" s="267">
        <f t="shared" si="261"/>
        <v>2.7384307639316994</v>
      </c>
    </row>
    <row r="582" spans="33:44">
      <c r="AG582" s="305" t="str">
        <f t="shared" si="256"/>
        <v>Street Lights</v>
      </c>
      <c r="AH582" s="256">
        <f>$S$434</f>
        <v>2679.1666666666665</v>
      </c>
      <c r="AI582" s="256">
        <f>$T$434</f>
        <v>2848.3333333333335</v>
      </c>
      <c r="AJ582" s="267" t="str">
        <f t="shared" si="257"/>
        <v>kW</v>
      </c>
      <c r="AK582" s="268">
        <f>$S$436</f>
        <v>3094.0399999999995</v>
      </c>
      <c r="AL582" s="268">
        <f>$T$436</f>
        <v>3196.56</v>
      </c>
      <c r="AM582" s="256">
        <f>AK582*AM576</f>
        <v>3093.4574426304434</v>
      </c>
      <c r="AN582" s="256">
        <f>AL582*AN576</f>
        <v>3241.5015738330712</v>
      </c>
      <c r="AO582" s="267">
        <f t="shared" si="258"/>
        <v>1.1548516329704508</v>
      </c>
      <c r="AP582" s="267">
        <f t="shared" si="259"/>
        <v>1.1222562902282036</v>
      </c>
      <c r="AQ582" s="267">
        <f t="shared" si="260"/>
        <v>1.1546341932057644</v>
      </c>
      <c r="AR582" s="267">
        <f t="shared" si="261"/>
        <v>1.1380344905206803</v>
      </c>
    </row>
    <row r="583" spans="33:44">
      <c r="AG583" s="305" t="str">
        <f t="shared" si="256"/>
        <v xml:space="preserve">Unmetered Scattered Loads </v>
      </c>
      <c r="AH583" s="256">
        <f>$S$439</f>
        <v>51</v>
      </c>
      <c r="AI583" s="256">
        <f>$T$439</f>
        <v>51</v>
      </c>
      <c r="AJ583" s="267" t="str">
        <f t="shared" si="257"/>
        <v>kWh</v>
      </c>
      <c r="AK583" s="268">
        <f>$S$440</f>
        <v>166068</v>
      </c>
      <c r="AL583" s="268">
        <f>$T$440</f>
        <v>166068</v>
      </c>
      <c r="AM583" s="256">
        <f>AK583*AM576</f>
        <v>166036.73209872935</v>
      </c>
      <c r="AN583" s="256">
        <f>AL583*AN576</f>
        <v>168402.80907078562</v>
      </c>
      <c r="AO583" s="267">
        <f>AK583/AH583</f>
        <v>3256.2352941176468</v>
      </c>
      <c r="AP583" s="267">
        <f t="shared" si="259"/>
        <v>3256.2352941176468</v>
      </c>
      <c r="AQ583" s="267">
        <f t="shared" si="260"/>
        <v>3255.6221980143009</v>
      </c>
      <c r="AR583" s="267">
        <f t="shared" si="261"/>
        <v>3302.0158641330513</v>
      </c>
    </row>
    <row r="584" spans="33:44">
      <c r="AG584" s="305" t="s">
        <v>10</v>
      </c>
      <c r="AH584" s="256">
        <f>SUM(AH578:AH583)</f>
        <v>16147.916666666666</v>
      </c>
      <c r="AI584" s="256">
        <f>SUM(AI578:AI583)</f>
        <v>16395.916666666664</v>
      </c>
      <c r="AJ584" s="267"/>
      <c r="AK584" s="268"/>
      <c r="AL584" s="268"/>
      <c r="AM584" s="268"/>
      <c r="AN584" s="268"/>
      <c r="AO584" s="268"/>
      <c r="AP584" s="268"/>
      <c r="AQ584" s="268"/>
      <c r="AR584" s="268"/>
    </row>
    <row r="585" spans="33:44" customFormat="1">
      <c r="AG585" s="252"/>
      <c r="AH585" s="399" t="s">
        <v>242</v>
      </c>
      <c r="AI585" s="399"/>
      <c r="AJ585" s="252"/>
      <c r="AK585" s="399" t="s">
        <v>242</v>
      </c>
      <c r="AL585" s="399"/>
      <c r="AM585" s="399" t="s">
        <v>242</v>
      </c>
      <c r="AN585" s="399"/>
      <c r="AO585" s="399" t="s">
        <v>242</v>
      </c>
      <c r="AP585" s="399"/>
      <c r="AQ585" s="399" t="s">
        <v>242</v>
      </c>
      <c r="AR585" s="399"/>
    </row>
    <row r="586" spans="33:44" customFormat="1">
      <c r="AG586" s="254" t="str">
        <f t="shared" ref="AG586:AG591" si="262">AG578</f>
        <v xml:space="preserve">Residential </v>
      </c>
      <c r="AH586" s="396">
        <f t="shared" ref="AH586:AH591" si="263">AI578-AH578</f>
        <v>90.33333333333394</v>
      </c>
      <c r="AI586" s="396"/>
      <c r="AJ586" s="267" t="str">
        <f t="shared" ref="AJ586:AJ591" si="264">AJ578</f>
        <v>kWh</v>
      </c>
      <c r="AK586" s="396">
        <f t="shared" ref="AK586:AK591" si="265">AL578-AK578</f>
        <v>-1218529.3099999875</v>
      </c>
      <c r="AL586" s="396"/>
      <c r="AM586" s="396">
        <f t="shared" ref="AM586:AM591" si="266">AN578-AM578</f>
        <v>251053.92256738245</v>
      </c>
      <c r="AN586" s="396"/>
      <c r="AO586" s="396">
        <f t="shared" ref="AO586:AO591" si="267">AP578-AO578</f>
        <v>-185.28335757395325</v>
      </c>
      <c r="AP586" s="396"/>
      <c r="AQ586" s="396">
        <f t="shared" ref="AQ586:AQ591" si="268">AR578-AQ578</f>
        <v>-53.689093707203938</v>
      </c>
      <c r="AR586" s="396"/>
    </row>
    <row r="587" spans="33:44" customFormat="1">
      <c r="AG587" s="254" t="str">
        <f t="shared" si="262"/>
        <v>General Service &lt; 50 kW</v>
      </c>
      <c r="AH587" s="396">
        <f t="shared" si="263"/>
        <v>6.75</v>
      </c>
      <c r="AI587" s="396"/>
      <c r="AJ587" s="267" t="str">
        <f t="shared" si="264"/>
        <v>kWh</v>
      </c>
      <c r="AK587" s="396">
        <f t="shared" si="265"/>
        <v>-583349.33000000566</v>
      </c>
      <c r="AL587" s="396"/>
      <c r="AM587" s="396">
        <f t="shared" si="266"/>
        <v>237215.83248891681</v>
      </c>
      <c r="AN587" s="396"/>
      <c r="AO587" s="396">
        <f t="shared" si="267"/>
        <v>-357.68498536777042</v>
      </c>
      <c r="AP587" s="396"/>
      <c r="AQ587" s="396">
        <f t="shared" si="268"/>
        <v>24.983065344906208</v>
      </c>
      <c r="AR587" s="396"/>
    </row>
    <row r="588" spans="33:44" customFormat="1">
      <c r="AG588" s="254" t="str">
        <f t="shared" si="262"/>
        <v>General Service 50 to 4,999 kW</v>
      </c>
      <c r="AH588" s="396">
        <f t="shared" si="263"/>
        <v>-11.416666666666686</v>
      </c>
      <c r="AI588" s="396"/>
      <c r="AJ588" s="267" t="str">
        <f t="shared" si="264"/>
        <v>kW</v>
      </c>
      <c r="AK588" s="396">
        <f t="shared" si="265"/>
        <v>-3833.429999999993</v>
      </c>
      <c r="AL588" s="396"/>
      <c r="AM588" s="396">
        <f t="shared" si="266"/>
        <v>156.10362862533657</v>
      </c>
      <c r="AN588" s="396"/>
      <c r="AO588" s="396">
        <f t="shared" si="267"/>
        <v>129.52068009549021</v>
      </c>
      <c r="AP588" s="396"/>
      <c r="AQ588" s="396">
        <f t="shared" si="268"/>
        <v>158.41819211456095</v>
      </c>
      <c r="AR588" s="396"/>
    </row>
    <row r="589" spans="33:44" customFormat="1">
      <c r="AG589" s="254" t="str">
        <f t="shared" si="262"/>
        <v>Sentinel Lights</v>
      </c>
      <c r="AH589" s="396">
        <f t="shared" si="263"/>
        <v>-6.8333333333333357</v>
      </c>
      <c r="AI589" s="396"/>
      <c r="AJ589" s="267" t="str">
        <f t="shared" si="264"/>
        <v>kW</v>
      </c>
      <c r="AK589" s="396">
        <f t="shared" si="265"/>
        <v>-12.533861111111122</v>
      </c>
      <c r="AL589" s="396"/>
      <c r="AM589" s="396">
        <f t="shared" si="266"/>
        <v>-10.780877911080225</v>
      </c>
      <c r="AN589" s="396"/>
      <c r="AO589" s="396">
        <f t="shared" si="267"/>
        <v>0.11310782335145397</v>
      </c>
      <c r="AP589" s="396"/>
      <c r="AQ589" s="396">
        <f t="shared" si="268"/>
        <v>0.15156176386852982</v>
      </c>
      <c r="AR589" s="396"/>
    </row>
    <row r="590" spans="33:44" customFormat="1">
      <c r="AG590" s="254" t="str">
        <f t="shared" si="262"/>
        <v>Street Lights</v>
      </c>
      <c r="AH590" s="396">
        <f t="shared" si="263"/>
        <v>169.16666666666697</v>
      </c>
      <c r="AI590" s="396"/>
      <c r="AJ590" s="267" t="str">
        <f t="shared" si="264"/>
        <v>kW</v>
      </c>
      <c r="AK590" s="396">
        <f t="shared" si="265"/>
        <v>102.52000000000044</v>
      </c>
      <c r="AL590" s="396"/>
      <c r="AM590" s="396">
        <f t="shared" si="266"/>
        <v>148.0441312026278</v>
      </c>
      <c r="AN590" s="396"/>
      <c r="AO590" s="396">
        <f t="shared" si="267"/>
        <v>-3.259534274224718E-2</v>
      </c>
      <c r="AP590" s="396"/>
      <c r="AQ590" s="396">
        <f t="shared" si="268"/>
        <v>-1.659970268508415E-2</v>
      </c>
      <c r="AR590" s="396"/>
    </row>
    <row r="591" spans="33:44" customFormat="1">
      <c r="AG591" s="254" t="str">
        <f t="shared" si="262"/>
        <v xml:space="preserve">Unmetered Scattered Loads </v>
      </c>
      <c r="AH591" s="396">
        <f t="shared" si="263"/>
        <v>0</v>
      </c>
      <c r="AI591" s="396"/>
      <c r="AJ591" s="267" t="str">
        <f t="shared" si="264"/>
        <v>kWh</v>
      </c>
      <c r="AK591" s="396">
        <f t="shared" si="265"/>
        <v>0</v>
      </c>
      <c r="AL591" s="396"/>
      <c r="AM591" s="396">
        <f t="shared" si="266"/>
        <v>2366.0769720562676</v>
      </c>
      <c r="AN591" s="396"/>
      <c r="AO591" s="396">
        <f t="shared" si="267"/>
        <v>0</v>
      </c>
      <c r="AP591" s="396"/>
      <c r="AQ591" s="396">
        <f t="shared" si="268"/>
        <v>46.393666118750389</v>
      </c>
      <c r="AR591" s="396"/>
    </row>
    <row r="592" spans="33:44" customFormat="1"/>
    <row r="593" spans="28:44" ht="13">
      <c r="AB593" s="302" t="s">
        <v>332</v>
      </c>
      <c r="AC593" s="302"/>
      <c r="AD593" s="302"/>
      <c r="AE593" s="235"/>
      <c r="AF593" s="235"/>
      <c r="AJ593"/>
    </row>
    <row r="594" spans="28:44" s="194" customFormat="1" ht="13">
      <c r="AB594" s="330" t="s">
        <v>174</v>
      </c>
      <c r="AC594" s="301" t="s">
        <v>247</v>
      </c>
      <c r="AD594" s="301" t="s">
        <v>191</v>
      </c>
      <c r="AE594" s="301" t="s">
        <v>234</v>
      </c>
      <c r="AF594" s="301" t="s">
        <v>235</v>
      </c>
      <c r="AJ594"/>
    </row>
    <row r="595" spans="28:44">
      <c r="AB595" s="305" t="str">
        <f>AB566</f>
        <v xml:space="preserve">Residential </v>
      </c>
      <c r="AC595" s="258">
        <f>+U5</f>
        <v>4847250.92</v>
      </c>
      <c r="AD595" s="379">
        <f>+V5</f>
        <v>4499738.29</v>
      </c>
      <c r="AE595" s="258">
        <f>AD595-AC595</f>
        <v>-347512.62999999989</v>
      </c>
      <c r="AF595" s="259">
        <f>AE595/AC595</f>
        <v>-7.1692725574850139E-2</v>
      </c>
      <c r="AJ595"/>
    </row>
    <row r="596" spans="28:44">
      <c r="AB596" s="305" t="str">
        <f t="shared" ref="AB596:AB600" si="269">AB567</f>
        <v>General Service &lt; 50 kW</v>
      </c>
      <c r="AC596" s="258">
        <f t="shared" ref="AC596:AC600" si="270">+U6</f>
        <v>1783085.38</v>
      </c>
      <c r="AD596" s="379">
        <f t="shared" ref="AD596:AD600" si="271">+V6</f>
        <v>1720733.66</v>
      </c>
      <c r="AE596" s="258">
        <f t="shared" ref="AE596:AE601" si="272">AD596-AC596</f>
        <v>-62351.719999999972</v>
      </c>
      <c r="AF596" s="259">
        <f t="shared" ref="AF596:AF601" si="273">AE596/AC596</f>
        <v>-3.4968443294622252E-2</v>
      </c>
      <c r="AJ596"/>
    </row>
    <row r="597" spans="28:44">
      <c r="AB597" s="305" t="str">
        <f t="shared" si="269"/>
        <v>General Service 50 to 4,999 kW</v>
      </c>
      <c r="AC597" s="258">
        <f t="shared" si="270"/>
        <v>1268340.22</v>
      </c>
      <c r="AD597" s="379">
        <f t="shared" si="271"/>
        <v>1259359.27</v>
      </c>
      <c r="AE597" s="258">
        <f t="shared" si="272"/>
        <v>-8980.9499999999534</v>
      </c>
      <c r="AF597" s="259">
        <f t="shared" si="273"/>
        <v>-7.0808682547336974E-3</v>
      </c>
      <c r="AJ597"/>
    </row>
    <row r="598" spans="28:44">
      <c r="AB598" s="305" t="str">
        <f t="shared" si="269"/>
        <v>Sentinel Lights</v>
      </c>
      <c r="AC598" s="258">
        <f t="shared" si="270"/>
        <v>6089.83</v>
      </c>
      <c r="AD598" s="379">
        <f t="shared" si="271"/>
        <v>6156.9</v>
      </c>
      <c r="AE598" s="258">
        <f t="shared" si="272"/>
        <v>67.069999999999709</v>
      </c>
      <c r="AF598" s="259">
        <f t="shared" si="273"/>
        <v>1.1013443725030044E-2</v>
      </c>
      <c r="AJ598"/>
    </row>
    <row r="599" spans="28:44">
      <c r="AB599" s="305" t="str">
        <f t="shared" si="269"/>
        <v>Street Lights</v>
      </c>
      <c r="AC599" s="258">
        <f t="shared" si="270"/>
        <v>217360.31</v>
      </c>
      <c r="AD599" s="379">
        <f t="shared" si="271"/>
        <v>236895.31</v>
      </c>
      <c r="AE599" s="258">
        <f t="shared" si="272"/>
        <v>19535</v>
      </c>
      <c r="AF599" s="259">
        <f t="shared" si="273"/>
        <v>8.9873813669110056E-2</v>
      </c>
    </row>
    <row r="600" spans="28:44">
      <c r="AB600" s="305" t="str">
        <f t="shared" si="269"/>
        <v xml:space="preserve">Unmetered Scattered Loads </v>
      </c>
      <c r="AC600" s="258">
        <f t="shared" si="270"/>
        <v>18878.91</v>
      </c>
      <c r="AD600" s="379">
        <f t="shared" si="271"/>
        <v>9001.3700000000008</v>
      </c>
      <c r="AE600" s="258">
        <f t="shared" si="272"/>
        <v>-9877.5399999999991</v>
      </c>
      <c r="AF600" s="259">
        <f t="shared" si="273"/>
        <v>-0.52320499435613599</v>
      </c>
    </row>
    <row r="601" spans="28:44" ht="13">
      <c r="AB601" s="331" t="s">
        <v>17</v>
      </c>
      <c r="AC601" s="357">
        <f>SUM(AC595:AC600)</f>
        <v>8141005.5699999994</v>
      </c>
      <c r="AD601" s="357">
        <f>SUM(AD595:AD600)</f>
        <v>7731884.8000000007</v>
      </c>
      <c r="AE601" s="357">
        <f t="shared" si="272"/>
        <v>-409120.76999999862</v>
      </c>
      <c r="AF601" s="358">
        <f t="shared" si="273"/>
        <v>-5.0254328716790038E-2</v>
      </c>
    </row>
    <row r="603" spans="28:44" ht="13">
      <c r="AD603" s="184" t="s">
        <v>321</v>
      </c>
      <c r="AE603" s="359">
        <f>+V12-U12</f>
        <v>-409120.76999999862</v>
      </c>
      <c r="AG603" s="302" t="s">
        <v>333</v>
      </c>
      <c r="AH603" s="302"/>
      <c r="AI603" s="302"/>
      <c r="AJ603" s="235"/>
      <c r="AK603" s="260"/>
    </row>
    <row r="604" spans="28:44" s="194" customFormat="1" ht="59" customHeight="1">
      <c r="AG604" s="303" t="s">
        <v>236</v>
      </c>
      <c r="AH604" s="400" t="s">
        <v>237</v>
      </c>
      <c r="AI604" s="401"/>
      <c r="AJ604" s="301" t="s">
        <v>238</v>
      </c>
      <c r="AK604" s="400" t="s">
        <v>139</v>
      </c>
      <c r="AL604" s="401"/>
      <c r="AM604" s="400" t="s">
        <v>239</v>
      </c>
      <c r="AN604" s="401"/>
      <c r="AO604" s="400" t="s">
        <v>240</v>
      </c>
      <c r="AP604" s="401"/>
      <c r="AQ604" s="400" t="s">
        <v>241</v>
      </c>
      <c r="AR604" s="401"/>
    </row>
    <row r="605" spans="28:44" ht="13">
      <c r="AG605" s="397" t="str">
        <f>AG576</f>
        <v>Weather 
Normal Conversion 
Factor</v>
      </c>
      <c r="AH605" s="397"/>
      <c r="AI605" s="397"/>
      <c r="AJ605" s="397"/>
      <c r="AK605" s="397"/>
      <c r="AL605" s="397"/>
      <c r="AM605" s="261">
        <f>$F$281</f>
        <v>1.0140593556301372</v>
      </c>
      <c r="AN605" s="261">
        <f>$F$282</f>
        <v>1</v>
      </c>
      <c r="AO605" s="398"/>
      <c r="AP605" s="398"/>
      <c r="AQ605" s="398"/>
      <c r="AR605" s="398"/>
    </row>
    <row r="606" spans="28:44" ht="25.5">
      <c r="AG606" s="304"/>
      <c r="AH606" s="265" t="str">
        <f>AC594</f>
        <v>2017 Actual</v>
      </c>
      <c r="AI606" s="265" t="str">
        <f>AD594</f>
        <v>2018 Bridge</v>
      </c>
      <c r="AJ606" s="266"/>
      <c r="AK606" s="265" t="str">
        <f>AH606</f>
        <v>2017 Actual</v>
      </c>
      <c r="AL606" s="265" t="str">
        <f>AI606</f>
        <v>2018 Bridge</v>
      </c>
      <c r="AM606" s="265" t="str">
        <f>AK606</f>
        <v>2017 Actual</v>
      </c>
      <c r="AN606" s="265" t="str">
        <f>AL606</f>
        <v>2018 Bridge</v>
      </c>
      <c r="AO606" s="265" t="str">
        <f>AK606</f>
        <v>2017 Actual</v>
      </c>
      <c r="AP606" s="265" t="str">
        <f>AL606</f>
        <v>2018 Bridge</v>
      </c>
      <c r="AQ606" s="265" t="str">
        <f>AM606</f>
        <v>2017 Actual</v>
      </c>
      <c r="AR606" s="265" t="str">
        <f>AN606</f>
        <v>2018 Bridge</v>
      </c>
    </row>
    <row r="607" spans="28:44">
      <c r="AG607" s="305" t="str">
        <f t="shared" ref="AG607:AG612" si="274">AB595</f>
        <v xml:space="preserve">Residential </v>
      </c>
      <c r="AH607" s="256">
        <f>$T$416</f>
        <v>11168.75</v>
      </c>
      <c r="AI607" s="256">
        <f>$U$416</f>
        <v>11208</v>
      </c>
      <c r="AJ607" s="267" t="s">
        <v>107</v>
      </c>
      <c r="AK607" s="267">
        <f>$T$417</f>
        <v>103129632.00000001</v>
      </c>
      <c r="AL607" s="267">
        <f>$U$417</f>
        <v>105412758.65379637</v>
      </c>
      <c r="AM607" s="256">
        <f>AK607*AM605</f>
        <v>104579568.17229319</v>
      </c>
      <c r="AN607" s="256">
        <f>AL607*AN605</f>
        <v>105412758.65379637</v>
      </c>
      <c r="AO607" s="267">
        <f>AK607/AH607</f>
        <v>9233.7667151650821</v>
      </c>
      <c r="AP607" s="267">
        <f>AL607/AI607</f>
        <v>9405.135497305173</v>
      </c>
      <c r="AQ607" s="267">
        <f>AM607/AH607</f>
        <v>9363.5875252193109</v>
      </c>
      <c r="AR607" s="267">
        <f>AN607/AI607</f>
        <v>9405.135497305173</v>
      </c>
    </row>
    <row r="608" spans="28:44">
      <c r="AG608" s="305" t="str">
        <f t="shared" si="274"/>
        <v>General Service &lt; 50 kW</v>
      </c>
      <c r="AH608" s="256">
        <f>$T$420</f>
        <v>2144.4166666666665</v>
      </c>
      <c r="AI608" s="256">
        <f>$U$420</f>
        <v>2148</v>
      </c>
      <c r="AJ608" s="267" t="s">
        <v>107</v>
      </c>
      <c r="AK608" s="268">
        <f>$T$421</f>
        <v>57585352</v>
      </c>
      <c r="AL608" s="268">
        <f>$U$421</f>
        <v>58910419.30617138</v>
      </c>
      <c r="AM608" s="256">
        <f>AK608*AM605</f>
        <v>58394964.942854628</v>
      </c>
      <c r="AN608" s="256">
        <f>AL608*AN605</f>
        <v>58910419.30617138</v>
      </c>
      <c r="AO608" s="267">
        <f t="shared" ref="AO608:AO612" si="275">AK608/AH608</f>
        <v>26853.620798196869</v>
      </c>
      <c r="AP608" s="267">
        <f t="shared" ref="AP608:AP612" si="276">AL608/AI608</f>
        <v>27425.707311997849</v>
      </c>
      <c r="AQ608" s="267">
        <f t="shared" ref="AQ608:AQ612" si="277">AM608/AH608</f>
        <v>27231.165402955565</v>
      </c>
      <c r="AR608" s="267">
        <f t="shared" ref="AR608:AR612" si="278">AN608/AI608</f>
        <v>27425.707311997849</v>
      </c>
    </row>
    <row r="609" spans="28:44">
      <c r="AG609" s="305" t="str">
        <f t="shared" si="274"/>
        <v>General Service 50 to 4,999 kW</v>
      </c>
      <c r="AH609" s="256">
        <f>$T$424</f>
        <v>137.91666666666666</v>
      </c>
      <c r="AI609" s="256">
        <f>$U$424</f>
        <v>136</v>
      </c>
      <c r="AJ609" s="267" t="s">
        <v>128</v>
      </c>
      <c r="AK609" s="268">
        <f>$T$426</f>
        <v>279963</v>
      </c>
      <c r="AL609" s="268">
        <f>$U$426</f>
        <v>282314.64167395374</v>
      </c>
      <c r="AM609" s="256">
        <f>AK609*AM605</f>
        <v>283899.09938028007</v>
      </c>
      <c r="AN609" s="256">
        <f>AL609*AN605</f>
        <v>282314.64167395374</v>
      </c>
      <c r="AO609" s="267">
        <f t="shared" si="275"/>
        <v>2029.9432024169187</v>
      </c>
      <c r="AP609" s="267">
        <f t="shared" si="276"/>
        <v>2075.8429534849538</v>
      </c>
      <c r="AQ609" s="267">
        <f t="shared" si="277"/>
        <v>2058.4828958086773</v>
      </c>
      <c r="AR609" s="267">
        <f t="shared" si="278"/>
        <v>2075.8429534849538</v>
      </c>
    </row>
    <row r="610" spans="28:44">
      <c r="AG610" s="305" t="str">
        <f t="shared" si="274"/>
        <v>Sentinel Lights</v>
      </c>
      <c r="AH610" s="256">
        <f>$T$429</f>
        <v>45.5</v>
      </c>
      <c r="AI610" s="256">
        <f>$U$429</f>
        <v>44</v>
      </c>
      <c r="AJ610" s="267" t="s">
        <v>128</v>
      </c>
      <c r="AK610" s="268">
        <f>$T$431</f>
        <v>122.87111111111111</v>
      </c>
      <c r="AL610" s="268">
        <f>$U$431</f>
        <v>119.48677026939222</v>
      </c>
      <c r="AM610" s="256">
        <f>AK610*AM605</f>
        <v>124.59859975889232</v>
      </c>
      <c r="AN610" s="256">
        <f>AL610*AN605</f>
        <v>119.48677026939222</v>
      </c>
      <c r="AO610" s="267">
        <f t="shared" si="275"/>
        <v>2.7004639804639803</v>
      </c>
      <c r="AP610" s="267">
        <f t="shared" si="276"/>
        <v>2.7156084152134596</v>
      </c>
      <c r="AQ610" s="267">
        <f t="shared" si="277"/>
        <v>2.7384307639316994</v>
      </c>
      <c r="AR610" s="267">
        <f t="shared" si="278"/>
        <v>2.7156084152134596</v>
      </c>
    </row>
    <row r="611" spans="28:44">
      <c r="AG611" s="305" t="str">
        <f t="shared" si="274"/>
        <v>Street Lights</v>
      </c>
      <c r="AH611" s="256">
        <f>$T$434</f>
        <v>2848.3333333333335</v>
      </c>
      <c r="AI611" s="256">
        <f>$U$434</f>
        <v>2849</v>
      </c>
      <c r="AJ611" s="267" t="s">
        <v>128</v>
      </c>
      <c r="AK611" s="268">
        <f>$T$436</f>
        <v>3196.56</v>
      </c>
      <c r="AL611" s="268">
        <f>$U$436</f>
        <v>3182.8403066540436</v>
      </c>
      <c r="AM611" s="256">
        <f>AK611*AM605</f>
        <v>3241.5015738330712</v>
      </c>
      <c r="AN611" s="256">
        <f>AL611*AN605</f>
        <v>3182.8403066540436</v>
      </c>
      <c r="AO611" s="267">
        <f t="shared" si="275"/>
        <v>1.1222562902282036</v>
      </c>
      <c r="AP611" s="267">
        <f t="shared" si="276"/>
        <v>1.117178064813634</v>
      </c>
      <c r="AQ611" s="267">
        <f t="shared" si="277"/>
        <v>1.1380344905206803</v>
      </c>
      <c r="AR611" s="267">
        <f t="shared" si="278"/>
        <v>1.117178064813634</v>
      </c>
    </row>
    <row r="612" spans="28:44">
      <c r="AG612" s="305" t="str">
        <f t="shared" si="274"/>
        <v xml:space="preserve">Unmetered Scattered Loads </v>
      </c>
      <c r="AH612" s="256">
        <f>$T$439</f>
        <v>51</v>
      </c>
      <c r="AI612" s="256">
        <f>$U$439</f>
        <v>51</v>
      </c>
      <c r="AJ612" s="267" t="s">
        <v>107</v>
      </c>
      <c r="AK612" s="268">
        <f>$T$440</f>
        <v>166068</v>
      </c>
      <c r="AL612" s="268">
        <f>$U$440</f>
        <v>166068</v>
      </c>
      <c r="AM612" s="256">
        <f>AK612*AM605</f>
        <v>168402.80907078562</v>
      </c>
      <c r="AN612" s="256">
        <f>AL612*AN605</f>
        <v>166068</v>
      </c>
      <c r="AO612" s="267">
        <f t="shared" si="275"/>
        <v>3256.2352941176468</v>
      </c>
      <c r="AP612" s="267">
        <f t="shared" si="276"/>
        <v>3256.2352941176468</v>
      </c>
      <c r="AQ612" s="267">
        <f t="shared" si="277"/>
        <v>3302.0158641330513</v>
      </c>
      <c r="AR612" s="267">
        <f t="shared" si="278"/>
        <v>3256.2352941176468</v>
      </c>
    </row>
    <row r="613" spans="28:44">
      <c r="AG613" s="305" t="s">
        <v>10</v>
      </c>
      <c r="AH613" s="256">
        <f>SUM(AH607:AH612)</f>
        <v>16395.916666666664</v>
      </c>
      <c r="AI613" s="256">
        <f>SUM(AI607:AI612)</f>
        <v>16436</v>
      </c>
      <c r="AJ613" s="267"/>
      <c r="AK613" s="268"/>
      <c r="AL613" s="268"/>
      <c r="AM613" s="268"/>
      <c r="AN613" s="268"/>
      <c r="AO613" s="268"/>
      <c r="AP613" s="268"/>
      <c r="AQ613" s="268"/>
      <c r="AR613" s="268"/>
    </row>
    <row r="614" spans="28:44" customFormat="1">
      <c r="AG614" s="252"/>
      <c r="AH614" s="399" t="s">
        <v>242</v>
      </c>
      <c r="AI614" s="399"/>
      <c r="AJ614" s="252"/>
      <c r="AK614" s="399" t="s">
        <v>242</v>
      </c>
      <c r="AL614" s="399"/>
      <c r="AM614" s="399" t="s">
        <v>242</v>
      </c>
      <c r="AN614" s="399"/>
      <c r="AO614" s="399" t="s">
        <v>242</v>
      </c>
      <c r="AP614" s="399"/>
      <c r="AQ614" s="399" t="s">
        <v>242</v>
      </c>
      <c r="AR614" s="399"/>
    </row>
    <row r="615" spans="28:44" customFormat="1">
      <c r="AG615" s="254" t="str">
        <f t="shared" ref="AG615:AG620" si="279">AG607</f>
        <v xml:space="preserve">Residential </v>
      </c>
      <c r="AH615" s="396">
        <f t="shared" ref="AH615:AH620" si="280">AI607-AH607</f>
        <v>39.25</v>
      </c>
      <c r="AI615" s="396"/>
      <c r="AJ615" s="267" t="s">
        <v>107</v>
      </c>
      <c r="AK615" s="396">
        <f t="shared" ref="AK615:AK620" si="281">AL607-AK607</f>
        <v>2283126.6537963599</v>
      </c>
      <c r="AL615" s="396"/>
      <c r="AM615" s="396">
        <f t="shared" ref="AM615:AM620" si="282">AN607-AM607</f>
        <v>833190.48150318861</v>
      </c>
      <c r="AN615" s="396"/>
      <c r="AO615" s="396">
        <f t="shared" ref="AO615:AO620" si="283">AP607-AO607</f>
        <v>171.36878214009084</v>
      </c>
      <c r="AP615" s="396"/>
      <c r="AQ615" s="396">
        <f t="shared" ref="AQ615:AQ620" si="284">AR607-AQ607</f>
        <v>41.547972085862057</v>
      </c>
      <c r="AR615" s="396"/>
    </row>
    <row r="616" spans="28:44" customFormat="1">
      <c r="AG616" s="254" t="str">
        <f t="shared" si="279"/>
        <v>General Service &lt; 50 kW</v>
      </c>
      <c r="AH616" s="396">
        <f t="shared" si="280"/>
        <v>3.5833333333334849</v>
      </c>
      <c r="AI616" s="396"/>
      <c r="AJ616" s="267" t="s">
        <v>107</v>
      </c>
      <c r="AK616" s="396">
        <f t="shared" si="281"/>
        <v>1325067.30617138</v>
      </c>
      <c r="AL616" s="396"/>
      <c r="AM616" s="396">
        <f t="shared" si="282"/>
        <v>515454.36331675202</v>
      </c>
      <c r="AN616" s="396"/>
      <c r="AO616" s="396">
        <f t="shared" si="283"/>
        <v>572.08651380097945</v>
      </c>
      <c r="AP616" s="396"/>
      <c r="AQ616" s="396">
        <f t="shared" si="284"/>
        <v>194.54190904228381</v>
      </c>
      <c r="AR616" s="396"/>
    </row>
    <row r="617" spans="28:44" customFormat="1">
      <c r="AG617" s="254" t="str">
        <f t="shared" si="279"/>
        <v>General Service 50 to 4,999 kW</v>
      </c>
      <c r="AH617" s="396">
        <f t="shared" si="280"/>
        <v>-1.9166666666666572</v>
      </c>
      <c r="AI617" s="396"/>
      <c r="AJ617" s="267" t="s">
        <v>128</v>
      </c>
      <c r="AK617" s="396">
        <f t="shared" si="281"/>
        <v>2351.6416739537381</v>
      </c>
      <c r="AL617" s="396"/>
      <c r="AM617" s="396">
        <f t="shared" si="282"/>
        <v>-1584.4577063263278</v>
      </c>
      <c r="AN617" s="396"/>
      <c r="AO617" s="396">
        <f t="shared" si="283"/>
        <v>45.89975106803513</v>
      </c>
      <c r="AP617" s="396"/>
      <c r="AQ617" s="396">
        <f t="shared" si="284"/>
        <v>17.360057676276483</v>
      </c>
      <c r="AR617" s="396"/>
    </row>
    <row r="618" spans="28:44" customFormat="1">
      <c r="AG618" s="254" t="str">
        <f t="shared" si="279"/>
        <v>Sentinel Lights</v>
      </c>
      <c r="AH618" s="396">
        <f t="shared" si="280"/>
        <v>-1.5</v>
      </c>
      <c r="AI618" s="396"/>
      <c r="AJ618" s="267" t="s">
        <v>128</v>
      </c>
      <c r="AK618" s="396">
        <f t="shared" si="281"/>
        <v>-3.3843408417188812</v>
      </c>
      <c r="AL618" s="396"/>
      <c r="AM618" s="396">
        <f t="shared" si="282"/>
        <v>-5.1118294895000957</v>
      </c>
      <c r="AN618" s="396"/>
      <c r="AO618" s="396">
        <f t="shared" si="283"/>
        <v>1.5144434749479352E-2</v>
      </c>
      <c r="AP618" s="396"/>
      <c r="AQ618" s="396">
        <f t="shared" si="284"/>
        <v>-2.2822348718239738E-2</v>
      </c>
      <c r="AR618" s="396"/>
    </row>
    <row r="619" spans="28:44" customFormat="1">
      <c r="AG619" s="254" t="str">
        <f t="shared" si="279"/>
        <v>Street Lights</v>
      </c>
      <c r="AH619" s="396">
        <f t="shared" si="280"/>
        <v>0.66666666666651508</v>
      </c>
      <c r="AI619" s="396"/>
      <c r="AJ619" s="267" t="s">
        <v>128</v>
      </c>
      <c r="AK619" s="396">
        <f t="shared" si="281"/>
        <v>-13.71969334595633</v>
      </c>
      <c r="AL619" s="396"/>
      <c r="AM619" s="396">
        <f t="shared" si="282"/>
        <v>-58.661267179027618</v>
      </c>
      <c r="AN619" s="396"/>
      <c r="AO619" s="396">
        <f t="shared" si="283"/>
        <v>-5.0782254145695926E-3</v>
      </c>
      <c r="AP619" s="396"/>
      <c r="AQ619" s="396">
        <f t="shared" si="284"/>
        <v>-2.0856425707046267E-2</v>
      </c>
      <c r="AR619" s="396"/>
    </row>
    <row r="620" spans="28:44" customFormat="1">
      <c r="AG620" s="254" t="str">
        <f t="shared" si="279"/>
        <v xml:space="preserve">Unmetered Scattered Loads </v>
      </c>
      <c r="AH620" s="396">
        <f t="shared" si="280"/>
        <v>0</v>
      </c>
      <c r="AI620" s="396"/>
      <c r="AJ620" s="267" t="s">
        <v>107</v>
      </c>
      <c r="AK620" s="396">
        <f t="shared" si="281"/>
        <v>0</v>
      </c>
      <c r="AL620" s="396"/>
      <c r="AM620" s="396">
        <f t="shared" si="282"/>
        <v>-2334.8090707856172</v>
      </c>
      <c r="AN620" s="396"/>
      <c r="AO620" s="396">
        <f t="shared" si="283"/>
        <v>0</v>
      </c>
      <c r="AP620" s="396"/>
      <c r="AQ620" s="396">
        <f t="shared" si="284"/>
        <v>-45.780570015404464</v>
      </c>
      <c r="AR620" s="396"/>
    </row>
    <row r="621" spans="28:44" customFormat="1"/>
    <row r="622" spans="28:44" ht="13">
      <c r="AB622" s="302" t="s">
        <v>342</v>
      </c>
      <c r="AC622" s="302"/>
      <c r="AD622" s="302"/>
      <c r="AE622" s="235"/>
      <c r="AF622" s="235"/>
      <c r="AJ622"/>
    </row>
    <row r="623" spans="28:44" s="194" customFormat="1" ht="33.65" customHeight="1">
      <c r="AB623" s="330" t="s">
        <v>174</v>
      </c>
      <c r="AC623" s="301" t="s">
        <v>191</v>
      </c>
      <c r="AD623" s="376" t="s">
        <v>345</v>
      </c>
      <c r="AE623" s="301" t="s">
        <v>234</v>
      </c>
      <c r="AF623" s="301" t="s">
        <v>235</v>
      </c>
      <c r="AJ623"/>
    </row>
    <row r="624" spans="28:44">
      <c r="AB624" s="305" t="str">
        <f>AB595</f>
        <v xml:space="preserve">Residential </v>
      </c>
      <c r="AC624" s="379">
        <f>+V5</f>
        <v>4499738.29</v>
      </c>
      <c r="AD624" s="379">
        <f>+W5</f>
        <v>4497024</v>
      </c>
      <c r="AE624" s="258">
        <f>AD624-AC624</f>
        <v>-2714.2900000000373</v>
      </c>
      <c r="AF624" s="259">
        <f>AE624/AC624</f>
        <v>-6.0321063694574047E-4</v>
      </c>
      <c r="AJ624"/>
    </row>
    <row r="625" spans="28:44">
      <c r="AB625" s="305" t="str">
        <f t="shared" ref="AB625:AB629" si="285">AB596</f>
        <v>General Service &lt; 50 kW</v>
      </c>
      <c r="AC625" s="379">
        <f t="shared" ref="AC625:AD625" si="286">+V6</f>
        <v>1720733.66</v>
      </c>
      <c r="AD625" s="379">
        <f t="shared" si="286"/>
        <v>1719597</v>
      </c>
      <c r="AE625" s="258">
        <f t="shared" ref="AE625:AE630" si="287">AD625-AC625</f>
        <v>-1136.6599999999162</v>
      </c>
      <c r="AF625" s="259">
        <f t="shared" ref="AF625:AF630" si="288">AE625/AC625</f>
        <v>-6.6056707462787488E-4</v>
      </c>
      <c r="AJ625"/>
    </row>
    <row r="626" spans="28:44">
      <c r="AB626" s="305" t="str">
        <f t="shared" si="285"/>
        <v>General Service 50 to 4,999 kW</v>
      </c>
      <c r="AC626" s="379">
        <f t="shared" ref="AC626:AD626" si="289">+V7</f>
        <v>1259359.27</v>
      </c>
      <c r="AD626" s="379">
        <f t="shared" si="289"/>
        <v>1248004</v>
      </c>
      <c r="AE626" s="258">
        <f t="shared" si="287"/>
        <v>-11355.270000000019</v>
      </c>
      <c r="AF626" s="259">
        <f t="shared" si="288"/>
        <v>-9.0167041848193321E-3</v>
      </c>
      <c r="AJ626"/>
    </row>
    <row r="627" spans="28:44">
      <c r="AB627" s="305" t="str">
        <f t="shared" si="285"/>
        <v>Sentinel Lights</v>
      </c>
      <c r="AC627" s="379">
        <f t="shared" ref="AC627:AD627" si="290">+V8</f>
        <v>6156.9</v>
      </c>
      <c r="AD627" s="379">
        <f t="shared" si="290"/>
        <v>6168</v>
      </c>
      <c r="AE627" s="258">
        <f t="shared" si="287"/>
        <v>11.100000000000364</v>
      </c>
      <c r="AF627" s="259">
        <f t="shared" si="288"/>
        <v>1.8028553330410376E-3</v>
      </c>
      <c r="AJ627"/>
    </row>
    <row r="628" spans="28:44">
      <c r="AB628" s="305" t="str">
        <f t="shared" si="285"/>
        <v>Street Lights</v>
      </c>
      <c r="AC628" s="379">
        <f t="shared" ref="AC628:AD628" si="291">+V9</f>
        <v>236895.31</v>
      </c>
      <c r="AD628" s="379">
        <f t="shared" si="291"/>
        <v>236893</v>
      </c>
      <c r="AE628" s="258">
        <f t="shared" si="287"/>
        <v>-2.3099999999976717</v>
      </c>
      <c r="AF628" s="259">
        <f t="shared" si="288"/>
        <v>-9.7511428149323505E-6</v>
      </c>
    </row>
    <row r="629" spans="28:44">
      <c r="AB629" s="305" t="str">
        <f t="shared" si="285"/>
        <v xml:space="preserve">Unmetered Scattered Loads </v>
      </c>
      <c r="AC629" s="379">
        <f t="shared" ref="AC629:AD629" si="292">+V10</f>
        <v>9001.3700000000008</v>
      </c>
      <c r="AD629" s="379">
        <f t="shared" si="292"/>
        <v>9001</v>
      </c>
      <c r="AE629" s="258">
        <f t="shared" si="287"/>
        <v>-0.37000000000080036</v>
      </c>
      <c r="AF629" s="259">
        <f t="shared" si="288"/>
        <v>-4.1104854038974101E-5</v>
      </c>
    </row>
    <row r="630" spans="28:44" ht="13">
      <c r="AB630" s="331" t="s">
        <v>17</v>
      </c>
      <c r="AC630" s="357">
        <f>SUM(AC624:AC629)</f>
        <v>7731884.8000000007</v>
      </c>
      <c r="AD630" s="357">
        <f>SUM(AD624:AD629)</f>
        <v>7716687</v>
      </c>
      <c r="AE630" s="357">
        <f t="shared" si="287"/>
        <v>-15197.800000000745</v>
      </c>
      <c r="AF630" s="358">
        <f t="shared" si="288"/>
        <v>-1.9656009360099033E-3</v>
      </c>
    </row>
    <row r="632" spans="28:44" ht="13">
      <c r="AD632" s="184" t="s">
        <v>321</v>
      </c>
      <c r="AE632" s="359">
        <f>+W12-V12</f>
        <v>-15197.800000000745</v>
      </c>
      <c r="AG632" s="302" t="s">
        <v>343</v>
      </c>
      <c r="AH632" s="302"/>
      <c r="AI632" s="302"/>
      <c r="AJ632" s="235"/>
      <c r="AK632" s="260"/>
    </row>
    <row r="633" spans="28:44" s="194" customFormat="1" ht="59" customHeight="1">
      <c r="AG633" s="303" t="s">
        <v>236</v>
      </c>
      <c r="AH633" s="400" t="s">
        <v>237</v>
      </c>
      <c r="AI633" s="401"/>
      <c r="AJ633" s="301" t="s">
        <v>238</v>
      </c>
      <c r="AK633" s="400" t="s">
        <v>139</v>
      </c>
      <c r="AL633" s="401"/>
      <c r="AM633" s="400" t="s">
        <v>239</v>
      </c>
      <c r="AN633" s="401"/>
      <c r="AO633" s="400" t="s">
        <v>240</v>
      </c>
      <c r="AP633" s="401"/>
      <c r="AQ633" s="400" t="s">
        <v>241</v>
      </c>
      <c r="AR633" s="401"/>
    </row>
    <row r="634" spans="28:44" ht="13">
      <c r="AG634" s="397" t="str">
        <f>AG605</f>
        <v>Weather 
Normal Conversion 
Factor</v>
      </c>
      <c r="AH634" s="397"/>
      <c r="AI634" s="397"/>
      <c r="AJ634" s="397"/>
      <c r="AK634" s="397"/>
      <c r="AL634" s="397"/>
      <c r="AM634" s="261">
        <f>$F$282</f>
        <v>1</v>
      </c>
      <c r="AN634" s="261">
        <f>$F$283</f>
        <v>1</v>
      </c>
      <c r="AO634" s="398"/>
      <c r="AP634" s="398"/>
      <c r="AQ634" s="398"/>
      <c r="AR634" s="398"/>
    </row>
    <row r="635" spans="28:44" ht="50.5">
      <c r="AG635" s="304"/>
      <c r="AH635" s="265" t="str">
        <f>AC623</f>
        <v>2018 Bridge</v>
      </c>
      <c r="AI635" s="265" t="str">
        <f>AD623</f>
        <v>2019 Test at Current Rates</v>
      </c>
      <c r="AJ635" s="266"/>
      <c r="AK635" s="265" t="str">
        <f>AH635</f>
        <v>2018 Bridge</v>
      </c>
      <c r="AL635" s="265" t="str">
        <f>AI635</f>
        <v>2019 Test at Current Rates</v>
      </c>
      <c r="AM635" s="265" t="str">
        <f>AK635</f>
        <v>2018 Bridge</v>
      </c>
      <c r="AN635" s="265" t="str">
        <f>AL635</f>
        <v>2019 Test at Current Rates</v>
      </c>
      <c r="AO635" s="265" t="str">
        <f>AK635</f>
        <v>2018 Bridge</v>
      </c>
      <c r="AP635" s="265" t="str">
        <f>AL635</f>
        <v>2019 Test at Current Rates</v>
      </c>
      <c r="AQ635" s="265" t="str">
        <f>AM635</f>
        <v>2018 Bridge</v>
      </c>
      <c r="AR635" s="265" t="str">
        <f>AN635</f>
        <v>2019 Test at Current Rates</v>
      </c>
    </row>
    <row r="636" spans="28:44">
      <c r="AG636" s="305" t="str">
        <f t="shared" ref="AG636:AG641" si="293">AB624</f>
        <v xml:space="preserve">Residential </v>
      </c>
      <c r="AH636" s="256">
        <f>$U$416</f>
        <v>11208</v>
      </c>
      <c r="AI636" s="256">
        <f>$V$416</f>
        <v>11208</v>
      </c>
      <c r="AJ636" s="267" t="s">
        <v>107</v>
      </c>
      <c r="AK636" s="267">
        <f>$U$417</f>
        <v>105412758.65379637</v>
      </c>
      <c r="AL636" s="267">
        <f>$V$417</f>
        <v>104688526.15422076</v>
      </c>
      <c r="AM636" s="256">
        <f>AK636*AM634</f>
        <v>105412758.65379637</v>
      </c>
      <c r="AN636" s="256">
        <f>AL636*AN634</f>
        <v>104688526.15422076</v>
      </c>
      <c r="AO636" s="267">
        <f>AK636/AH636</f>
        <v>9405.135497305173</v>
      </c>
      <c r="AP636" s="267">
        <f>AL636/AI636</f>
        <v>9340.5180366007098</v>
      </c>
      <c r="AQ636" s="267">
        <f>AM636/AH636</f>
        <v>9405.135497305173</v>
      </c>
      <c r="AR636" s="267">
        <f>AN636/AI636</f>
        <v>9340.5180366007098</v>
      </c>
    </row>
    <row r="637" spans="28:44">
      <c r="AG637" s="305" t="str">
        <f t="shared" si="293"/>
        <v>General Service &lt; 50 kW</v>
      </c>
      <c r="AH637" s="256">
        <f>$U$420</f>
        <v>2148</v>
      </c>
      <c r="AI637" s="256">
        <f>$V$420</f>
        <v>2148</v>
      </c>
      <c r="AJ637" s="267" t="s">
        <v>107</v>
      </c>
      <c r="AK637" s="268">
        <f>$U$421</f>
        <v>58910419.30617138</v>
      </c>
      <c r="AL637" s="268">
        <f>$V$421</f>
        <v>58782610.726187877</v>
      </c>
      <c r="AM637" s="256">
        <f>AK637*AM634</f>
        <v>58910419.30617138</v>
      </c>
      <c r="AN637" s="256">
        <f>AL637*AN634</f>
        <v>58782610.726187877</v>
      </c>
      <c r="AO637" s="267">
        <f t="shared" ref="AO637:AO641" si="294">AK637/AH637</f>
        <v>27425.707311997849</v>
      </c>
      <c r="AP637" s="267">
        <f t="shared" ref="AP637:AP641" si="295">AL637/AI637</f>
        <v>27366.206110888212</v>
      </c>
      <c r="AQ637" s="267">
        <f t="shared" ref="AQ637:AQ641" si="296">AM637/AH637</f>
        <v>27425.707311997849</v>
      </c>
      <c r="AR637" s="267">
        <f t="shared" ref="AR637:AR641" si="297">AN637/AI637</f>
        <v>27366.206110888212</v>
      </c>
    </row>
    <row r="638" spans="28:44">
      <c r="AG638" s="305" t="str">
        <f t="shared" si="293"/>
        <v>General Service 50 to 4,999 kW</v>
      </c>
      <c r="AH638" s="256">
        <f>$U$424</f>
        <v>136</v>
      </c>
      <c r="AI638" s="256">
        <f>$V$424</f>
        <v>136</v>
      </c>
      <c r="AJ638" s="267" t="s">
        <v>128</v>
      </c>
      <c r="AK638" s="268">
        <f>$U$426</f>
        <v>282314.64167395374</v>
      </c>
      <c r="AL638" s="268">
        <f>$V$426</f>
        <v>278374.18831233855</v>
      </c>
      <c r="AM638" s="256">
        <f>AK638*AM634</f>
        <v>282314.64167395374</v>
      </c>
      <c r="AN638" s="256">
        <f>AL638*AN634</f>
        <v>278374.18831233855</v>
      </c>
      <c r="AO638" s="267">
        <f t="shared" si="294"/>
        <v>2075.8429534849538</v>
      </c>
      <c r="AP638" s="267">
        <f t="shared" si="295"/>
        <v>2046.8690317083717</v>
      </c>
      <c r="AQ638" s="267">
        <f t="shared" si="296"/>
        <v>2075.8429534849538</v>
      </c>
      <c r="AR638" s="267">
        <f t="shared" si="297"/>
        <v>2046.8690317083717</v>
      </c>
    </row>
    <row r="639" spans="28:44">
      <c r="AG639" s="305" t="str">
        <f t="shared" si="293"/>
        <v>Sentinel Lights</v>
      </c>
      <c r="AH639" s="256">
        <f>$U$429</f>
        <v>44</v>
      </c>
      <c r="AI639" s="256">
        <f>$V$429</f>
        <v>44</v>
      </c>
      <c r="AJ639" s="267" t="s">
        <v>128</v>
      </c>
      <c r="AK639" s="268">
        <f>$U$431</f>
        <v>119.48677026939222</v>
      </c>
      <c r="AL639" s="268">
        <f>$V$431</f>
        <v>119.48677026939222</v>
      </c>
      <c r="AM639" s="256">
        <f>AK639*AM634</f>
        <v>119.48677026939222</v>
      </c>
      <c r="AN639" s="256">
        <f>AL639*AN634</f>
        <v>119.48677026939222</v>
      </c>
      <c r="AO639" s="267">
        <f t="shared" si="294"/>
        <v>2.7156084152134596</v>
      </c>
      <c r="AP639" s="267">
        <f t="shared" si="295"/>
        <v>2.7156084152134596</v>
      </c>
      <c r="AQ639" s="267">
        <f t="shared" si="296"/>
        <v>2.7156084152134596</v>
      </c>
      <c r="AR639" s="267">
        <f t="shared" si="297"/>
        <v>2.7156084152134596</v>
      </c>
    </row>
    <row r="640" spans="28:44">
      <c r="AG640" s="305" t="str">
        <f t="shared" si="293"/>
        <v>Street Lights</v>
      </c>
      <c r="AH640" s="256">
        <f>$U$434</f>
        <v>2849</v>
      </c>
      <c r="AI640" s="256">
        <f>$V$434</f>
        <v>2849</v>
      </c>
      <c r="AJ640" s="267" t="s">
        <v>128</v>
      </c>
      <c r="AK640" s="268">
        <f>$U$436</f>
        <v>3182.8403066540436</v>
      </c>
      <c r="AL640" s="268">
        <f>$V$436</f>
        <v>3182.8403066540436</v>
      </c>
      <c r="AM640" s="256">
        <f>AK640*AM634</f>
        <v>3182.8403066540436</v>
      </c>
      <c r="AN640" s="256">
        <f>AL640*AN634</f>
        <v>3182.8403066540436</v>
      </c>
      <c r="AO640" s="267">
        <f t="shared" si="294"/>
        <v>1.117178064813634</v>
      </c>
      <c r="AP640" s="267">
        <f t="shared" si="295"/>
        <v>1.117178064813634</v>
      </c>
      <c r="AQ640" s="267">
        <f t="shared" si="296"/>
        <v>1.117178064813634</v>
      </c>
      <c r="AR640" s="267">
        <f t="shared" si="297"/>
        <v>1.117178064813634</v>
      </c>
    </row>
    <row r="641" spans="28:44">
      <c r="AG641" s="305" t="str">
        <f t="shared" si="293"/>
        <v xml:space="preserve">Unmetered Scattered Loads </v>
      </c>
      <c r="AH641" s="256">
        <f>$U$439</f>
        <v>51</v>
      </c>
      <c r="AI641" s="256">
        <f>$V$439</f>
        <v>51</v>
      </c>
      <c r="AJ641" s="267" t="s">
        <v>107</v>
      </c>
      <c r="AK641" s="268">
        <f>$U$440</f>
        <v>166068</v>
      </c>
      <c r="AL641" s="268">
        <f>$V$440</f>
        <v>166068</v>
      </c>
      <c r="AM641" s="256">
        <f>AK641*AM634</f>
        <v>166068</v>
      </c>
      <c r="AN641" s="256">
        <f>AL641*AN634</f>
        <v>166068</v>
      </c>
      <c r="AO641" s="267">
        <f t="shared" si="294"/>
        <v>3256.2352941176468</v>
      </c>
      <c r="AP641" s="267">
        <f t="shared" si="295"/>
        <v>3256.2352941176468</v>
      </c>
      <c r="AQ641" s="267">
        <f t="shared" si="296"/>
        <v>3256.2352941176468</v>
      </c>
      <c r="AR641" s="267">
        <f t="shared" si="297"/>
        <v>3256.2352941176468</v>
      </c>
    </row>
    <row r="642" spans="28:44">
      <c r="AG642" s="305" t="s">
        <v>10</v>
      </c>
      <c r="AH642" s="256">
        <f>SUM(AH636:AH641)</f>
        <v>16436</v>
      </c>
      <c r="AI642" s="256">
        <f>SUM(AI636:AI641)</f>
        <v>16436</v>
      </c>
      <c r="AJ642" s="267"/>
      <c r="AK642" s="268"/>
      <c r="AL642" s="268"/>
      <c r="AM642" s="268"/>
      <c r="AN642" s="268"/>
      <c r="AO642" s="268"/>
      <c r="AP642" s="268"/>
      <c r="AQ642" s="268"/>
      <c r="AR642" s="268"/>
    </row>
    <row r="643" spans="28:44" customFormat="1">
      <c r="AG643" s="252"/>
      <c r="AH643" s="399" t="s">
        <v>242</v>
      </c>
      <c r="AI643" s="399"/>
      <c r="AJ643" s="252"/>
      <c r="AK643" s="399" t="s">
        <v>242</v>
      </c>
      <c r="AL643" s="399"/>
      <c r="AM643" s="399" t="s">
        <v>242</v>
      </c>
      <c r="AN643" s="399"/>
      <c r="AO643" s="399" t="s">
        <v>242</v>
      </c>
      <c r="AP643" s="399"/>
      <c r="AQ643" s="399" t="s">
        <v>242</v>
      </c>
      <c r="AR643" s="399"/>
    </row>
    <row r="644" spans="28:44" customFormat="1">
      <c r="AG644" s="254" t="str">
        <f t="shared" ref="AG644:AG649" si="298">AG636</f>
        <v xml:space="preserve">Residential </v>
      </c>
      <c r="AH644" s="396">
        <f t="shared" ref="AH644:AH649" si="299">AI636-AH636</f>
        <v>0</v>
      </c>
      <c r="AI644" s="396"/>
      <c r="AJ644" s="267" t="s">
        <v>107</v>
      </c>
      <c r="AK644" s="396">
        <f t="shared" ref="AK644:AK649" si="300">AL636-AK636</f>
        <v>-724232.49957561493</v>
      </c>
      <c r="AL644" s="396"/>
      <c r="AM644" s="396">
        <f t="shared" ref="AM644:AM649" si="301">AN636-AM636</f>
        <v>-724232.49957561493</v>
      </c>
      <c r="AN644" s="396"/>
      <c r="AO644" s="396">
        <f t="shared" ref="AO644:AO649" si="302">AP636-AO636</f>
        <v>-64.617460704463156</v>
      </c>
      <c r="AP644" s="396"/>
      <c r="AQ644" s="396">
        <f t="shared" ref="AQ644:AQ649" si="303">AR636-AQ636</f>
        <v>-64.617460704463156</v>
      </c>
      <c r="AR644" s="396"/>
    </row>
    <row r="645" spans="28:44" customFormat="1">
      <c r="AG645" s="254" t="str">
        <f t="shared" si="298"/>
        <v>General Service &lt; 50 kW</v>
      </c>
      <c r="AH645" s="396">
        <f t="shared" si="299"/>
        <v>0</v>
      </c>
      <c r="AI645" s="396"/>
      <c r="AJ645" s="267" t="s">
        <v>107</v>
      </c>
      <c r="AK645" s="396">
        <f t="shared" si="300"/>
        <v>-127808.57998350263</v>
      </c>
      <c r="AL645" s="396"/>
      <c r="AM645" s="396">
        <f t="shared" si="301"/>
        <v>-127808.57998350263</v>
      </c>
      <c r="AN645" s="396"/>
      <c r="AO645" s="396">
        <f t="shared" si="302"/>
        <v>-59.501201109636895</v>
      </c>
      <c r="AP645" s="396"/>
      <c r="AQ645" s="396">
        <f t="shared" si="303"/>
        <v>-59.501201109636895</v>
      </c>
      <c r="AR645" s="396"/>
    </row>
    <row r="646" spans="28:44" customFormat="1">
      <c r="AG646" s="254" t="str">
        <f t="shared" si="298"/>
        <v>General Service 50 to 4,999 kW</v>
      </c>
      <c r="AH646" s="396">
        <f t="shared" si="299"/>
        <v>0</v>
      </c>
      <c r="AI646" s="396"/>
      <c r="AJ646" s="267" t="s">
        <v>128</v>
      </c>
      <c r="AK646" s="396">
        <f t="shared" si="300"/>
        <v>-3940.4533616151894</v>
      </c>
      <c r="AL646" s="396"/>
      <c r="AM646" s="396">
        <f t="shared" si="301"/>
        <v>-3940.4533616151894</v>
      </c>
      <c r="AN646" s="396"/>
      <c r="AO646" s="396">
        <f t="shared" si="302"/>
        <v>-28.973921776582074</v>
      </c>
      <c r="AP646" s="396"/>
      <c r="AQ646" s="396">
        <f t="shared" si="303"/>
        <v>-28.973921776582074</v>
      </c>
      <c r="AR646" s="396"/>
    </row>
    <row r="647" spans="28:44" customFormat="1">
      <c r="AG647" s="254" t="str">
        <f t="shared" si="298"/>
        <v>Sentinel Lights</v>
      </c>
      <c r="AH647" s="396">
        <f t="shared" si="299"/>
        <v>0</v>
      </c>
      <c r="AI647" s="396"/>
      <c r="AJ647" s="267" t="s">
        <v>128</v>
      </c>
      <c r="AK647" s="396">
        <f t="shared" si="300"/>
        <v>0</v>
      </c>
      <c r="AL647" s="396"/>
      <c r="AM647" s="396">
        <f t="shared" si="301"/>
        <v>0</v>
      </c>
      <c r="AN647" s="396"/>
      <c r="AO647" s="396">
        <f t="shared" si="302"/>
        <v>0</v>
      </c>
      <c r="AP647" s="396"/>
      <c r="AQ647" s="396">
        <f t="shared" si="303"/>
        <v>0</v>
      </c>
      <c r="AR647" s="396"/>
    </row>
    <row r="648" spans="28:44" customFormat="1">
      <c r="AG648" s="254" t="str">
        <f t="shared" si="298"/>
        <v>Street Lights</v>
      </c>
      <c r="AH648" s="396">
        <f t="shared" si="299"/>
        <v>0</v>
      </c>
      <c r="AI648" s="396"/>
      <c r="AJ648" s="267" t="s">
        <v>128</v>
      </c>
      <c r="AK648" s="396">
        <f t="shared" si="300"/>
        <v>0</v>
      </c>
      <c r="AL648" s="396"/>
      <c r="AM648" s="396">
        <f t="shared" si="301"/>
        <v>0</v>
      </c>
      <c r="AN648" s="396"/>
      <c r="AO648" s="396">
        <f t="shared" si="302"/>
        <v>0</v>
      </c>
      <c r="AP648" s="396"/>
      <c r="AQ648" s="396">
        <f t="shared" si="303"/>
        <v>0</v>
      </c>
      <c r="AR648" s="396"/>
    </row>
    <row r="649" spans="28:44" customFormat="1">
      <c r="AG649" s="254" t="str">
        <f t="shared" si="298"/>
        <v xml:space="preserve">Unmetered Scattered Loads </v>
      </c>
      <c r="AH649" s="396">
        <f t="shared" si="299"/>
        <v>0</v>
      </c>
      <c r="AI649" s="396"/>
      <c r="AJ649" s="267" t="s">
        <v>107</v>
      </c>
      <c r="AK649" s="396">
        <f t="shared" si="300"/>
        <v>0</v>
      </c>
      <c r="AL649" s="396"/>
      <c r="AM649" s="396">
        <f t="shared" si="301"/>
        <v>0</v>
      </c>
      <c r="AN649" s="396"/>
      <c r="AO649" s="396">
        <f t="shared" si="302"/>
        <v>0</v>
      </c>
      <c r="AP649" s="396"/>
      <c r="AQ649" s="396">
        <f t="shared" si="303"/>
        <v>0</v>
      </c>
      <c r="AR649" s="396"/>
    </row>
    <row r="650" spans="28:44" customFormat="1"/>
    <row r="651" spans="28:44" customFormat="1" ht="13">
      <c r="AB651" s="380" t="s">
        <v>344</v>
      </c>
      <c r="AC651" s="380"/>
      <c r="AD651" s="380"/>
      <c r="AE651" s="235"/>
      <c r="AF651" s="235"/>
    </row>
    <row r="652" spans="28:44" customFormat="1" ht="39.65" customHeight="1">
      <c r="AB652" s="375" t="s">
        <v>174</v>
      </c>
      <c r="AC652" s="376" t="s">
        <v>191</v>
      </c>
      <c r="AD652" s="376" t="s">
        <v>173</v>
      </c>
      <c r="AE652" s="376" t="s">
        <v>234</v>
      </c>
      <c r="AF652" s="376" t="s">
        <v>235</v>
      </c>
    </row>
    <row r="653" spans="28:44" customFormat="1">
      <c r="AB653" s="374" t="str">
        <f>AB624</f>
        <v xml:space="preserve">Residential </v>
      </c>
      <c r="AC653" s="379">
        <f>+AC624</f>
        <v>4499738.29</v>
      </c>
      <c r="AD653" s="360">
        <f>+X5</f>
        <v>0</v>
      </c>
      <c r="AE653" s="258">
        <f>AD653-AC653</f>
        <v>-4499738.29</v>
      </c>
      <c r="AF653" s="259">
        <f>AE653/AC653</f>
        <v>-1</v>
      </c>
    </row>
    <row r="654" spans="28:44" customFormat="1">
      <c r="AB654" s="374" t="str">
        <f t="shared" ref="AB654:AB658" si="304">AB625</f>
        <v>General Service &lt; 50 kW</v>
      </c>
      <c r="AC654" s="379">
        <f t="shared" ref="AC654:AC658" si="305">+AC625</f>
        <v>1720733.66</v>
      </c>
      <c r="AD654" s="360">
        <f t="shared" ref="AD654:AD658" si="306">+X6</f>
        <v>0</v>
      </c>
      <c r="AE654" s="258">
        <f t="shared" ref="AE654:AE659" si="307">AD654-AC654</f>
        <v>-1720733.66</v>
      </c>
      <c r="AF654" s="259">
        <f t="shared" ref="AF654:AF659" si="308">AE654/AC654</f>
        <v>-1</v>
      </c>
    </row>
    <row r="655" spans="28:44" customFormat="1">
      <c r="AB655" s="374" t="str">
        <f t="shared" si="304"/>
        <v>General Service 50 to 4,999 kW</v>
      </c>
      <c r="AC655" s="379">
        <f t="shared" si="305"/>
        <v>1259359.27</v>
      </c>
      <c r="AD655" s="360">
        <f t="shared" si="306"/>
        <v>0</v>
      </c>
      <c r="AE655" s="258">
        <f t="shared" si="307"/>
        <v>-1259359.27</v>
      </c>
      <c r="AF655" s="259">
        <f t="shared" si="308"/>
        <v>-1</v>
      </c>
    </row>
    <row r="656" spans="28:44" customFormat="1">
      <c r="AB656" s="374" t="str">
        <f t="shared" si="304"/>
        <v>Sentinel Lights</v>
      </c>
      <c r="AC656" s="379">
        <f t="shared" si="305"/>
        <v>6156.9</v>
      </c>
      <c r="AD656" s="360">
        <f t="shared" si="306"/>
        <v>0</v>
      </c>
      <c r="AE656" s="258">
        <f t="shared" si="307"/>
        <v>-6156.9</v>
      </c>
      <c r="AF656" s="259">
        <f t="shared" si="308"/>
        <v>-1</v>
      </c>
    </row>
    <row r="657" spans="28:32" customFormat="1">
      <c r="AB657" s="374" t="str">
        <f t="shared" si="304"/>
        <v>Street Lights</v>
      </c>
      <c r="AC657" s="379">
        <f t="shared" si="305"/>
        <v>236895.31</v>
      </c>
      <c r="AD657" s="360">
        <f t="shared" si="306"/>
        <v>0</v>
      </c>
      <c r="AE657" s="258">
        <f t="shared" si="307"/>
        <v>-236895.31</v>
      </c>
      <c r="AF657" s="259">
        <f t="shared" si="308"/>
        <v>-1</v>
      </c>
    </row>
    <row r="658" spans="28:32" customFormat="1">
      <c r="AB658" s="374" t="str">
        <f t="shared" si="304"/>
        <v xml:space="preserve">Unmetered Scattered Loads </v>
      </c>
      <c r="AC658" s="379">
        <f t="shared" si="305"/>
        <v>9001.3700000000008</v>
      </c>
      <c r="AD658" s="360">
        <f t="shared" si="306"/>
        <v>0</v>
      </c>
      <c r="AE658" s="258">
        <f t="shared" si="307"/>
        <v>-9001.3700000000008</v>
      </c>
      <c r="AF658" s="259">
        <f t="shared" si="308"/>
        <v>-1</v>
      </c>
    </row>
    <row r="659" spans="28:32" ht="13">
      <c r="AB659" s="373" t="s">
        <v>17</v>
      </c>
      <c r="AC659" s="357">
        <f>SUM(AC653:AC658)</f>
        <v>7731884.8000000007</v>
      </c>
      <c r="AD659" s="357">
        <f>SUM(AD653:AD658)</f>
        <v>0</v>
      </c>
      <c r="AE659" s="357">
        <f t="shared" si="307"/>
        <v>-7731884.8000000007</v>
      </c>
      <c r="AF659" s="358">
        <f t="shared" si="308"/>
        <v>-1</v>
      </c>
    </row>
    <row r="661" spans="28:32" customFormat="1">
      <c r="AB661" s="184"/>
      <c r="AC661" s="184"/>
      <c r="AD661" s="184" t="s">
        <v>321</v>
      </c>
      <c r="AE661" s="359">
        <f>+W41-V41</f>
        <v>0</v>
      </c>
      <c r="AF661" s="184"/>
    </row>
    <row r="662" spans="28:32" customFormat="1"/>
    <row r="663" spans="28:32" customFormat="1"/>
    <row r="664" spans="28:32" customFormat="1"/>
    <row r="665" spans="28:32" customFormat="1"/>
    <row r="666" spans="28:32" customFormat="1"/>
    <row r="667" spans="28:32" customFormat="1"/>
    <row r="668" spans="28:32" customFormat="1"/>
    <row r="669" spans="28:32" customFormat="1"/>
    <row r="670" spans="28:32" customFormat="1"/>
    <row r="671" spans="28:32" customFormat="1"/>
    <row r="672" spans="28:32" customFormat="1"/>
    <row r="673" customFormat="1"/>
    <row r="674" customFormat="1"/>
    <row r="675" customFormat="1"/>
    <row r="676" customFormat="1"/>
    <row r="677" customFormat="1"/>
    <row r="678" customFormat="1"/>
    <row r="679" customFormat="1"/>
    <row r="680" customFormat="1"/>
    <row r="681" customFormat="1"/>
    <row r="682" customFormat="1"/>
    <row r="683" customFormat="1"/>
    <row r="684" customFormat="1"/>
    <row r="685" customFormat="1"/>
    <row r="686" customFormat="1"/>
    <row r="687" customFormat="1"/>
    <row r="688" customFormat="1"/>
    <row r="689" customFormat="1"/>
    <row r="690" customFormat="1"/>
    <row r="691" customFormat="1"/>
    <row r="692" customFormat="1"/>
    <row r="693" customFormat="1"/>
    <row r="694" customFormat="1"/>
    <row r="695" customFormat="1"/>
    <row r="696" customFormat="1"/>
    <row r="697" customFormat="1"/>
    <row r="698" customFormat="1"/>
    <row r="699" customFormat="1"/>
    <row r="700" customFormat="1"/>
    <row r="701" customFormat="1"/>
    <row r="702" customFormat="1"/>
    <row r="703" customFormat="1"/>
    <row r="704" customFormat="1"/>
    <row r="705" customFormat="1"/>
    <row r="706" customFormat="1"/>
    <row r="707" customFormat="1"/>
    <row r="708" customFormat="1"/>
    <row r="709" customFormat="1"/>
    <row r="710" customFormat="1"/>
    <row r="711" customFormat="1"/>
    <row r="712" customFormat="1"/>
    <row r="713" customFormat="1"/>
    <row r="714" customFormat="1"/>
    <row r="715" customFormat="1"/>
    <row r="716" customFormat="1"/>
    <row r="717" customFormat="1"/>
    <row r="718" customFormat="1"/>
    <row r="719" customFormat="1"/>
    <row r="720" customFormat="1"/>
    <row r="721" customFormat="1"/>
    <row r="722" customFormat="1"/>
    <row r="723" customFormat="1"/>
    <row r="724" customFormat="1"/>
    <row r="725" customFormat="1"/>
    <row r="726" customFormat="1"/>
    <row r="727" customFormat="1"/>
    <row r="728" customFormat="1"/>
    <row r="729" customFormat="1"/>
    <row r="730" customFormat="1"/>
    <row r="731" customFormat="1"/>
    <row r="732" customFormat="1"/>
    <row r="733" customFormat="1"/>
    <row r="734" customFormat="1"/>
    <row r="735" customFormat="1"/>
    <row r="736" customFormat="1"/>
    <row r="737" customFormat="1"/>
    <row r="738" customFormat="1"/>
    <row r="739" customFormat="1"/>
    <row r="740" customFormat="1"/>
    <row r="741" customFormat="1"/>
    <row r="742" customFormat="1"/>
    <row r="743" customFormat="1"/>
    <row r="744" customFormat="1"/>
    <row r="745" customFormat="1"/>
    <row r="746" customFormat="1"/>
    <row r="747" customFormat="1"/>
    <row r="748" customFormat="1"/>
    <row r="749" customFormat="1"/>
    <row r="750" customFormat="1"/>
    <row r="751" customFormat="1"/>
    <row r="752" customFormat="1"/>
    <row r="753" customFormat="1"/>
    <row r="754" customFormat="1"/>
    <row r="755" customFormat="1"/>
    <row r="756" customFormat="1"/>
    <row r="757" customFormat="1"/>
    <row r="758" customFormat="1"/>
    <row r="759" customFormat="1"/>
    <row r="760" customFormat="1"/>
    <row r="761" customFormat="1"/>
    <row r="762" customFormat="1"/>
    <row r="763" customFormat="1"/>
    <row r="764" customFormat="1"/>
    <row r="765" customFormat="1"/>
    <row r="766" customFormat="1"/>
    <row r="767" customFormat="1"/>
    <row r="768" customFormat="1"/>
    <row r="769" customFormat="1"/>
    <row r="770" customFormat="1"/>
    <row r="771" customFormat="1"/>
    <row r="772" customFormat="1"/>
    <row r="773" customFormat="1"/>
    <row r="774" customFormat="1"/>
    <row r="775" customFormat="1"/>
    <row r="776" customFormat="1"/>
    <row r="777" customFormat="1"/>
    <row r="778" customFormat="1"/>
    <row r="779" customFormat="1"/>
    <row r="780" customFormat="1"/>
    <row r="781" customFormat="1"/>
    <row r="782" customFormat="1"/>
    <row r="783" customFormat="1"/>
    <row r="784" customFormat="1"/>
    <row r="785" customFormat="1"/>
    <row r="786" customFormat="1"/>
    <row r="787" customFormat="1"/>
    <row r="788" customFormat="1"/>
    <row r="789" customFormat="1"/>
    <row r="790" customFormat="1"/>
    <row r="791" customFormat="1"/>
    <row r="792" customFormat="1"/>
    <row r="793" customFormat="1"/>
    <row r="794" customFormat="1"/>
    <row r="795" customFormat="1"/>
    <row r="796" customFormat="1"/>
    <row r="797" customFormat="1"/>
    <row r="798" customFormat="1"/>
    <row r="799" customFormat="1"/>
    <row r="800" customFormat="1"/>
    <row r="801" customFormat="1"/>
    <row r="802" customFormat="1"/>
    <row r="803" customFormat="1"/>
    <row r="804" customFormat="1"/>
    <row r="805" customFormat="1"/>
    <row r="806" customFormat="1"/>
    <row r="807" customFormat="1"/>
  </sheetData>
  <mergeCells count="375">
    <mergeCell ref="A55:H55"/>
    <mergeCell ref="A70:H70"/>
    <mergeCell ref="A82:G82"/>
    <mergeCell ref="A93:G93"/>
    <mergeCell ref="A108:H108"/>
    <mergeCell ref="A119:H119"/>
    <mergeCell ref="A134:H134"/>
    <mergeCell ref="A146:G146"/>
    <mergeCell ref="H146:H168"/>
    <mergeCell ref="A68:J68"/>
    <mergeCell ref="H82:H104"/>
    <mergeCell ref="A157:G157"/>
    <mergeCell ref="O2:Y2"/>
    <mergeCell ref="A20:G20"/>
    <mergeCell ref="A28:G28"/>
    <mergeCell ref="A21:B21"/>
    <mergeCell ref="A22:B22"/>
    <mergeCell ref="A23:B23"/>
    <mergeCell ref="A24:B24"/>
    <mergeCell ref="A26:G26"/>
    <mergeCell ref="A44:H44"/>
    <mergeCell ref="H212:H235"/>
    <mergeCell ref="O237:P237"/>
    <mergeCell ref="O238:P238"/>
    <mergeCell ref="C251:H251"/>
    <mergeCell ref="A170:L170"/>
    <mergeCell ref="A197:L197"/>
    <mergeCell ref="A183:H183"/>
    <mergeCell ref="A172:H172"/>
    <mergeCell ref="A199:H199"/>
    <mergeCell ref="A212:G212"/>
    <mergeCell ref="A223:G223"/>
    <mergeCell ref="A350:L350"/>
    <mergeCell ref="B312:G312"/>
    <mergeCell ref="A315:E315"/>
    <mergeCell ref="A321:E321"/>
    <mergeCell ref="A333:E333"/>
    <mergeCell ref="A339:E339"/>
    <mergeCell ref="A344:E344"/>
    <mergeCell ref="A269:G269"/>
    <mergeCell ref="A271:G271"/>
    <mergeCell ref="A287:I287"/>
    <mergeCell ref="A289:H289"/>
    <mergeCell ref="A293:G293"/>
    <mergeCell ref="A295:G295"/>
    <mergeCell ref="A300:G300"/>
    <mergeCell ref="B310:G310"/>
    <mergeCell ref="A365:E365"/>
    <mergeCell ref="B367:E367"/>
    <mergeCell ref="F367:I367"/>
    <mergeCell ref="A381:D381"/>
    <mergeCell ref="A395:E395"/>
    <mergeCell ref="A397:E397"/>
    <mergeCell ref="O427:V427"/>
    <mergeCell ref="O428:V428"/>
    <mergeCell ref="O432:V432"/>
    <mergeCell ref="O404:V404"/>
    <mergeCell ref="O408:V408"/>
    <mergeCell ref="O413:V413"/>
    <mergeCell ref="O414:V414"/>
    <mergeCell ref="O415:V415"/>
    <mergeCell ref="O418:V418"/>
    <mergeCell ref="O419:V419"/>
    <mergeCell ref="O422:V422"/>
    <mergeCell ref="O423:V423"/>
    <mergeCell ref="O433:V433"/>
    <mergeCell ref="O437:V437"/>
    <mergeCell ref="O438:V438"/>
    <mergeCell ref="O441:V441"/>
    <mergeCell ref="O442:V442"/>
    <mergeCell ref="AG460:AL460"/>
    <mergeCell ref="AO460:AP460"/>
    <mergeCell ref="AQ460:AR460"/>
    <mergeCell ref="AH459:AI459"/>
    <mergeCell ref="AK459:AL459"/>
    <mergeCell ref="AM459:AN459"/>
    <mergeCell ref="AO459:AP459"/>
    <mergeCell ref="AQ459:AR459"/>
    <mergeCell ref="AH469:AI469"/>
    <mergeCell ref="AK469:AL469"/>
    <mergeCell ref="AM469:AN469"/>
    <mergeCell ref="AO469:AP469"/>
    <mergeCell ref="AQ469:AR469"/>
    <mergeCell ref="AH470:AI470"/>
    <mergeCell ref="AK470:AL470"/>
    <mergeCell ref="AM470:AN470"/>
    <mergeCell ref="AO470:AP470"/>
    <mergeCell ref="AQ470:AR470"/>
    <mergeCell ref="AH471:AI471"/>
    <mergeCell ref="AK471:AL471"/>
    <mergeCell ref="AM471:AN471"/>
    <mergeCell ref="AO471:AP471"/>
    <mergeCell ref="AQ471:AR471"/>
    <mergeCell ref="AH472:AI472"/>
    <mergeCell ref="AK472:AL472"/>
    <mergeCell ref="AM472:AN472"/>
    <mergeCell ref="AO472:AP472"/>
    <mergeCell ref="AQ472:AR472"/>
    <mergeCell ref="AH473:AI473"/>
    <mergeCell ref="AK473:AL473"/>
    <mergeCell ref="AM473:AN473"/>
    <mergeCell ref="AO473:AP473"/>
    <mergeCell ref="AQ473:AR473"/>
    <mergeCell ref="AH474:AI474"/>
    <mergeCell ref="AK474:AL474"/>
    <mergeCell ref="AM474:AN474"/>
    <mergeCell ref="AO474:AP474"/>
    <mergeCell ref="AQ474:AR474"/>
    <mergeCell ref="AH475:AI475"/>
    <mergeCell ref="AK475:AL475"/>
    <mergeCell ref="AM475:AN475"/>
    <mergeCell ref="AO475:AP475"/>
    <mergeCell ref="AQ475:AR475"/>
    <mergeCell ref="AH488:AI488"/>
    <mergeCell ref="AK488:AL488"/>
    <mergeCell ref="AM488:AN488"/>
    <mergeCell ref="AO488:AP488"/>
    <mergeCell ref="AQ488:AR488"/>
    <mergeCell ref="AO489:AP489"/>
    <mergeCell ref="AQ489:AR489"/>
    <mergeCell ref="AG489:AL489"/>
    <mergeCell ref="AH498:AI498"/>
    <mergeCell ref="AK498:AL498"/>
    <mergeCell ref="AM498:AN498"/>
    <mergeCell ref="AO498:AP498"/>
    <mergeCell ref="AQ498:AR498"/>
    <mergeCell ref="AH527:AI527"/>
    <mergeCell ref="AK527:AL527"/>
    <mergeCell ref="AM527:AN527"/>
    <mergeCell ref="AO527:AP527"/>
    <mergeCell ref="AQ527:AR527"/>
    <mergeCell ref="AH499:AI499"/>
    <mergeCell ref="AK499:AL499"/>
    <mergeCell ref="AM499:AN499"/>
    <mergeCell ref="AO499:AP499"/>
    <mergeCell ref="AQ499:AR499"/>
    <mergeCell ref="AH500:AI500"/>
    <mergeCell ref="AK500:AL500"/>
    <mergeCell ref="AM500:AN500"/>
    <mergeCell ref="AO500:AP500"/>
    <mergeCell ref="AQ500:AR500"/>
    <mergeCell ref="AH501:AI501"/>
    <mergeCell ref="AH528:AI528"/>
    <mergeCell ref="AK528:AL528"/>
    <mergeCell ref="AM528:AN528"/>
    <mergeCell ref="AO528:AP528"/>
    <mergeCell ref="AQ528:AR528"/>
    <mergeCell ref="AH575:AI575"/>
    <mergeCell ref="AK575:AL575"/>
    <mergeCell ref="AM575:AN575"/>
    <mergeCell ref="AO575:AP575"/>
    <mergeCell ref="AQ575:AR575"/>
    <mergeCell ref="AM558:AN558"/>
    <mergeCell ref="AO558:AP558"/>
    <mergeCell ref="AQ558:AR558"/>
    <mergeCell ref="AH559:AI559"/>
    <mergeCell ref="AK559:AL559"/>
    <mergeCell ref="AM559:AN559"/>
    <mergeCell ref="AO559:AP559"/>
    <mergeCell ref="AQ559:AR559"/>
    <mergeCell ref="AH562:AI562"/>
    <mergeCell ref="AK562:AL562"/>
    <mergeCell ref="AM562:AN562"/>
    <mergeCell ref="AO562:AP562"/>
    <mergeCell ref="AQ562:AR562"/>
    <mergeCell ref="AH546:AI546"/>
    <mergeCell ref="AK546:AL546"/>
    <mergeCell ref="AM546:AN546"/>
    <mergeCell ref="AO546:AP546"/>
    <mergeCell ref="AQ546:AR546"/>
    <mergeCell ref="AG547:AL547"/>
    <mergeCell ref="AO547:AP547"/>
    <mergeCell ref="AQ547:AR547"/>
    <mergeCell ref="AO561:AP561"/>
    <mergeCell ref="AQ561:AR561"/>
    <mergeCell ref="AH558:AI558"/>
    <mergeCell ref="AK558:AL558"/>
    <mergeCell ref="AK531:AL531"/>
    <mergeCell ref="AM531:AN531"/>
    <mergeCell ref="AO531:AP531"/>
    <mergeCell ref="AQ531:AR531"/>
    <mergeCell ref="AH532:AI532"/>
    <mergeCell ref="AK532:AL532"/>
    <mergeCell ref="AM532:AN532"/>
    <mergeCell ref="AO532:AP532"/>
    <mergeCell ref="AQ532:AR532"/>
    <mergeCell ref="AH587:AI587"/>
    <mergeCell ref="AK587:AL587"/>
    <mergeCell ref="AM587:AN587"/>
    <mergeCell ref="AO587:AP587"/>
    <mergeCell ref="AQ587:AR587"/>
    <mergeCell ref="AH588:AI588"/>
    <mergeCell ref="AK588:AL588"/>
    <mergeCell ref="AM588:AN588"/>
    <mergeCell ref="AO588:AP588"/>
    <mergeCell ref="AQ588:AR588"/>
    <mergeCell ref="AH585:AI585"/>
    <mergeCell ref="AK585:AL585"/>
    <mergeCell ref="AM585:AN585"/>
    <mergeCell ref="AO585:AP585"/>
    <mergeCell ref="AQ585:AR585"/>
    <mergeCell ref="AH586:AI586"/>
    <mergeCell ref="AK586:AL586"/>
    <mergeCell ref="AM586:AN586"/>
    <mergeCell ref="AO586:AP586"/>
    <mergeCell ref="AQ586:AR586"/>
    <mergeCell ref="AH620:AI620"/>
    <mergeCell ref="AK620:AL620"/>
    <mergeCell ref="AM620:AN620"/>
    <mergeCell ref="AO620:AP620"/>
    <mergeCell ref="AQ620:AR620"/>
    <mergeCell ref="AH633:AI633"/>
    <mergeCell ref="AH615:AI615"/>
    <mergeCell ref="AK615:AL615"/>
    <mergeCell ref="AM615:AN615"/>
    <mergeCell ref="AO615:AP615"/>
    <mergeCell ref="AQ615:AR615"/>
    <mergeCell ref="AH616:AI616"/>
    <mergeCell ref="AK616:AL616"/>
    <mergeCell ref="AM616:AN616"/>
    <mergeCell ref="AO616:AP616"/>
    <mergeCell ref="AQ616:AR616"/>
    <mergeCell ref="AK633:AL633"/>
    <mergeCell ref="AM633:AN633"/>
    <mergeCell ref="AO633:AP633"/>
    <mergeCell ref="AQ633:AR633"/>
    <mergeCell ref="AK501:AL501"/>
    <mergeCell ref="AM501:AN501"/>
    <mergeCell ref="AO501:AP501"/>
    <mergeCell ref="AQ501:AR501"/>
    <mergeCell ref="AH502:AI502"/>
    <mergeCell ref="AK502:AL502"/>
    <mergeCell ref="AM502:AN502"/>
    <mergeCell ref="AO502:AP502"/>
    <mergeCell ref="AQ502:AR502"/>
    <mergeCell ref="AH503:AI503"/>
    <mergeCell ref="AK503:AL503"/>
    <mergeCell ref="AM503:AN503"/>
    <mergeCell ref="AO503:AP503"/>
    <mergeCell ref="AQ503:AR503"/>
    <mergeCell ref="AH504:AI504"/>
    <mergeCell ref="AK504:AL504"/>
    <mergeCell ref="AM504:AN504"/>
    <mergeCell ref="AO504:AP504"/>
    <mergeCell ref="AQ504:AR504"/>
    <mergeCell ref="AH517:AI517"/>
    <mergeCell ref="AK517:AL517"/>
    <mergeCell ref="AM517:AN517"/>
    <mergeCell ref="AO517:AP517"/>
    <mergeCell ref="AQ517:AR517"/>
    <mergeCell ref="AG518:AL518"/>
    <mergeCell ref="AO518:AP518"/>
    <mergeCell ref="AQ518:AR518"/>
    <mergeCell ref="AH533:AI533"/>
    <mergeCell ref="AK533:AL533"/>
    <mergeCell ref="AM533:AN533"/>
    <mergeCell ref="AO533:AP533"/>
    <mergeCell ref="AQ533:AR533"/>
    <mergeCell ref="AH529:AI529"/>
    <mergeCell ref="AK529:AL529"/>
    <mergeCell ref="AM529:AN529"/>
    <mergeCell ref="AO529:AP529"/>
    <mergeCell ref="AQ529:AR529"/>
    <mergeCell ref="AH530:AI530"/>
    <mergeCell ref="AK530:AL530"/>
    <mergeCell ref="AM530:AN530"/>
    <mergeCell ref="AO530:AP530"/>
    <mergeCell ref="AQ530:AR530"/>
    <mergeCell ref="AH531:AI531"/>
    <mergeCell ref="AG576:AL576"/>
    <mergeCell ref="AH556:AI556"/>
    <mergeCell ref="AK556:AL556"/>
    <mergeCell ref="AM556:AN556"/>
    <mergeCell ref="AO556:AP556"/>
    <mergeCell ref="AQ556:AR556"/>
    <mergeCell ref="AH557:AI557"/>
    <mergeCell ref="AK557:AL557"/>
    <mergeCell ref="AM557:AN557"/>
    <mergeCell ref="AO557:AP557"/>
    <mergeCell ref="AQ557:AR557"/>
    <mergeCell ref="AH560:AI560"/>
    <mergeCell ref="AK560:AL560"/>
    <mergeCell ref="AM560:AN560"/>
    <mergeCell ref="AO560:AP560"/>
    <mergeCell ref="AQ560:AR560"/>
    <mergeCell ref="AH561:AI561"/>
    <mergeCell ref="AK561:AL561"/>
    <mergeCell ref="AM561:AN561"/>
    <mergeCell ref="AO576:AP576"/>
    <mergeCell ref="AQ576:AR576"/>
    <mergeCell ref="AH589:AI589"/>
    <mergeCell ref="AK589:AL589"/>
    <mergeCell ref="AM589:AN589"/>
    <mergeCell ref="AO589:AP589"/>
    <mergeCell ref="AQ589:AR589"/>
    <mergeCell ref="AH590:AI590"/>
    <mergeCell ref="AK590:AL590"/>
    <mergeCell ref="AM590:AN590"/>
    <mergeCell ref="AO590:AP590"/>
    <mergeCell ref="AQ590:AR590"/>
    <mergeCell ref="AH591:AI591"/>
    <mergeCell ref="AK591:AL591"/>
    <mergeCell ref="AM591:AN591"/>
    <mergeCell ref="AO591:AP591"/>
    <mergeCell ref="AQ591:AR591"/>
    <mergeCell ref="AH604:AI604"/>
    <mergeCell ref="AK604:AL604"/>
    <mergeCell ref="AM604:AN604"/>
    <mergeCell ref="AO604:AP604"/>
    <mergeCell ref="AQ604:AR604"/>
    <mergeCell ref="AG605:AL605"/>
    <mergeCell ref="AO605:AP605"/>
    <mergeCell ref="AQ605:AR605"/>
    <mergeCell ref="AH619:AI619"/>
    <mergeCell ref="AK619:AL619"/>
    <mergeCell ref="AM619:AN619"/>
    <mergeCell ref="AO619:AP619"/>
    <mergeCell ref="AQ619:AR619"/>
    <mergeCell ref="AH617:AI617"/>
    <mergeCell ref="AK617:AL617"/>
    <mergeCell ref="AM617:AN617"/>
    <mergeCell ref="AO617:AP617"/>
    <mergeCell ref="AQ617:AR617"/>
    <mergeCell ref="AH618:AI618"/>
    <mergeCell ref="AK618:AL618"/>
    <mergeCell ref="AM618:AN618"/>
    <mergeCell ref="AO618:AP618"/>
    <mergeCell ref="AQ618:AR618"/>
    <mergeCell ref="AH614:AI614"/>
    <mergeCell ref="AK614:AL614"/>
    <mergeCell ref="AM614:AN614"/>
    <mergeCell ref="AO614:AP614"/>
    <mergeCell ref="AQ614:AR614"/>
    <mergeCell ref="AH646:AI646"/>
    <mergeCell ref="AK646:AL646"/>
    <mergeCell ref="AM646:AN646"/>
    <mergeCell ref="AO646:AP646"/>
    <mergeCell ref="AQ646:AR646"/>
    <mergeCell ref="AG634:AL634"/>
    <mergeCell ref="AO634:AP634"/>
    <mergeCell ref="AQ634:AR634"/>
    <mergeCell ref="AH643:AI643"/>
    <mergeCell ref="AK643:AL643"/>
    <mergeCell ref="AM643:AN643"/>
    <mergeCell ref="AO643:AP643"/>
    <mergeCell ref="AQ643:AR643"/>
    <mergeCell ref="AH644:AI644"/>
    <mergeCell ref="AK644:AL644"/>
    <mergeCell ref="AM644:AN644"/>
    <mergeCell ref="AO644:AP644"/>
    <mergeCell ref="AQ644:AR644"/>
    <mergeCell ref="O1:X1"/>
    <mergeCell ref="O26:X26"/>
    <mergeCell ref="N42:V42"/>
    <mergeCell ref="AB4:AE4"/>
    <mergeCell ref="AH649:AI649"/>
    <mergeCell ref="AK649:AL649"/>
    <mergeCell ref="AM649:AN649"/>
    <mergeCell ref="AO649:AP649"/>
    <mergeCell ref="AQ649:AR649"/>
    <mergeCell ref="AH647:AI647"/>
    <mergeCell ref="AK647:AL647"/>
    <mergeCell ref="AM647:AN647"/>
    <mergeCell ref="AO647:AP647"/>
    <mergeCell ref="AQ647:AR647"/>
    <mergeCell ref="AH648:AI648"/>
    <mergeCell ref="AK648:AL648"/>
    <mergeCell ref="AM648:AN648"/>
    <mergeCell ref="AO648:AP648"/>
    <mergeCell ref="AQ648:AR648"/>
    <mergeCell ref="AH645:AI645"/>
    <mergeCell ref="AK645:AL645"/>
    <mergeCell ref="AM645:AN645"/>
    <mergeCell ref="AO645:AP645"/>
    <mergeCell ref="AQ645:AR645"/>
  </mergeCells>
  <pageMargins left="0.7" right="0.7" top="0.75" bottom="0.75" header="0.3" footer="0.3"/>
  <pageSetup orientation="landscape" horizontalDpi="200" verticalDpi="200" r:id="rId1"/>
  <headerFooter alignWithMargins="0"/>
  <ignoredErrors>
    <ignoredError sqref="D30:D40 F30:F40 H353:H354" formula="1"/>
  </ignoredError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M83"/>
  <sheetViews>
    <sheetView workbookViewId="0">
      <pane xSplit="1" ySplit="2" topLeftCell="B3" activePane="bottomRight" state="frozen"/>
      <selection pane="topRight" activeCell="B1" sqref="B1"/>
      <selection pane="bottomLeft" activeCell="A3" sqref="A3"/>
      <selection pane="bottomRight" activeCell="B8" sqref="B8"/>
    </sheetView>
  </sheetViews>
  <sheetFormatPr defaultRowHeight="12.5"/>
  <cols>
    <col min="1" max="1" width="11" customWidth="1"/>
    <col min="2" max="2" width="15" style="6" customWidth="1"/>
    <col min="3" max="4" width="14.1796875" style="6" bestFit="1" customWidth="1"/>
    <col min="5" max="5" width="14.1796875" style="6" customWidth="1"/>
    <col min="6" max="6" width="17.54296875" style="6" customWidth="1"/>
    <col min="7" max="7" width="12.54296875" style="6" customWidth="1"/>
    <col min="8" max="9" width="12.81640625" style="6" bestFit="1" customWidth="1"/>
    <col min="10" max="10" width="11.81640625" style="6" bestFit="1" customWidth="1"/>
    <col min="11" max="11" width="10.81640625" style="6" bestFit="1" customWidth="1"/>
    <col min="12" max="13" width="9.1796875" style="6"/>
  </cols>
  <sheetData>
    <row r="2" spans="1:13" ht="42" customHeight="1">
      <c r="B2" s="9" t="str">
        <f>'Rate Class Energy Model'!H2</f>
        <v xml:space="preserve">Residential </v>
      </c>
      <c r="C2" s="9" t="str">
        <f>'Rate Class Energy Model'!I2</f>
        <v>General Service &lt; 50 kW</v>
      </c>
      <c r="D2" s="9" t="str">
        <f>'Rate Class Energy Model'!J2</f>
        <v>General Service 50 to 4,999 kW</v>
      </c>
      <c r="E2" s="9" t="str">
        <f>'Rate Class Energy Model'!K2</f>
        <v>Sentinel Lights</v>
      </c>
      <c r="F2" s="9" t="str">
        <f>'Rate Class Energy Model'!L2</f>
        <v>Street Lights</v>
      </c>
      <c r="G2" s="9" t="str">
        <f>'Rate Class Energy Model'!M2</f>
        <v xml:space="preserve">Unmetered Scattered Loads </v>
      </c>
      <c r="H2" s="6" t="s">
        <v>10</v>
      </c>
    </row>
    <row r="3" spans="1:13">
      <c r="A3" s="4">
        <v>2008</v>
      </c>
      <c r="B3" s="40">
        <f>(SUM('[14]Data Input'!$F$77:$F$88,'[16]PSP less Loss factor'!$E$86:$E$97))/12</f>
        <v>10232.5</v>
      </c>
      <c r="C3" s="40">
        <f>(SUM('[14]Data Input'!$J$77:$J$88,'[16]PSP less Loss factor'!$H$86:$H$97))/12</f>
        <v>2045.4166666666667</v>
      </c>
      <c r="D3" s="40">
        <f>(SUM('[14]Data Input'!$O$77:$O$88,'[16]PSP less Loss factor'!$L$86:$L$97))/12</f>
        <v>164.58333333333334</v>
      </c>
      <c r="E3" s="40">
        <f>(SUM('[14]Data Input'!$Y$77:$Y$88,'[16]PSP less Loss factor'!$T$86:$T$97))/12</f>
        <v>56.75</v>
      </c>
      <c r="F3" s="40">
        <f>(SUM('[14]Data Input'!$T$77:$T$88,'[16]PSP less Loss factor'!$P$86:$P$97))/12</f>
        <v>3167</v>
      </c>
      <c r="G3" s="40">
        <f>(SUM('[14]Data Input'!$AC$77:$AC$88,'[16]PSP less Loss factor'!$W$86:$W$97))/12</f>
        <v>66.416666666666671</v>
      </c>
      <c r="H3" s="40">
        <f t="shared" ref="H3:H14" si="0">SUM(B3:G3)</f>
        <v>15732.666666666666</v>
      </c>
      <c r="K3"/>
    </row>
    <row r="4" spans="1:13">
      <c r="A4" s="4">
        <v>2009</v>
      </c>
      <c r="B4" s="40">
        <f>(SUM('[14]Data Input'!$F$89:$F$100,'[16]PSP less Loss factor'!$E$98:$E$109))/12</f>
        <v>10399.583333333334</v>
      </c>
      <c r="C4" s="40">
        <f>(SUM('[14]Data Input'!$J$89:$J$100,'[16]PSP less Loss factor'!$H$98:$H$109))/12</f>
        <v>2046.1666666666667</v>
      </c>
      <c r="D4" s="40">
        <f>(SUM('[14]Data Input'!$O$89:$O$100,'[16]PSP less Loss factor'!$L$98:$L$109))/12</f>
        <v>166.33333333333334</v>
      </c>
      <c r="E4" s="40">
        <f>(SUM('[14]Data Input'!$Y$89:$Y$100,'[16]PSP less Loss factor'!$T$98:$T$109))/12</f>
        <v>56.916666666666664</v>
      </c>
      <c r="F4" s="40">
        <f>(SUM('[14]Data Input'!$T$89:$T$100,'[16]PSP less Loss factor'!$P$98:$P$109))/12</f>
        <v>3191</v>
      </c>
      <c r="G4" s="40">
        <f>(SUM('[14]Data Input'!$AC$89:$AC$100,'[16]PSP less Loss factor'!$W$98:$W$109))/12</f>
        <v>61.916666666666664</v>
      </c>
      <c r="H4" s="40">
        <f t="shared" si="0"/>
        <v>15921.916666666666</v>
      </c>
      <c r="K4"/>
    </row>
    <row r="5" spans="1:13">
      <c r="A5" s="4">
        <v>2010</v>
      </c>
      <c r="B5" s="40">
        <f>(SUM('[14]Data Input'!$F$101:$F$112,'[16]PSP less Loss factor'!$E$110:$E$121))/12</f>
        <v>10504.916666666666</v>
      </c>
      <c r="C5" s="40">
        <f>(SUM('[14]Data Input'!$J$101:$J$112,'[16]PSP less Loss factor'!$H$110:$H$121))/12</f>
        <v>2048.3333333333335</v>
      </c>
      <c r="D5" s="40">
        <f>(SUM('[14]Data Input'!$O$101:$O$112,'[16]PSP less Loss factor'!$L$110:$L$121))/12</f>
        <v>165.91666666666666</v>
      </c>
      <c r="E5" s="40">
        <f>(SUM('[14]Data Input'!$Y$101:$Y$112,'[16]PSP less Loss factor'!$T$110:$T$121))/12</f>
        <v>56.083333333333336</v>
      </c>
      <c r="F5" s="40">
        <f>(SUM('[14]Data Input'!$T$101:$T$112,'[16]PSP less Loss factor'!$P$110:$P$121))/12</f>
        <v>3191</v>
      </c>
      <c r="G5" s="40">
        <f>(SUM('[14]Data Input'!$AC$101:$AC$112,'[16]PSP less Loss factor'!$W$110:$W$121))/12</f>
        <v>59.166666666666664</v>
      </c>
      <c r="H5" s="40">
        <f t="shared" si="0"/>
        <v>16025.416666666666</v>
      </c>
    </row>
    <row r="6" spans="1:13">
      <c r="A6" s="4">
        <v>2011</v>
      </c>
      <c r="B6" s="40">
        <f>(SUM('[14]Data Input'!$F$113:$F$124,'[16]PSP less Loss factor'!$E$122:$E$133))/12</f>
        <v>10679.25</v>
      </c>
      <c r="C6" s="40">
        <f>(SUM('[14]Data Input'!$J$113:$J$124,'[16]PSP less Loss factor'!$H$122:$H$133))/12</f>
        <v>2067.1666666666665</v>
      </c>
      <c r="D6" s="40">
        <f>(SUM('[14]Data Input'!$O$113:$O$124,'[16]PSP less Loss factor'!$L$122:$L$133))/12</f>
        <v>165.16666666666666</v>
      </c>
      <c r="E6" s="40">
        <f>(SUM('[14]Data Input'!$Y$113:$Y$124,'[16]PSP less Loss factor'!$T$122:$T$133))/12</f>
        <v>55.666666666666664</v>
      </c>
      <c r="F6" s="40">
        <f>(SUM('[14]Data Input'!$T$113:$T$124,'[16]PSP less Loss factor'!$P$122:$P$133))/12</f>
        <v>3134</v>
      </c>
      <c r="G6" s="40">
        <f>(SUM('[14]Data Input'!$AC$113:$AC$124,'[16]PSP less Loss factor'!$W$122:$W$133))/12</f>
        <v>57.5</v>
      </c>
      <c r="H6" s="40">
        <f t="shared" si="0"/>
        <v>16158.749999999998</v>
      </c>
    </row>
    <row r="7" spans="1:13">
      <c r="A7" s="4">
        <v>2012</v>
      </c>
      <c r="B7" s="40">
        <f>(SUM('[14]Data Input'!$F$125:$F$136,'[16]PSP less Loss factor'!$E$134:$E$145))/12</f>
        <v>10800.5</v>
      </c>
      <c r="C7" s="40">
        <f>(SUM('[14]Data Input'!$J$125:$J$136,'[16]PSP less Loss factor'!$H$134:$H$145))/12</f>
        <v>2067.1666666666665</v>
      </c>
      <c r="D7" s="40">
        <f>(SUM('[14]Data Input'!$O$125:$O$136,'[16]PSP less Loss factor'!$L$134:$L$145))/12</f>
        <v>167.08333333333334</v>
      </c>
      <c r="E7" s="40">
        <f>(SUM('[14]Data Input'!$Y$125:$Y$136,'[16]PSP less Loss factor'!$T$134:$T$145))/12</f>
        <v>56.833333333333336</v>
      </c>
      <c r="F7" s="40">
        <f>(SUM('[14]Data Input'!$T$125:$T$136,'[16]PSP less Loss factor'!$P$134:$P$145))/12</f>
        <v>2957.8333333333335</v>
      </c>
      <c r="G7" s="40">
        <f>(SUM('[14]Data Input'!$AC$125:$AC$136,'[16]PSP less Loss factor'!$W$134:$W$145))/12</f>
        <v>56</v>
      </c>
      <c r="H7" s="40">
        <f t="shared" si="0"/>
        <v>16105.416666666668</v>
      </c>
    </row>
    <row r="8" spans="1:13">
      <c r="A8" s="4">
        <v>2013</v>
      </c>
      <c r="B8" s="40">
        <f>(SUM('[14]Data Input'!$F$137:$F$148,'[16]PSP less Loss factor'!$E$146:$E$157))/12</f>
        <v>10889.666666666666</v>
      </c>
      <c r="C8" s="40">
        <f>(SUM('[14]Data Input'!$J$137:$J$148,'[16]PSP less Loss factor'!$H$146:$H$157))/12</f>
        <v>2074.8333333333335</v>
      </c>
      <c r="D8" s="40">
        <f>(SUM('[14]Data Input'!$O$137:$O$148,'[16]PSP less Loss factor'!$L$146:$L$157))/12</f>
        <v>171.33333333333334</v>
      </c>
      <c r="E8" s="40">
        <f>(SUM('[14]Data Input'!$Y$137:$Y$148,'[16]PSP less Loss factor'!$T$146:$T$157))/12</f>
        <v>59</v>
      </c>
      <c r="F8" s="40">
        <f>(SUM('[14]Data Input'!$T$137:$T$148,'[16]PSP less Loss factor'!$P$146:$P$157))/12</f>
        <v>2843.25</v>
      </c>
      <c r="G8" s="40">
        <f>(SUM('[14]Data Input'!$AC$137:$AC$148,'[16]PSP less Loss factor'!$W$146:$W$157))/12</f>
        <v>56.25</v>
      </c>
      <c r="H8" s="40">
        <f t="shared" si="0"/>
        <v>16094.333333333334</v>
      </c>
    </row>
    <row r="9" spans="1:13">
      <c r="A9" s="4">
        <v>2014</v>
      </c>
      <c r="B9" s="40">
        <f>(SUM('[14]Data Input'!$F$149:$F$160,'[16]PSP less Loss factor'!$E$158:$E$169))/12</f>
        <v>10964.083333333334</v>
      </c>
      <c r="C9" s="40">
        <f>(SUM('[14]Data Input'!$J$149:$J$160,'[16]PSP less Loss factor'!$H$158:$H$169))/12</f>
        <v>2106</v>
      </c>
      <c r="D9" s="40">
        <f>(SUM('[14]Data Input'!$O$149:$O$160,'[16]PSP less Loss factor'!$L$158:$L$169))/12</f>
        <v>172</v>
      </c>
      <c r="E9" s="40">
        <f>(SUM('[14]Data Input'!$Y$149:$Y$160,'[16]PSP less Loss factor'!$T$158:$T$169))/12</f>
        <v>56.666666666666664</v>
      </c>
      <c r="F9" s="40">
        <f>(SUM('[14]Data Input'!$T$149:$T$160,'[16]PSP less Loss factor'!$P$158:$P$169))/12</f>
        <v>2843.6666666666665</v>
      </c>
      <c r="G9" s="40">
        <f>(SUM('[14]Data Input'!$AC$149:$AC$160,'[16]PSP less Loss factor'!$W$158:$W$169))/12</f>
        <v>54.75</v>
      </c>
      <c r="H9" s="40">
        <f t="shared" si="0"/>
        <v>16197.166666666666</v>
      </c>
    </row>
    <row r="10" spans="1:13">
      <c r="A10" s="4">
        <v>2015</v>
      </c>
      <c r="B10" s="40">
        <f>(SUM('[14]Data Input'!$F$161:$F$172,'[16]PSP less Loss factor'!$E$170:$E$181))/12</f>
        <v>11020.916666666666</v>
      </c>
      <c r="C10" s="40">
        <f>(SUM('[14]Data Input'!$J$161:$J$172,'[16]PSP less Loss factor'!$H$170:$H$181))/12</f>
        <v>2132.5833333333335</v>
      </c>
      <c r="D10" s="173">
        <f>(SUM('[14]Data Input'!$O$161:$O$172,'[16]PSP less Loss factor'!$L$170:$L$181))/12</f>
        <v>155.83333333333334</v>
      </c>
      <c r="E10" s="40">
        <f>(SUM('[14]Data Input'!$Y$161:$Y$172,'[16]PSP less Loss factor'!$T$170:$T$181))/12</f>
        <v>53</v>
      </c>
      <c r="F10" s="40">
        <f>(SUM('[14]Data Input'!$T$161:$T$172,'[16]PSP less Loss factor'!$P$170:$P$181))/12</f>
        <v>2766.0833333333335</v>
      </c>
      <c r="G10" s="40">
        <f>(SUM('[14]Data Input'!$AC$161:$AC$172,'[16]PSP less Loss factor'!$W$170:$W$181))/12</f>
        <v>52.166666666666664</v>
      </c>
      <c r="H10" s="40">
        <f t="shared" si="0"/>
        <v>16180.583333333334</v>
      </c>
    </row>
    <row r="11" spans="1:13">
      <c r="A11" s="4">
        <v>2016</v>
      </c>
      <c r="B11" s="40">
        <f>(SUM('[14]Data Input'!$F$173:$F$184) + SUM('[16]PSP less Loss factor'!$E$182:$E$193))/12</f>
        <v>11078.416666666666</v>
      </c>
      <c r="C11" s="40">
        <f>(SUM('[14]Data Input'!$J$173:$J$184) + SUM('[16]PSP less Loss factor'!$H$182:$H$193))/12</f>
        <v>2137.6666666666665</v>
      </c>
      <c r="D11" s="173">
        <f>(SUM('[14]Data Input'!$O$173:$O$184) + SUM('[16]PSP less Loss factor'!$L$182:$L$193))/12</f>
        <v>149.33333333333334</v>
      </c>
      <c r="E11" s="173">
        <f>(SUM('[14]Data Input'!$Y$173:$Y$184) + SUM('[16]PSP less Loss factor'!$T$182:$T$193))/12</f>
        <v>52.333333333333336</v>
      </c>
      <c r="F11" s="173">
        <f>(SUM('[14]Data Input'!$T$173:$T$184) + SUM('[16]PSP less Loss factor'!$P$182:$P$193))/12</f>
        <v>2679.1666666666665</v>
      </c>
      <c r="G11" s="173">
        <f>(SUM('[14]Data Input'!$AC$173:$AC$184) + SUM('[16]PSP less Loss factor'!$W$182:$W$193))/12</f>
        <v>51</v>
      </c>
      <c r="H11" s="40">
        <f t="shared" si="0"/>
        <v>16147.916666666666</v>
      </c>
    </row>
    <row r="12" spans="1:13">
      <c r="A12" s="4">
        <v>2017</v>
      </c>
      <c r="B12" s="178">
        <f>AVERAGE('Residential - Not Used'!H111:H122)</f>
        <v>11168.75</v>
      </c>
      <c r="C12" s="173">
        <f>AVERAGE('GS &lt; 50 kW - Not Used'!H111:H122)</f>
        <v>2144.4166666666665</v>
      </c>
      <c r="D12" s="173">
        <f>(SUM('[14]Data Input'!$O$185:$O$196) + SUM('[16]PSP less Loss factor'!$L$194:$L$205))/12</f>
        <v>137.91666666666666</v>
      </c>
      <c r="E12" s="173">
        <f>(SUM('[14]Data Input'!$Y$185:$Y$196) + SUM('[16]PSP less Loss factor'!$T$194:$T$205))/12</f>
        <v>45.5</v>
      </c>
      <c r="F12" s="173">
        <f>(SUM('[14]Data Input'!$T$185:$T$196) + SUM('[16]PSP less Loss factor'!$P$194:$P$205))/12</f>
        <v>2848.3333333333335</v>
      </c>
      <c r="G12" s="173">
        <f>(SUM('[14]Data Input'!$AC$185:$AC$196) + SUM('[16]PSP less Loss factor'!$W$194:$W$205))/12</f>
        <v>51</v>
      </c>
      <c r="H12" s="173">
        <f t="shared" si="0"/>
        <v>16395.916666666664</v>
      </c>
    </row>
    <row r="13" spans="1:13">
      <c r="A13" s="4">
        <v>2018</v>
      </c>
      <c r="B13" s="22">
        <f>'Residential - Not Used'!H122</f>
        <v>11208</v>
      </c>
      <c r="C13" s="22">
        <f>'GS &lt; 50 kW - Not Used'!H122+2</f>
        <v>2148</v>
      </c>
      <c r="D13" s="22">
        <f>'[14]Data Input'!$O$196+'[16]PSP less Loss factor'!$L$205-2+1</f>
        <v>136</v>
      </c>
      <c r="E13" s="22">
        <f>'[14]Data Input'!$Y$196+'[16]PSP less Loss factor'!$T$205</f>
        <v>44</v>
      </c>
      <c r="F13" s="22">
        <f>'[14]Data Input'!$T$196+'[16]PSP less Loss factor'!$P$205</f>
        <v>2849</v>
      </c>
      <c r="G13" s="22">
        <f>'[14]Data Input'!$AC$196+'[16]PSP less Loss factor'!$W$205</f>
        <v>51</v>
      </c>
      <c r="H13" s="22">
        <f t="shared" si="0"/>
        <v>16436</v>
      </c>
    </row>
    <row r="14" spans="1:13">
      <c r="A14" s="4">
        <v>2019</v>
      </c>
      <c r="B14" s="22">
        <f>B13*$B$28</f>
        <v>11208</v>
      </c>
      <c r="C14" s="22">
        <f>C13*$C$28</f>
        <v>2148</v>
      </c>
      <c r="D14" s="22">
        <f>D13*$D$28</f>
        <v>136</v>
      </c>
      <c r="E14" s="22">
        <f>E13*$E$28</f>
        <v>44</v>
      </c>
      <c r="F14" s="22">
        <f>F13*$F$28</f>
        <v>2849</v>
      </c>
      <c r="G14" s="22">
        <f>G13*$F$28</f>
        <v>51</v>
      </c>
      <c r="H14" s="22">
        <f t="shared" si="0"/>
        <v>16436</v>
      </c>
      <c r="I14" s="171"/>
      <c r="J14" s="171"/>
      <c r="K14" s="171"/>
      <c r="L14" s="171"/>
      <c r="M14" s="171"/>
    </row>
    <row r="15" spans="1:13" ht="13">
      <c r="A15" s="21"/>
    </row>
    <row r="16" spans="1:13" ht="13">
      <c r="A16" s="20" t="s">
        <v>41</v>
      </c>
      <c r="B16" s="5"/>
      <c r="C16" s="5"/>
      <c r="D16" s="5"/>
      <c r="E16" s="5"/>
      <c r="F16" s="5"/>
      <c r="G16" s="5"/>
    </row>
    <row r="17" spans="1:13">
      <c r="A17" s="4">
        <v>2008</v>
      </c>
      <c r="B17" s="25"/>
      <c r="C17" s="25"/>
      <c r="D17" s="25"/>
      <c r="E17" s="25"/>
      <c r="F17" s="25"/>
      <c r="G17" s="25"/>
    </row>
    <row r="18" spans="1:13">
      <c r="A18" s="4">
        <v>2009</v>
      </c>
      <c r="B18" s="25">
        <f t="shared" ref="B18:G25" si="1">B4/B3</f>
        <v>1.0163286912615035</v>
      </c>
      <c r="C18" s="25">
        <f t="shared" si="1"/>
        <v>1.0003666734569159</v>
      </c>
      <c r="D18" s="25">
        <f t="shared" si="1"/>
        <v>1.0106329113924051</v>
      </c>
      <c r="E18" s="25">
        <f t="shared" si="1"/>
        <v>1.0029368575624082</v>
      </c>
      <c r="F18" s="25">
        <f t="shared" si="1"/>
        <v>1.0075781496684559</v>
      </c>
      <c r="G18" s="25">
        <f t="shared" si="1"/>
        <v>0.93224592220828095</v>
      </c>
    </row>
    <row r="19" spans="1:13">
      <c r="A19" s="4">
        <v>2010</v>
      </c>
      <c r="B19" s="25">
        <f t="shared" si="1"/>
        <v>1.0101286109219119</v>
      </c>
      <c r="C19" s="25">
        <f t="shared" si="1"/>
        <v>1.0010588906084548</v>
      </c>
      <c r="D19" s="25">
        <f t="shared" si="1"/>
        <v>0.99749498997995978</v>
      </c>
      <c r="E19" s="25">
        <f t="shared" si="1"/>
        <v>0.98535871156661792</v>
      </c>
      <c r="F19" s="25">
        <f t="shared" si="1"/>
        <v>1</v>
      </c>
      <c r="G19" s="25">
        <f t="shared" si="1"/>
        <v>0.955585464333782</v>
      </c>
    </row>
    <row r="20" spans="1:13">
      <c r="A20" s="4">
        <v>2011</v>
      </c>
      <c r="B20" s="25">
        <f t="shared" si="1"/>
        <v>1.0165954037395188</v>
      </c>
      <c r="C20" s="25">
        <f t="shared" si="1"/>
        <v>1.0091944670463791</v>
      </c>
      <c r="D20" s="25">
        <f t="shared" si="1"/>
        <v>0.99547965846308384</v>
      </c>
      <c r="E20" s="25">
        <f t="shared" si="1"/>
        <v>0.99257057949479932</v>
      </c>
      <c r="F20" s="25">
        <f t="shared" si="1"/>
        <v>0.98213726104669385</v>
      </c>
      <c r="G20" s="25">
        <f t="shared" si="1"/>
        <v>0.971830985915493</v>
      </c>
    </row>
    <row r="21" spans="1:13">
      <c r="A21" s="4">
        <v>2012</v>
      </c>
      <c r="B21" s="25">
        <f t="shared" si="1"/>
        <v>1.0113537935716459</v>
      </c>
      <c r="C21" s="25">
        <f t="shared" si="1"/>
        <v>1</v>
      </c>
      <c r="D21" s="25">
        <f t="shared" si="1"/>
        <v>1.0116044399596369</v>
      </c>
      <c r="E21" s="25">
        <f t="shared" si="1"/>
        <v>1.0209580838323353</v>
      </c>
      <c r="F21" s="25">
        <f t="shared" si="1"/>
        <v>0.94378855562646247</v>
      </c>
      <c r="G21" s="25">
        <f t="shared" si="1"/>
        <v>0.97391304347826091</v>
      </c>
    </row>
    <row r="22" spans="1:13">
      <c r="A22" s="4">
        <v>2013</v>
      </c>
      <c r="B22" s="25">
        <f t="shared" si="1"/>
        <v>1.0082557906269771</v>
      </c>
      <c r="C22" s="25">
        <f t="shared" si="1"/>
        <v>1.0037087801338387</v>
      </c>
      <c r="D22" s="25">
        <f t="shared" si="1"/>
        <v>1.0254364089775561</v>
      </c>
      <c r="E22" s="25">
        <f t="shared" si="1"/>
        <v>1.0381231671554252</v>
      </c>
      <c r="F22" s="25">
        <f t="shared" si="1"/>
        <v>0.9612610582070209</v>
      </c>
      <c r="G22" s="25">
        <f t="shared" si="1"/>
        <v>1.0044642857142858</v>
      </c>
    </row>
    <row r="23" spans="1:13">
      <c r="A23" s="4">
        <v>2014</v>
      </c>
      <c r="B23" s="25">
        <f t="shared" si="1"/>
        <v>1.0068336955523587</v>
      </c>
      <c r="C23" s="25">
        <f t="shared" si="1"/>
        <v>1.0150212868503494</v>
      </c>
      <c r="D23" s="25">
        <f t="shared" si="1"/>
        <v>1.0038910505836576</v>
      </c>
      <c r="E23" s="25">
        <f t="shared" si="1"/>
        <v>0.96045197740112986</v>
      </c>
      <c r="F23" s="25">
        <f t="shared" si="1"/>
        <v>1.0001465459128345</v>
      </c>
      <c r="G23" s="25">
        <f t="shared" si="1"/>
        <v>0.97333333333333338</v>
      </c>
    </row>
    <row r="24" spans="1:13">
      <c r="A24" s="4">
        <v>2015</v>
      </c>
      <c r="B24" s="25">
        <f t="shared" si="1"/>
        <v>1.005183591879546</v>
      </c>
      <c r="C24" s="25">
        <f t="shared" si="1"/>
        <v>1.0126226654004433</v>
      </c>
      <c r="D24" s="25">
        <f t="shared" si="1"/>
        <v>0.90600775193798455</v>
      </c>
      <c r="E24" s="25">
        <f t="shared" si="1"/>
        <v>0.93529411764705883</v>
      </c>
      <c r="F24" s="25">
        <f t="shared" si="1"/>
        <v>0.97271714922049013</v>
      </c>
      <c r="G24" s="25">
        <f t="shared" si="1"/>
        <v>0.95281582952815824</v>
      </c>
    </row>
    <row r="25" spans="1:13">
      <c r="A25" s="4">
        <v>2016</v>
      </c>
      <c r="B25" s="25">
        <f t="shared" si="1"/>
        <v>1.0052173518536722</v>
      </c>
      <c r="C25" s="25">
        <f t="shared" si="1"/>
        <v>1.0023836505021295</v>
      </c>
      <c r="D25" s="25">
        <f t="shared" si="1"/>
        <v>0.9582887700534759</v>
      </c>
      <c r="E25" s="25">
        <f t="shared" si="1"/>
        <v>0.98742138364779874</v>
      </c>
      <c r="F25" s="25">
        <f t="shared" si="1"/>
        <v>0.96857771216822808</v>
      </c>
      <c r="G25" s="25">
        <f t="shared" si="1"/>
        <v>0.97763578274760388</v>
      </c>
    </row>
    <row r="26" spans="1:13">
      <c r="A26" s="4">
        <v>2017</v>
      </c>
      <c r="B26" s="25">
        <f>B12/B11</f>
        <v>1.0081539931247696</v>
      </c>
      <c r="C26" s="25"/>
      <c r="D26" s="25"/>
      <c r="E26" s="25"/>
      <c r="F26" s="25"/>
      <c r="G26" s="25"/>
      <c r="H26" s="175"/>
      <c r="I26" s="175"/>
      <c r="J26" s="175"/>
      <c r="K26" s="175"/>
      <c r="L26" s="175"/>
      <c r="M26" s="175"/>
    </row>
    <row r="27" spans="1:13">
      <c r="A27" s="4"/>
    </row>
    <row r="28" spans="1:13">
      <c r="A28" t="s">
        <v>56</v>
      </c>
      <c r="B28" s="26">
        <v>1</v>
      </c>
      <c r="C28" s="26">
        <v>1</v>
      </c>
      <c r="D28" s="26">
        <v>1</v>
      </c>
      <c r="E28" s="26">
        <v>1</v>
      </c>
      <c r="F28" s="26">
        <v>1</v>
      </c>
      <c r="G28" s="26">
        <v>1</v>
      </c>
    </row>
    <row r="29" spans="1:13">
      <c r="B29" s="26"/>
      <c r="C29" s="26"/>
      <c r="D29" s="26"/>
      <c r="E29" s="26"/>
      <c r="F29" s="26"/>
      <c r="G29" s="26"/>
    </row>
    <row r="30" spans="1:13">
      <c r="A30" t="s">
        <v>15</v>
      </c>
      <c r="B30" s="26">
        <f>GEOMEAN(B17:B26)</f>
        <v>1.0097753328571901</v>
      </c>
      <c r="C30" s="26">
        <f t="shared" ref="C30:G30" si="2">GEOMEAN(C17:C26)</f>
        <v>1.0055294027495967</v>
      </c>
      <c r="D30" s="26">
        <f t="shared" si="2"/>
        <v>0.98791905722595053</v>
      </c>
      <c r="E30" s="26">
        <f t="shared" si="2"/>
        <v>0.98992334567717588</v>
      </c>
      <c r="F30" s="26">
        <f t="shared" si="2"/>
        <v>0.97930722473677734</v>
      </c>
      <c r="G30" s="26">
        <f t="shared" si="2"/>
        <v>0.96752375681246916</v>
      </c>
    </row>
    <row r="31" spans="1:13">
      <c r="A31" s="4"/>
      <c r="B31" s="26"/>
      <c r="C31" s="26"/>
      <c r="D31" s="26"/>
      <c r="E31" s="26"/>
      <c r="F31" s="26"/>
      <c r="G31" s="26"/>
    </row>
    <row r="32" spans="1:13">
      <c r="A32" s="4"/>
      <c r="B32" s="26"/>
      <c r="C32" s="26"/>
      <c r="D32" s="26"/>
      <c r="E32" s="26"/>
      <c r="F32" s="26"/>
      <c r="G32" s="26"/>
    </row>
    <row r="33" spans="1:7">
      <c r="A33" s="4"/>
      <c r="B33" s="26"/>
      <c r="C33" s="26"/>
      <c r="D33" s="26"/>
      <c r="E33" s="26"/>
      <c r="F33" s="26"/>
      <c r="G33" s="26"/>
    </row>
    <row r="34" spans="1:7">
      <c r="A34" s="4"/>
      <c r="B34" s="26"/>
      <c r="C34" s="26"/>
      <c r="D34" s="26"/>
      <c r="E34" s="26"/>
      <c r="F34" s="26"/>
      <c r="G34" s="26"/>
    </row>
    <row r="35" spans="1:7">
      <c r="A35" s="4"/>
      <c r="B35" s="26"/>
      <c r="C35" s="26"/>
      <c r="D35" s="26"/>
      <c r="E35" s="26"/>
      <c r="F35" s="26"/>
      <c r="G35" s="26"/>
    </row>
    <row r="36" spans="1:7">
      <c r="A36" s="4"/>
      <c r="B36" s="26"/>
      <c r="C36" s="26"/>
      <c r="D36" s="26"/>
      <c r="E36" s="26"/>
      <c r="F36" s="26"/>
      <c r="G36" s="26"/>
    </row>
    <row r="37" spans="1:7">
      <c r="B37" s="26"/>
      <c r="C37" s="26"/>
      <c r="D37" s="26"/>
      <c r="E37" s="26"/>
      <c r="F37" s="26"/>
      <c r="G37" s="26"/>
    </row>
    <row r="38" spans="1:7">
      <c r="B38" s="26"/>
      <c r="C38" s="26"/>
      <c r="D38" s="26"/>
      <c r="E38" s="26"/>
      <c r="F38" s="26"/>
      <c r="G38" s="26"/>
    </row>
    <row r="39" spans="1:7">
      <c r="B39" s="26"/>
      <c r="C39" s="26"/>
      <c r="D39" s="26"/>
      <c r="E39" s="26"/>
      <c r="F39" s="26"/>
      <c r="G39" s="26"/>
    </row>
    <row r="40" spans="1:7">
      <c r="B40" s="26"/>
      <c r="C40" s="26"/>
      <c r="D40" s="26"/>
      <c r="E40" s="26"/>
      <c r="F40" s="26"/>
      <c r="G40" s="26"/>
    </row>
    <row r="41" spans="1:7">
      <c r="B41" s="26"/>
      <c r="C41" s="26"/>
      <c r="D41" s="26"/>
      <c r="E41" s="26"/>
      <c r="F41" s="26"/>
      <c r="G41" s="26"/>
    </row>
    <row r="42" spans="1:7">
      <c r="B42" s="26"/>
      <c r="C42" s="26"/>
      <c r="D42" s="26"/>
      <c r="E42" s="26"/>
      <c r="F42" s="26"/>
      <c r="G42" s="26"/>
    </row>
    <row r="43" spans="1:7">
      <c r="B43" s="26"/>
      <c r="C43" s="26"/>
      <c r="D43" s="26"/>
      <c r="E43" s="26"/>
      <c r="F43" s="26"/>
      <c r="G43" s="26"/>
    </row>
    <row r="44" spans="1:7">
      <c r="B44" s="26"/>
      <c r="C44" s="26"/>
      <c r="D44" s="26"/>
      <c r="E44" s="26"/>
      <c r="F44" s="26"/>
      <c r="G44" s="26"/>
    </row>
    <row r="45" spans="1:7">
      <c r="B45" s="26"/>
      <c r="C45" s="26"/>
      <c r="D45" s="26"/>
      <c r="E45" s="26"/>
      <c r="F45" s="26"/>
      <c r="G45" s="26"/>
    </row>
    <row r="46" spans="1:7">
      <c r="B46" s="26"/>
      <c r="C46" s="26"/>
      <c r="D46" s="26"/>
      <c r="E46" s="26"/>
      <c r="F46" s="26"/>
      <c r="G46" s="26"/>
    </row>
    <row r="47" spans="1:7">
      <c r="B47" s="26"/>
      <c r="C47" s="26"/>
      <c r="D47" s="26"/>
      <c r="E47" s="26"/>
      <c r="F47" s="26"/>
      <c r="G47" s="26"/>
    </row>
    <row r="48" spans="1:7">
      <c r="B48" s="26"/>
      <c r="C48" s="26"/>
      <c r="D48" s="26"/>
      <c r="E48" s="26"/>
      <c r="F48" s="26"/>
      <c r="G48" s="26"/>
    </row>
    <row r="49" spans="2:7">
      <c r="B49" s="26"/>
      <c r="C49" s="26"/>
      <c r="D49" s="26"/>
      <c r="E49" s="26"/>
      <c r="F49" s="26"/>
      <c r="G49" s="26"/>
    </row>
    <row r="50" spans="2:7">
      <c r="B50" s="26"/>
      <c r="C50" s="26"/>
      <c r="D50" s="26"/>
      <c r="E50" s="26"/>
      <c r="F50" s="26"/>
      <c r="G50" s="26"/>
    </row>
    <row r="51" spans="2:7">
      <c r="B51" s="26"/>
      <c r="C51" s="26"/>
      <c r="D51" s="26"/>
      <c r="E51" s="26"/>
      <c r="F51" s="26"/>
      <c r="G51" s="26"/>
    </row>
    <row r="52" spans="2:7">
      <c r="B52" s="26"/>
      <c r="C52" s="26"/>
      <c r="D52" s="26"/>
      <c r="E52" s="26"/>
      <c r="F52" s="26"/>
      <c r="G52" s="26"/>
    </row>
    <row r="53" spans="2:7">
      <c r="B53" s="26"/>
      <c r="C53" s="26"/>
      <c r="D53" s="26"/>
      <c r="E53" s="26"/>
      <c r="F53" s="26"/>
      <c r="G53" s="26"/>
    </row>
    <row r="54" spans="2:7">
      <c r="B54" s="26"/>
      <c r="C54" s="26"/>
      <c r="D54" s="26"/>
      <c r="E54" s="26"/>
      <c r="F54" s="26"/>
      <c r="G54" s="26"/>
    </row>
    <row r="55" spans="2:7">
      <c r="B55" s="26"/>
      <c r="C55" s="26"/>
      <c r="F55" s="26"/>
      <c r="G55" s="26"/>
    </row>
    <row r="61" spans="2:7">
      <c r="D61" s="27"/>
      <c r="E61" s="27"/>
    </row>
    <row r="62" spans="2:7">
      <c r="B62" s="27"/>
      <c r="C62" s="27"/>
      <c r="D62" s="27"/>
      <c r="E62" s="27"/>
      <c r="F62" s="27"/>
      <c r="G62" s="27"/>
    </row>
    <row r="63" spans="2:7">
      <c r="B63" s="27"/>
      <c r="C63" s="27"/>
      <c r="F63" s="27"/>
      <c r="G63" s="27"/>
    </row>
    <row r="81" spans="2:7">
      <c r="D81" s="16"/>
      <c r="E81" s="16"/>
    </row>
    <row r="82" spans="2:7">
      <c r="B82" s="16"/>
      <c r="C82" s="16"/>
      <c r="D82" s="16"/>
      <c r="E82" s="16"/>
      <c r="F82" s="16"/>
      <c r="G82" s="16"/>
    </row>
    <row r="83" spans="2:7">
      <c r="B83" s="16"/>
      <c r="C83" s="16"/>
      <c r="F83" s="16"/>
      <c r="G83" s="16"/>
    </row>
  </sheetData>
  <phoneticPr fontId="0" type="noConversion"/>
  <pageMargins left="0.38" right="0.75" top="0.73" bottom="0.74" header="0.5" footer="0.5"/>
  <pageSetup orientation="portrait"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55"/>
  <sheetViews>
    <sheetView workbookViewId="0">
      <pane xSplit="1" ySplit="1" topLeftCell="B8" activePane="bottomRight" state="frozen"/>
      <selection pane="topRight" activeCell="B1" sqref="B1"/>
      <selection pane="bottomLeft" activeCell="A3" sqref="A3"/>
      <selection pane="bottomRight" activeCell="D27" sqref="D27"/>
    </sheetView>
  </sheetViews>
  <sheetFormatPr defaultRowHeight="12.5"/>
  <cols>
    <col min="1" max="1" width="11" customWidth="1"/>
    <col min="2" max="2" width="14.1796875" style="6" bestFit="1" customWidth="1"/>
    <col min="3" max="3" width="14.1796875" style="6" customWidth="1"/>
    <col min="4" max="4" width="17.81640625" style="6" customWidth="1"/>
    <col min="5" max="6" width="12.81640625" style="6" bestFit="1" customWidth="1"/>
  </cols>
  <sheetData>
    <row r="1" spans="1:8" ht="42" customHeight="1">
      <c r="B1" s="8" t="str">
        <f>'Rate Class Customer Model'!D2</f>
        <v>General Service 50 to 4,999 kW</v>
      </c>
      <c r="C1" s="8" t="str">
        <f>'Rate Class Customer Model'!E2</f>
        <v>Sentinel Lights</v>
      </c>
      <c r="D1" s="8" t="str">
        <f>'Rate Class Customer Model'!F2</f>
        <v>Street Lights</v>
      </c>
      <c r="E1" s="6" t="s">
        <v>10</v>
      </c>
    </row>
    <row r="2" spans="1:8">
      <c r="A2" s="31">
        <v>2008</v>
      </c>
      <c r="B2" s="40">
        <f>SUM('[14]Data Input'!$N$77:$N$88,'[16]PSP less Loss factor'!$K$86:$K$97)</f>
        <v>316143.86</v>
      </c>
      <c r="C2" s="40">
        <f>SUM('[14]Data Input'!$X$77:$X$88,'[16]PSP less Loss factor'!$S$86:$S$97)</f>
        <v>141.07184746299953</v>
      </c>
      <c r="D2" s="40">
        <f>SUM('[14]Data Input'!$S$77:$S$88,'[16]PSP less Loss factor'!$O$86:$O$97)</f>
        <v>7535.03</v>
      </c>
      <c r="E2" s="6">
        <f t="shared" ref="E2:E13" si="0">SUM(B2:D2)</f>
        <v>323819.96184746304</v>
      </c>
    </row>
    <row r="3" spans="1:8">
      <c r="A3" s="31">
        <v>2009</v>
      </c>
      <c r="B3" s="40">
        <f>SUM('[14]Data Input'!$N$89:$N$100,'[16]PSP less Loss factor'!$K$98:$K$109)</f>
        <v>299390.46000000002</v>
      </c>
      <c r="C3" s="40">
        <f>SUM('[14]Data Input'!$X$89:$X$100,'[16]PSP less Loss factor'!$S$98:$S$109)</f>
        <v>142.5732616487455</v>
      </c>
      <c r="D3" s="40">
        <f>SUM('[14]Data Input'!$S$89:$S$100,'[16]PSP less Loss factor'!$O$98:$O$109)</f>
        <v>7499.17</v>
      </c>
      <c r="E3" s="6">
        <f t="shared" si="0"/>
        <v>307032.20326164877</v>
      </c>
      <c r="H3" s="95"/>
    </row>
    <row r="4" spans="1:8">
      <c r="A4" s="31">
        <v>2010</v>
      </c>
      <c r="B4" s="40">
        <f>SUM('[14]Data Input'!$N$101:$N$112,'[16]PSP less Loss factor'!$K$110:$K$121)</f>
        <v>284691.97136406577</v>
      </c>
      <c r="C4" s="40">
        <f>SUM('[14]Data Input'!$X$101:$X$112,'[16]PSP less Loss factor'!$S$110:$S$121)</f>
        <v>151.72469216182736</v>
      </c>
      <c r="D4" s="40">
        <f>SUM('[14]Data Input'!$S$101:$S$112,'[16]PSP less Loss factor'!$O$110:$O$121)</f>
        <v>7492.4199999999992</v>
      </c>
      <c r="E4" s="6">
        <f t="shared" si="0"/>
        <v>292336.11605622759</v>
      </c>
      <c r="H4" s="95"/>
    </row>
    <row r="5" spans="1:8">
      <c r="A5" s="31">
        <v>2011</v>
      </c>
      <c r="B5" s="40">
        <f>SUM('[14]Data Input'!$N$113:$N$124,'[16]PSP less Loss factor'!$K$122:$K$133)</f>
        <v>289456.33</v>
      </c>
      <c r="C5" s="40">
        <f>SUM('[14]Data Input'!$X$113:$X$124,'[16]PSP less Loss factor'!$S$122:$S$133)</f>
        <v>152.74858268602978</v>
      </c>
      <c r="D5" s="40">
        <f>SUM('[14]Data Input'!$S$113:$S$124,'[16]PSP less Loss factor'!$O$122:$O$133)</f>
        <v>7492.6399999999994</v>
      </c>
      <c r="E5" s="6">
        <f t="shared" si="0"/>
        <v>297101.71858268604</v>
      </c>
      <c r="H5" s="95"/>
    </row>
    <row r="6" spans="1:8">
      <c r="A6" s="31">
        <v>2012</v>
      </c>
      <c r="B6" s="40">
        <f>SUM('[14]Data Input'!$N$125:$N$136,'[16]PSP less Loss factor'!$K$134:$K$145)</f>
        <v>292338.75999999995</v>
      </c>
      <c r="C6" s="40">
        <f>SUM('[14]Data Input'!$X$125:$X$136,'[16]PSP less Loss factor'!$S$134:$S$145)</f>
        <v>149.81522222222219</v>
      </c>
      <c r="D6" s="40">
        <f>SUM('[14]Data Input'!$S$125:$S$136,'[16]PSP less Loss factor'!$O$134:$O$145)</f>
        <v>6949.3700000000008</v>
      </c>
      <c r="E6" s="6">
        <f t="shared" si="0"/>
        <v>299437.94522222219</v>
      </c>
    </row>
    <row r="7" spans="1:8">
      <c r="A7" s="31">
        <v>2013</v>
      </c>
      <c r="B7" s="40">
        <f>SUM('[14]Data Input'!$N$137:$N$148,'[16]PSP less Loss factor'!$K$146:$K$157)</f>
        <v>293432.70999999996</v>
      </c>
      <c r="C7" s="40">
        <f>SUM('[14]Data Input'!$X$137:$X$148,'[16]PSP less Loss factor'!$S$146:$S$157)</f>
        <v>149.73916666666665</v>
      </c>
      <c r="D7" s="40">
        <f>SUM('[14]Data Input'!$S$137:$S$148,'[16]PSP less Loss factor'!$O$146:$O$157)</f>
        <v>6704.31</v>
      </c>
      <c r="E7" s="6">
        <f t="shared" si="0"/>
        <v>300286.75916666666</v>
      </c>
    </row>
    <row r="8" spans="1:8">
      <c r="A8" s="31">
        <v>2014</v>
      </c>
      <c r="B8" s="40">
        <f>SUM('[14]Data Input'!$N$149:$N$160,'[16]PSP less Loss factor'!$K$158:$K$169)</f>
        <v>288260.6999999999</v>
      </c>
      <c r="C8" s="40">
        <f>SUM('[14]Data Input'!$X$149:$X$160,'[16]PSP less Loss factor'!$S$158:$S$169)</f>
        <v>138.89961839927633</v>
      </c>
      <c r="D8" s="40">
        <f>SUM('[14]Data Input'!$S$149:$S$160,'[16]PSP less Loss factor'!$O$158:$O$169)</f>
        <v>6610.2200000000012</v>
      </c>
      <c r="E8" s="6">
        <f t="shared" si="0"/>
        <v>295009.81961839914</v>
      </c>
    </row>
    <row r="9" spans="1:8">
      <c r="A9" s="31">
        <v>2015</v>
      </c>
      <c r="B9" s="40">
        <f>SUM('[14]Data Input'!$N$161:$N$172,'[16]PSP less Loss factor'!$K$170:$K$181)</f>
        <v>288082.36000000004</v>
      </c>
      <c r="C9" s="40">
        <f>SUM('[14]Data Input'!$X$161:$X$172,'[16]PSP less Loss factor'!$S$170:$S$181)</f>
        <v>136.41233333333338</v>
      </c>
      <c r="D9" s="40">
        <f>SUM('[14]Data Input'!$S$161:$S$172,'[16]PSP less Loss factor'!$O$170:$O$181)</f>
        <v>5922.15</v>
      </c>
      <c r="E9" s="6">
        <f t="shared" si="0"/>
        <v>294140.92233333341</v>
      </c>
    </row>
    <row r="10" spans="1:8">
      <c r="A10" s="31">
        <v>2016</v>
      </c>
      <c r="B10" s="40">
        <f>(SUM('[14]Data Input'!$N$173:$N$184)+SUM('[16]PSP less Loss factor'!$K$182:$K$193))</f>
        <v>283796.43</v>
      </c>
      <c r="C10" s="173">
        <f>(SUM('[14]Data Input'!$X$173:$X$184)+SUM('[16]PSP less Loss factor'!$S$182:$S$193))</f>
        <v>135.40497222222223</v>
      </c>
      <c r="D10" s="40">
        <f>(SUM('[14]Data Input'!$S$173:$S$184)+SUM('[16]PSP less Loss factor'!$O$182:$O$193))</f>
        <v>3094.0399999999995</v>
      </c>
      <c r="E10" s="6">
        <f t="shared" si="0"/>
        <v>287025.8749722222</v>
      </c>
    </row>
    <row r="11" spans="1:8">
      <c r="A11" s="31">
        <v>2017</v>
      </c>
      <c r="B11" s="40">
        <f>(SUM('[14]Data Input'!$N$185:$N$196)+SUM('[16]PSP less Loss factor'!$K$194:$K$205))</f>
        <v>279963</v>
      </c>
      <c r="C11" s="173">
        <f>(SUM('[14]Data Input'!$X$185:$X$196)+SUM('[16]PSP less Loss factor'!$S$194:$S$205))</f>
        <v>122.87111111111111</v>
      </c>
      <c r="D11" s="40">
        <f>(SUM('[14]Data Input'!$S$185:$S$196)+SUM('[16]PSP less Loss factor'!$O$194:$O$205))</f>
        <v>3196.56</v>
      </c>
      <c r="E11" s="6">
        <f t="shared" si="0"/>
        <v>283282.43111111113</v>
      </c>
    </row>
    <row r="12" spans="1:8">
      <c r="A12" s="31">
        <v>2018</v>
      </c>
      <c r="B12" s="123">
        <f>'Rate Class Energy Model'!J57*$B$27</f>
        <v>282314.64167395374</v>
      </c>
      <c r="C12" s="123">
        <f>'Rate Class Energy Model'!K57*$C$27</f>
        <v>119.48677026939222</v>
      </c>
      <c r="D12" s="123">
        <f>'Rate Class Energy Model'!L57*$D$27</f>
        <v>3182.8403066540436</v>
      </c>
      <c r="E12" s="6">
        <f t="shared" si="0"/>
        <v>285616.96875087719</v>
      </c>
    </row>
    <row r="13" spans="1:8">
      <c r="A13" s="31">
        <v>2019</v>
      </c>
      <c r="B13" s="123">
        <f>'Rate Class Energy Model'!J58*$B$27</f>
        <v>278374.18831233855</v>
      </c>
      <c r="C13" s="123">
        <f>'Rate Class Energy Model'!K58*$C$27</f>
        <v>119.48677026939222</v>
      </c>
      <c r="D13" s="123">
        <f>'Rate Class Energy Model'!L58*$D$27</f>
        <v>3182.8403066540436</v>
      </c>
      <c r="E13" s="171">
        <f t="shared" si="0"/>
        <v>281676.515389262</v>
      </c>
      <c r="F13" s="171"/>
    </row>
    <row r="14" spans="1:8" ht="13">
      <c r="A14" s="21"/>
    </row>
    <row r="15" spans="1:8" ht="13">
      <c r="A15" s="20" t="s">
        <v>57</v>
      </c>
      <c r="B15" s="5"/>
      <c r="C15" s="5"/>
      <c r="D15" s="5"/>
    </row>
    <row r="16" spans="1:8">
      <c r="A16" s="4">
        <v>2008</v>
      </c>
      <c r="B16" s="29">
        <f>B2/'Rate Class Energy Model'!J7</f>
        <v>2.4851017976497513E-3</v>
      </c>
      <c r="C16" s="29">
        <f>C2/'Rate Class Energy Model'!K7</f>
        <v>2.5627363072241558E-3</v>
      </c>
      <c r="D16" s="29">
        <f>D2/'Rate Class Energy Model'!L7</f>
        <v>2.7469868854712435E-3</v>
      </c>
    </row>
    <row r="17" spans="1:6">
      <c r="A17" s="4">
        <v>2009</v>
      </c>
      <c r="B17" s="29">
        <f>B3/'Rate Class Energy Model'!J8</f>
        <v>2.469024247894502E-3</v>
      </c>
      <c r="C17" s="29">
        <f>C3/'Rate Class Energy Model'!K8</f>
        <v>2.6725818439983571E-3</v>
      </c>
      <c r="D17" s="29">
        <f>D3/'Rate Class Energy Model'!L8</f>
        <v>2.7389797292053479E-3</v>
      </c>
    </row>
    <row r="18" spans="1:6">
      <c r="A18" s="4">
        <v>2010</v>
      </c>
      <c r="B18" s="29">
        <f>B4/'Rate Class Energy Model'!J9</f>
        <v>2.4147723529670258E-3</v>
      </c>
      <c r="C18" s="29">
        <f>C4/'Rate Class Energy Model'!K9</f>
        <v>2.8664259346478957E-3</v>
      </c>
      <c r="D18" s="29">
        <f>D4/'Rate Class Energy Model'!L9</f>
        <v>2.6894741969934015E-3</v>
      </c>
    </row>
    <row r="19" spans="1:6">
      <c r="A19" s="4">
        <v>2011</v>
      </c>
      <c r="B19" s="29">
        <f>B5/'Rate Class Energy Model'!J10</f>
        <v>2.4424082638767682E-3</v>
      </c>
      <c r="C19" s="29">
        <f>C5/'Rate Class Energy Model'!K10</f>
        <v>2.9006579440913425E-3</v>
      </c>
      <c r="D19" s="29">
        <f>D5/'Rate Class Energy Model'!L10</f>
        <v>2.7396752248693293E-3</v>
      </c>
    </row>
    <row r="20" spans="1:6">
      <c r="A20" s="4">
        <v>2012</v>
      </c>
      <c r="B20" s="29">
        <f>B6/'Rate Class Energy Model'!J11</f>
        <v>2.4335419278273887E-3</v>
      </c>
      <c r="C20" s="29">
        <f>C6/'Rate Class Energy Model'!K11</f>
        <v>2.9057838335752018E-3</v>
      </c>
      <c r="D20" s="29">
        <f>D6/'Rate Class Energy Model'!L11</f>
        <v>2.7446338461339583E-3</v>
      </c>
    </row>
    <row r="21" spans="1:6">
      <c r="A21" s="4">
        <v>2013</v>
      </c>
      <c r="B21" s="29">
        <f>B7/'Rate Class Energy Model'!J12</f>
        <v>2.4613387617033471E-3</v>
      </c>
      <c r="C21" s="29">
        <f>C7/'Rate Class Energy Model'!K12</f>
        <v>2.9142609750129095E-3</v>
      </c>
      <c r="D21" s="29">
        <f>D7/'Rate Class Energy Model'!L12</f>
        <v>2.7464797855519694E-3</v>
      </c>
    </row>
    <row r="22" spans="1:6">
      <c r="A22" s="4">
        <v>2014</v>
      </c>
      <c r="B22" s="29">
        <f>B8/'Rate Class Energy Model'!J13</f>
        <v>2.3650077972807984E-3</v>
      </c>
      <c r="C22" s="29">
        <f>C8/'Rate Class Energy Model'!K13</f>
        <v>2.777777777777777E-3</v>
      </c>
      <c r="D22" s="29">
        <f>D8/'Rate Class Energy Model'!L13</f>
        <v>2.7478069840992654E-3</v>
      </c>
    </row>
    <row r="23" spans="1:6">
      <c r="A23" s="4">
        <v>2015</v>
      </c>
      <c r="B23" s="29">
        <f>B9/'Rate Class Energy Model'!J14</f>
        <v>2.4054202500975439E-3</v>
      </c>
      <c r="C23" s="29">
        <f>C9/'Rate Class Energy Model'!K14</f>
        <v>2.7777777777777766E-3</v>
      </c>
      <c r="D23" s="29">
        <f>D9/'Rate Class Energy Model'!L14</f>
        <v>2.9177681717984889E-3</v>
      </c>
    </row>
    <row r="24" spans="1:6">
      <c r="A24" s="4">
        <v>2016</v>
      </c>
      <c r="B24" s="29">
        <f>B10/'Rate Class Energy Model'!J15</f>
        <v>2.4331572807867077E-3</v>
      </c>
      <c r="C24" s="29">
        <f>C10/'Rate Class Energy Model'!K15</f>
        <v>2.7777777777777761E-3</v>
      </c>
      <c r="D24" s="29">
        <f>D10/'Rate Class Energy Model'!L15</f>
        <v>2.7229425214385784E-3</v>
      </c>
    </row>
    <row r="25" spans="1:6">
      <c r="A25" s="4">
        <v>2017</v>
      </c>
      <c r="B25" s="29">
        <f>B11/'Rate Class Energy Model'!J16</f>
        <v>2.397898056874907E-3</v>
      </c>
      <c r="C25" s="29">
        <f>C11/'Rate Class Energy Model'!K16</f>
        <v>2.7777777777777753E-3</v>
      </c>
      <c r="D25" s="29">
        <f>D11/'Rate Class Energy Model'!L16</f>
        <v>2.7688933507861745E-3</v>
      </c>
      <c r="E25" s="181"/>
      <c r="F25" s="181"/>
    </row>
    <row r="27" spans="1:6">
      <c r="A27" t="s">
        <v>14</v>
      </c>
      <c r="B27" s="29">
        <f>AVERAGE(B16:B25)</f>
        <v>2.430767073695874E-3</v>
      </c>
      <c r="C27" s="29">
        <f t="shared" ref="C27:D27" si="1">AVERAGE(C16:C25)</f>
        <v>2.7933557949660964E-3</v>
      </c>
      <c r="D27" s="29">
        <f t="shared" si="1"/>
        <v>2.7563640696347761E-3</v>
      </c>
    </row>
    <row r="34" spans="2:4">
      <c r="B34" s="27"/>
      <c r="C34" s="27"/>
      <c r="D34" s="27"/>
    </row>
    <row r="35" spans="2:4">
      <c r="B35" s="27"/>
      <c r="C35" s="27"/>
      <c r="D35" s="27"/>
    </row>
    <row r="54" spans="2:4">
      <c r="B54" s="16"/>
      <c r="C54" s="16"/>
      <c r="D54" s="16"/>
    </row>
    <row r="55" spans="2:4">
      <c r="B55" s="16"/>
      <c r="C55" s="16"/>
      <c r="D55" s="16"/>
    </row>
  </sheetData>
  <phoneticPr fontId="0" type="noConversion"/>
  <pageMargins left="0.38" right="0.75" top="0.73" bottom="0.74" header="0.5" footer="0.5"/>
  <pageSetup orientation="portrait"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89"/>
  <sheetViews>
    <sheetView topLeftCell="A7" workbookViewId="0">
      <selection activeCell="E15" sqref="E15"/>
    </sheetView>
  </sheetViews>
  <sheetFormatPr defaultRowHeight="12.5"/>
  <cols>
    <col min="2" max="5" width="13.453125" customWidth="1"/>
    <col min="6" max="6" width="12.81640625" bestFit="1" customWidth="1"/>
    <col min="7" max="7" width="13" bestFit="1" customWidth="1"/>
    <col min="8" max="8" width="12.81640625" bestFit="1" customWidth="1"/>
    <col min="10" max="10" width="11.1796875" bestFit="1" customWidth="1"/>
    <col min="15" max="15" width="1.453125" customWidth="1"/>
    <col min="16" max="16" width="10.54296875" customWidth="1"/>
    <col min="17" max="17" width="15.81640625" customWidth="1"/>
    <col min="18" max="18" width="12.1796875" bestFit="1" customWidth="1"/>
    <col min="19" max="20" width="10.81640625" customWidth="1"/>
    <col min="21" max="21" width="11.1796875" bestFit="1" customWidth="1"/>
    <col min="22" max="22" width="11.453125" customWidth="1"/>
    <col min="23" max="23" width="11.1796875" bestFit="1" customWidth="1"/>
  </cols>
  <sheetData>
    <row r="1" spans="1:19" ht="15.5">
      <c r="A1" s="44" t="str">
        <f>Summary!A1</f>
        <v>Lakeland Power Load Forecast for 2019 Rate Application</v>
      </c>
      <c r="B1" s="44"/>
      <c r="C1" s="44"/>
      <c r="D1" s="44"/>
      <c r="E1" s="44"/>
    </row>
    <row r="2" spans="1:19" ht="62.5">
      <c r="B2" s="42" t="s">
        <v>118</v>
      </c>
      <c r="C2" s="42" t="s">
        <v>119</v>
      </c>
      <c r="D2" s="42" t="s">
        <v>158</v>
      </c>
      <c r="E2" s="42" t="s">
        <v>157</v>
      </c>
      <c r="F2" s="83" t="s">
        <v>92</v>
      </c>
      <c r="G2" s="83" t="s">
        <v>93</v>
      </c>
    </row>
    <row r="3" spans="1:19">
      <c r="A3">
        <v>2005</v>
      </c>
      <c r="F3" s="84"/>
      <c r="G3" s="85">
        <f>F3</f>
        <v>0</v>
      </c>
      <c r="H3" s="85">
        <f t="shared" ref="H3:H17" si="0">G3/$N$15</f>
        <v>0</v>
      </c>
      <c r="J3" s="428" t="s">
        <v>95</v>
      </c>
      <c r="K3" s="428"/>
      <c r="M3" s="106" t="s">
        <v>96</v>
      </c>
      <c r="N3" s="106">
        <v>1</v>
      </c>
      <c r="Q3" s="96"/>
      <c r="R3" s="96">
        <v>2018</v>
      </c>
      <c r="S3" s="96">
        <v>2019</v>
      </c>
    </row>
    <row r="4" spans="1:19">
      <c r="A4">
        <v>2006</v>
      </c>
      <c r="B4" s="85">
        <f>('[20]Summary - LDC'!$E$24+'[21]Summary - LDC'!$E$24)*1000/2</f>
        <v>524946.73878376477</v>
      </c>
      <c r="C4" s="85"/>
      <c r="D4" s="85"/>
      <c r="E4" s="85"/>
      <c r="F4" s="85">
        <f>B4+C4+D4+E4</f>
        <v>524946.73878376477</v>
      </c>
      <c r="G4" s="85">
        <f>F4</f>
        <v>524946.73878376477</v>
      </c>
      <c r="H4" s="85">
        <f t="shared" si="0"/>
        <v>6730.0863946636509</v>
      </c>
      <c r="J4" s="86">
        <f>G33</f>
        <v>524946.73878376477</v>
      </c>
      <c r="K4" s="86">
        <f>F4-J4</f>
        <v>0</v>
      </c>
      <c r="M4" s="106" t="s">
        <v>97</v>
      </c>
      <c r="N4" s="106">
        <v>2</v>
      </c>
      <c r="Q4" s="97" t="s">
        <v>121</v>
      </c>
      <c r="R4" s="120">
        <f>R9+R14+R19</f>
        <v>2633373.9960053544</v>
      </c>
      <c r="S4" s="120">
        <f>S9+S14+S19</f>
        <v>2633373.9960053544</v>
      </c>
    </row>
    <row r="5" spans="1:19">
      <c r="A5">
        <v>2007</v>
      </c>
      <c r="B5" s="85">
        <f>('[20]Summary - LDC'!F24+'[21]Summary - LDC'!F24-'[20]Summary - LDC'!$F$20/2-'[21]Summary - LDC'!$F$20/2)*1000</f>
        <v>1571386.5025537708</v>
      </c>
      <c r="D5" s="85"/>
      <c r="E5" s="85"/>
      <c r="F5" s="85">
        <f t="shared" ref="F5:F18" si="1">B5+C5+D5+E5</f>
        <v>1571386.5025537708</v>
      </c>
      <c r="G5" s="85">
        <f>F5-H33</f>
        <v>602254.06172220502</v>
      </c>
      <c r="H5" s="85">
        <f t="shared" si="0"/>
        <v>7721.2059195154488</v>
      </c>
      <c r="J5" s="86">
        <f>G45</f>
        <v>1571386.5025537708</v>
      </c>
      <c r="K5" s="86">
        <f t="shared" ref="K5:K17" si="2">F5-J5</f>
        <v>0</v>
      </c>
      <c r="M5" s="106" t="s">
        <v>98</v>
      </c>
      <c r="N5" s="106">
        <v>3</v>
      </c>
      <c r="Q5" s="97" t="s">
        <v>153</v>
      </c>
      <c r="R5" s="120"/>
      <c r="S5" s="120">
        <f>S10+S15+S20</f>
        <v>2449363.3044053549</v>
      </c>
    </row>
    <row r="6" spans="1:19">
      <c r="A6">
        <v>2008</v>
      </c>
      <c r="B6" s="85">
        <f>('[20]Summary - LDC'!G24+'[21]Summary - LDC'!G24-'[20]Summary - LDC'!G$21/2-'[21]Summary - LDC'!G$21/2)*1000</f>
        <v>2035702.4628357391</v>
      </c>
      <c r="F6" s="85">
        <f t="shared" si="1"/>
        <v>2035702.4628357391</v>
      </c>
      <c r="G6" s="85">
        <f>F6-H45</f>
        <v>-45283.630406051408</v>
      </c>
      <c r="H6" s="85">
        <f t="shared" si="0"/>
        <v>-580.5593641801463</v>
      </c>
      <c r="J6" s="86">
        <f>G57</f>
        <v>2035702.4628357398</v>
      </c>
      <c r="K6" s="86">
        <f t="shared" si="2"/>
        <v>0</v>
      </c>
      <c r="M6" s="106" t="s">
        <v>99</v>
      </c>
      <c r="N6" s="106">
        <v>4</v>
      </c>
      <c r="Q6" s="174" t="s">
        <v>17</v>
      </c>
      <c r="R6" s="120">
        <f>SUM(R4:R5)</f>
        <v>2633373.9960053544</v>
      </c>
      <c r="S6" s="120">
        <f t="shared" ref="S6" si="3">SUM(S4:S5)</f>
        <v>5082737.3004107093</v>
      </c>
    </row>
    <row r="7" spans="1:19">
      <c r="A7">
        <v>2009</v>
      </c>
      <c r="B7" s="85">
        <f>('[20]Summary - LDC'!H24+'[21]Summary - LDC'!H24-'[20]Summary - LDC'!H$22/2-'[21]Summary - LDC'!H$22/2)*1000</f>
        <v>2988155.4875458516</v>
      </c>
      <c r="C7" s="85"/>
      <c r="D7" s="85"/>
      <c r="E7" s="85"/>
      <c r="F7" s="85">
        <f t="shared" si="1"/>
        <v>2988155.4875458516</v>
      </c>
      <c r="G7" s="85">
        <f>F7-H57</f>
        <v>990769.94274600106</v>
      </c>
      <c r="H7" s="85">
        <f t="shared" si="0"/>
        <v>12702.178753153859</v>
      </c>
      <c r="J7" s="86">
        <f>G69</f>
        <v>2988155.4875458516</v>
      </c>
      <c r="K7" s="86">
        <f t="shared" si="2"/>
        <v>0</v>
      </c>
      <c r="M7" s="106" t="s">
        <v>80</v>
      </c>
      <c r="N7" s="106">
        <v>5</v>
      </c>
    </row>
    <row r="8" spans="1:19">
      <c r="A8">
        <v>2010</v>
      </c>
      <c r="B8" s="85">
        <f>('[20]Summary - LDC'!I24+'[21]Summary - LDC'!I24-'[20]Summary - LDC'!I$23/2-'[21]Summary - LDC'!I$23/2)*1000</f>
        <v>3122435.8421631912</v>
      </c>
      <c r="C8" s="85"/>
      <c r="D8" s="85"/>
      <c r="E8" s="85"/>
      <c r="F8" s="85">
        <f t="shared" si="1"/>
        <v>3122435.8421631912</v>
      </c>
      <c r="G8" s="85">
        <f>F8-H69</f>
        <v>-704063.44309081603</v>
      </c>
      <c r="H8" s="85">
        <f t="shared" si="0"/>
        <v>-9026.4543986002063</v>
      </c>
      <c r="J8" s="86">
        <f>G81</f>
        <v>3122435.8421631916</v>
      </c>
      <c r="K8" s="86">
        <f t="shared" si="2"/>
        <v>0</v>
      </c>
      <c r="M8" s="106" t="s">
        <v>100</v>
      </c>
      <c r="N8" s="106">
        <v>6</v>
      </c>
      <c r="Q8" s="97" t="s">
        <v>61</v>
      </c>
      <c r="R8" s="96">
        <v>2018</v>
      </c>
      <c r="S8" s="96">
        <v>2019</v>
      </c>
    </row>
    <row r="9" spans="1:19">
      <c r="A9">
        <v>2011</v>
      </c>
      <c r="B9" s="85">
        <f>('[21]Summary - LDC'!J24+'[20]Summary - LDC'!J24)*1000</f>
        <v>3107359.7558825547</v>
      </c>
      <c r="C9" s="183">
        <f>'[22]2011'!AR35</f>
        <v>400221.73733411991</v>
      </c>
      <c r="F9" s="85">
        <f t="shared" si="1"/>
        <v>3507581.4932166748</v>
      </c>
      <c r="G9" s="85">
        <f>F9-H81</f>
        <v>980891.64136109781</v>
      </c>
      <c r="H9" s="85">
        <f t="shared" si="0"/>
        <v>12575.533863603818</v>
      </c>
      <c r="J9" s="86">
        <f>G93</f>
        <v>3507581.4932166752</v>
      </c>
      <c r="K9" s="86">
        <f t="shared" si="2"/>
        <v>0</v>
      </c>
      <c r="M9" s="106" t="s">
        <v>101</v>
      </c>
      <c r="N9" s="106">
        <v>7</v>
      </c>
      <c r="Q9" s="97" t="s">
        <v>121</v>
      </c>
      <c r="R9" s="121">
        <f>'[23]D. CDM Plan Milestone LDC 2'!$U$85*1000</f>
        <v>826560.44934535457</v>
      </c>
      <c r="S9" s="121">
        <f>R9</f>
        <v>826560.44934535457</v>
      </c>
    </row>
    <row r="10" spans="1:19">
      <c r="A10">
        <v>2012</v>
      </c>
      <c r="B10" s="85">
        <f>('[21]Summary - LDC'!K24+'[20]Summary - LDC'!K24)*1000</f>
        <v>3023111.7243767641</v>
      </c>
      <c r="C10" s="183">
        <f>'[22]2011'!AS35</f>
        <v>1637933.8999390081</v>
      </c>
      <c r="D10" s="85"/>
      <c r="E10" s="85"/>
      <c r="F10" s="85">
        <f t="shared" si="1"/>
        <v>4661045.6243157722</v>
      </c>
      <c r="G10" s="85">
        <f>F10-H93</f>
        <v>323478.89610124379</v>
      </c>
      <c r="H10" s="85">
        <f t="shared" si="0"/>
        <v>4147.1653346313306</v>
      </c>
      <c r="J10" s="86">
        <f>G105</f>
        <v>4661045.6243157731</v>
      </c>
      <c r="K10" s="86">
        <f>F10-J10</f>
        <v>0</v>
      </c>
      <c r="M10" s="106" t="s">
        <v>102</v>
      </c>
      <c r="N10" s="106">
        <v>8</v>
      </c>
      <c r="Q10" s="97" t="s">
        <v>153</v>
      </c>
      <c r="R10" s="122"/>
      <c r="S10" s="121">
        <f>'[23]D. CDM Plan Milestone LDC 2'!$W$85*1000</f>
        <v>680070.8493453546</v>
      </c>
    </row>
    <row r="11" spans="1:19">
      <c r="A11">
        <v>2013</v>
      </c>
      <c r="B11" s="85">
        <f>('[21]Summary - LDC'!L24+'[20]Summary - LDC'!L24)*1000</f>
        <v>2987737.5721033341</v>
      </c>
      <c r="C11" s="183">
        <f>'[22]2011'!AT35</f>
        <v>2931154.3485697471</v>
      </c>
      <c r="D11" s="85"/>
      <c r="E11" s="85"/>
      <c r="F11" s="85">
        <f t="shared" si="1"/>
        <v>5918891.9206730817</v>
      </c>
      <c r="G11" s="85">
        <f>F11-H105</f>
        <v>984133.38427164033</v>
      </c>
      <c r="H11" s="85">
        <f t="shared" si="0"/>
        <v>12617.094670149236</v>
      </c>
      <c r="J11" s="86">
        <f>G117</f>
        <v>5918891.9206730835</v>
      </c>
      <c r="K11" s="86">
        <f t="shared" si="2"/>
        <v>0</v>
      </c>
      <c r="M11" s="106" t="s">
        <v>103</v>
      </c>
      <c r="N11" s="106">
        <v>9</v>
      </c>
      <c r="Q11" s="174" t="s">
        <v>17</v>
      </c>
      <c r="R11" s="120">
        <f>SUM(R9:R10)</f>
        <v>826560.44934535457</v>
      </c>
      <c r="S11" s="120">
        <f t="shared" ref="S11" si="4">SUM(S9:S10)</f>
        <v>1506631.2986907093</v>
      </c>
    </row>
    <row r="12" spans="1:19">
      <c r="A12">
        <v>2014</v>
      </c>
      <c r="B12" s="85">
        <f>('[21]Summary - LDC'!M24+'[20]Summary - LDC'!M24)*1000</f>
        <v>2777403.847705768</v>
      </c>
      <c r="C12" s="183">
        <f>'[22]2011'!AU35</f>
        <v>4568488.1742371134</v>
      </c>
      <c r="D12" s="85"/>
      <c r="E12" s="85"/>
      <c r="F12" s="85">
        <f t="shared" si="1"/>
        <v>7345892.0219428819</v>
      </c>
      <c r="G12" s="85">
        <f>F12-H117</f>
        <v>594271.85303994734</v>
      </c>
      <c r="H12" s="85">
        <f t="shared" si="0"/>
        <v>7618.8699107685552</v>
      </c>
      <c r="J12" s="86">
        <f>G129</f>
        <v>7345892.0219428847</v>
      </c>
      <c r="K12" s="86">
        <f t="shared" si="2"/>
        <v>0</v>
      </c>
      <c r="M12" s="106" t="s">
        <v>104</v>
      </c>
      <c r="N12" s="106">
        <v>10</v>
      </c>
    </row>
    <row r="13" spans="1:19">
      <c r="A13">
        <v>2015</v>
      </c>
      <c r="B13" s="85">
        <f>('[21]Summary - LDC'!N24+'[20]Summary - LDC'!N24)*1000</f>
        <v>2224944.0521137356</v>
      </c>
      <c r="C13" s="183">
        <f>'[22]2011'!AV35</f>
        <v>5400097.0520439651</v>
      </c>
      <c r="D13" s="85">
        <f>'[24]LDC Savings Persistence'!$BN$232/2</f>
        <v>2626679.5</v>
      </c>
      <c r="E13" s="85"/>
      <c r="F13" s="85">
        <f t="shared" si="1"/>
        <v>10251720.604157701</v>
      </c>
      <c r="G13" s="85">
        <f>F13-H129</f>
        <v>2402983.1681040907</v>
      </c>
      <c r="H13" s="85">
        <f t="shared" si="0"/>
        <v>30807.476514155009</v>
      </c>
      <c r="J13" s="86">
        <f>G141</f>
        <v>10251720.604157703</v>
      </c>
      <c r="K13" s="86">
        <f t="shared" si="2"/>
        <v>0</v>
      </c>
      <c r="M13" s="106" t="s">
        <v>105</v>
      </c>
      <c r="N13" s="106">
        <v>11</v>
      </c>
      <c r="Q13" s="97" t="s">
        <v>113</v>
      </c>
      <c r="R13" s="96">
        <v>2018</v>
      </c>
      <c r="S13" s="96">
        <v>2019</v>
      </c>
    </row>
    <row r="14" spans="1:19">
      <c r="A14">
        <v>2016</v>
      </c>
      <c r="B14" s="85">
        <f>('[21]Summary - LDC'!O24+'[20]Summary - LDC'!O24)*1000</f>
        <v>2078197.1172568437</v>
      </c>
      <c r="C14" s="183">
        <f>'[22]2011'!AW35</f>
        <v>5018785.4826802164</v>
      </c>
      <c r="D14" s="85">
        <f>'[24]LDC Savings Persistence'!$BO$232-'[24]LDC Savings Persistence'!$BO$230/2</f>
        <v>6443691</v>
      </c>
      <c r="E14" s="85"/>
      <c r="F14" s="85">
        <f t="shared" si="1"/>
        <v>13540673.599937059</v>
      </c>
      <c r="G14" s="85">
        <f>F14-H141</f>
        <v>1255659.5458451211</v>
      </c>
      <c r="H14" s="85">
        <f t="shared" si="0"/>
        <v>16098.199305706681</v>
      </c>
      <c r="J14" s="86">
        <f>G153</f>
        <v>13540673.599937057</v>
      </c>
      <c r="K14" s="86">
        <f t="shared" si="2"/>
        <v>0</v>
      </c>
      <c r="M14" s="106" t="s">
        <v>106</v>
      </c>
      <c r="N14" s="106">
        <v>12</v>
      </c>
      <c r="Q14" s="97" t="s">
        <v>121</v>
      </c>
      <c r="R14" s="121">
        <f>'[23]D. CDM Plan Milestone LDC 2'!$U$86*1000</f>
        <v>144018.15199999997</v>
      </c>
      <c r="S14" s="121">
        <f>R14</f>
        <v>144018.15199999997</v>
      </c>
    </row>
    <row r="15" spans="1:19">
      <c r="A15">
        <v>2017</v>
      </c>
      <c r="B15" s="85">
        <f>('[21]Summary - LDC'!P24+'[20]Summary - LDC'!P24)*1000</f>
        <v>1470942.2208651591</v>
      </c>
      <c r="C15" s="183">
        <f>'[22]2011'!AX35</f>
        <v>3715799.6313735764</v>
      </c>
      <c r="D15" s="85">
        <f>'[24]LDC Savings Persistence'!$BP$232</f>
        <v>7664982</v>
      </c>
      <c r="E15" s="85">
        <f>'[23]D. CDM Plan Milestone LDC 2'!$S$80/2*1000</f>
        <v>1186936.6433770359</v>
      </c>
      <c r="F15" s="85">
        <f t="shared" si="1"/>
        <v>14038660.495615771</v>
      </c>
      <c r="G15" s="85">
        <f>F15-H153</f>
        <v>-564494.25849792548</v>
      </c>
      <c r="H15" s="85">
        <f t="shared" si="0"/>
        <v>-7237.1058781785314</v>
      </c>
      <c r="J15" s="86">
        <f>G165</f>
        <v>14038660.495615773</v>
      </c>
      <c r="K15" s="86">
        <f t="shared" si="2"/>
        <v>0</v>
      </c>
      <c r="M15" s="106" t="s">
        <v>10</v>
      </c>
      <c r="N15" s="106">
        <f>SUM(N3:N14)</f>
        <v>78</v>
      </c>
      <c r="Q15" s="97" t="s">
        <v>153</v>
      </c>
      <c r="R15" s="122"/>
      <c r="S15" s="121">
        <f>'[23]D. CDM Plan Milestone LDC 2'!$W$86*1000</f>
        <v>144018.15199999997</v>
      </c>
    </row>
    <row r="16" spans="1:19">
      <c r="A16">
        <v>2018</v>
      </c>
      <c r="B16" s="85">
        <f>('[21]Summary - LDC'!Q24+'[20]Summary - LDC'!Q24)*1000</f>
        <v>827765.83287634072</v>
      </c>
      <c r="C16" s="183">
        <f>'[22]2011'!AY35</f>
        <v>3634424.7846477646</v>
      </c>
      <c r="D16" s="85">
        <f>'[24]LDC Savings Persistence'!$BQ$232</f>
        <v>7658189</v>
      </c>
      <c r="E16" s="85">
        <f>'[23]D. CDM Plan Milestone LDC 2'!$S$80*1000</f>
        <v>2373873.2867540717</v>
      </c>
      <c r="F16" s="85">
        <f t="shared" si="1"/>
        <v>14494252.904278178</v>
      </c>
      <c r="G16" s="85">
        <f>F16-H165</f>
        <v>933241.39662218466</v>
      </c>
      <c r="H16" s="85">
        <f t="shared" si="0"/>
        <v>11964.633290028009</v>
      </c>
      <c r="J16" s="86">
        <f>G177</f>
        <v>14494252.904278174</v>
      </c>
      <c r="K16" s="86">
        <f t="shared" si="2"/>
        <v>0</v>
      </c>
      <c r="Q16" s="174" t="s">
        <v>17</v>
      </c>
      <c r="R16" s="120">
        <f>SUM(R14:R15)</f>
        <v>144018.15199999997</v>
      </c>
      <c r="S16" s="120">
        <f t="shared" ref="S16" si="5">SUM(S14:S15)</f>
        <v>288036.30399999995</v>
      </c>
    </row>
    <row r="17" spans="1:19">
      <c r="A17">
        <v>2019</v>
      </c>
      <c r="B17" s="85">
        <f>('[21]Summary - LDC'!R24+'[20]Summary - LDC'!R24)*1000</f>
        <v>770436.93001392903</v>
      </c>
      <c r="C17" s="183">
        <f>'[22]2011'!AZ35</f>
        <v>3632027.9581203917</v>
      </c>
      <c r="D17" s="86">
        <f>'[24]LDC Savings Persistence'!$BR$232</f>
        <v>7651765</v>
      </c>
      <c r="E17" s="85">
        <f>E16/D15*D16</f>
        <v>2371769.4695191556</v>
      </c>
      <c r="F17" s="85">
        <f t="shared" si="1"/>
        <v>14425999.357653476</v>
      </c>
      <c r="G17" s="85">
        <f>F17-H177</f>
        <v>-857919.34376654401</v>
      </c>
      <c r="H17" s="85">
        <f t="shared" si="0"/>
        <v>-10998.965945724924</v>
      </c>
      <c r="J17" s="86">
        <f>G189</f>
        <v>14425999.35765348</v>
      </c>
      <c r="K17" s="86">
        <f t="shared" si="2"/>
        <v>0</v>
      </c>
    </row>
    <row r="18" spans="1:19">
      <c r="A18" t="s">
        <v>10</v>
      </c>
      <c r="B18" s="85">
        <f>SUM(B3:B17)</f>
        <v>29510526.087076738</v>
      </c>
      <c r="C18" s="85">
        <f>SUM(C3:C17)</f>
        <v>30938933.0689459</v>
      </c>
      <c r="D18" s="85">
        <f>SUM(D3:D17)</f>
        <v>32045306.5</v>
      </c>
      <c r="E18" s="85">
        <f>SUM(E3:E17)</f>
        <v>5932579.3996502627</v>
      </c>
      <c r="F18" s="85">
        <f t="shared" si="1"/>
        <v>98427345.055672899</v>
      </c>
      <c r="G18" s="85"/>
      <c r="H18" s="85"/>
      <c r="J18" s="86"/>
      <c r="K18" s="86"/>
      <c r="Q18" s="97" t="s">
        <v>114</v>
      </c>
      <c r="R18" s="96">
        <v>2018</v>
      </c>
      <c r="S18" s="96">
        <v>2019</v>
      </c>
    </row>
    <row r="19" spans="1:19">
      <c r="B19" s="85"/>
      <c r="C19" s="85"/>
      <c r="D19" s="85"/>
      <c r="E19" s="85"/>
      <c r="F19" s="85"/>
      <c r="Q19" s="97" t="s">
        <v>121</v>
      </c>
      <c r="R19" s="121">
        <f>'[23]D. CDM Plan Milestone LDC 2'!$U$87*1000</f>
        <v>1662795.39466</v>
      </c>
      <c r="S19" s="121">
        <f>R19</f>
        <v>1662795.39466</v>
      </c>
    </row>
    <row r="20" spans="1:19">
      <c r="F20" s="85" t="s">
        <v>94</v>
      </c>
      <c r="Q20" s="97" t="s">
        <v>153</v>
      </c>
      <c r="R20" s="122"/>
      <c r="S20" s="121">
        <f>'[23]D. CDM Plan Milestone LDC 2'!$W$87*1000</f>
        <v>1625274.3030600001</v>
      </c>
    </row>
    <row r="21" spans="1:19">
      <c r="F21" s="85"/>
      <c r="Q21" s="174" t="s">
        <v>17</v>
      </c>
      <c r="R21" s="120">
        <f>SUM(R19:R20)</f>
        <v>1662795.39466</v>
      </c>
      <c r="S21" s="120">
        <f>SUM(S19:S20)</f>
        <v>3288069.6977200001</v>
      </c>
    </row>
    <row r="22" spans="1:19" ht="12.75" customHeight="1">
      <c r="A22" s="3">
        <v>38718</v>
      </c>
      <c r="F22" s="85">
        <f>$H$4</f>
        <v>6730.0863946636509</v>
      </c>
    </row>
    <row r="23" spans="1:19">
      <c r="A23" s="3">
        <v>38749</v>
      </c>
      <c r="F23" s="85">
        <f t="shared" ref="F23:F33" si="6">F22+$H$4</f>
        <v>13460.172789327302</v>
      </c>
    </row>
    <row r="24" spans="1:19">
      <c r="A24" s="3">
        <v>38777</v>
      </c>
      <c r="B24" s="3"/>
      <c r="C24" s="3"/>
      <c r="D24" s="3"/>
      <c r="E24" s="3"/>
      <c r="F24" s="85">
        <f t="shared" si="6"/>
        <v>20190.259183990951</v>
      </c>
    </row>
    <row r="25" spans="1:19">
      <c r="A25" s="3">
        <v>38808</v>
      </c>
      <c r="B25" s="3"/>
      <c r="C25" s="3"/>
      <c r="D25" s="3"/>
      <c r="E25" s="3"/>
      <c r="F25" s="85">
        <f t="shared" si="6"/>
        <v>26920.345578654604</v>
      </c>
    </row>
    <row r="26" spans="1:19">
      <c r="A26" s="3">
        <v>38838</v>
      </c>
      <c r="B26" s="3"/>
      <c r="C26" s="3"/>
      <c r="D26" s="3"/>
      <c r="E26" s="3"/>
      <c r="F26" s="85">
        <f t="shared" si="6"/>
        <v>33650.431973318256</v>
      </c>
    </row>
    <row r="27" spans="1:19">
      <c r="A27" s="3">
        <v>38869</v>
      </c>
      <c r="B27" s="3"/>
      <c r="C27" s="3"/>
      <c r="D27" s="3"/>
      <c r="E27" s="3"/>
      <c r="F27" s="85">
        <f t="shared" si="6"/>
        <v>40380.518367981909</v>
      </c>
    </row>
    <row r="28" spans="1:19">
      <c r="A28" s="3">
        <v>38899</v>
      </c>
      <c r="B28" s="3"/>
      <c r="C28" s="3"/>
      <c r="D28" s="3"/>
      <c r="E28" s="3"/>
      <c r="F28" s="85">
        <f t="shared" si="6"/>
        <v>47110.604762645562</v>
      </c>
    </row>
    <row r="29" spans="1:19">
      <c r="A29" s="3">
        <v>38930</v>
      </c>
      <c r="B29" s="3"/>
      <c r="C29" s="3"/>
      <c r="D29" s="3"/>
      <c r="E29" s="3"/>
      <c r="F29" s="85">
        <f t="shared" si="6"/>
        <v>53840.691157309215</v>
      </c>
    </row>
    <row r="30" spans="1:19">
      <c r="A30" s="3">
        <v>38961</v>
      </c>
      <c r="B30" s="3"/>
      <c r="C30" s="3"/>
      <c r="D30" s="3"/>
      <c r="E30" s="3"/>
      <c r="F30" s="85">
        <f t="shared" si="6"/>
        <v>60570.777551972868</v>
      </c>
    </row>
    <row r="31" spans="1:19">
      <c r="A31" s="3">
        <v>38991</v>
      </c>
      <c r="B31" s="3"/>
      <c r="C31" s="3"/>
      <c r="D31" s="3"/>
      <c r="E31" s="3"/>
      <c r="F31" s="85">
        <f t="shared" si="6"/>
        <v>67300.863946636513</v>
      </c>
    </row>
    <row r="32" spans="1:19">
      <c r="A32" s="3">
        <v>39022</v>
      </c>
      <c r="B32" s="3"/>
      <c r="C32" s="3"/>
      <c r="D32" s="3"/>
      <c r="E32" s="3"/>
      <c r="F32" s="85">
        <f t="shared" si="6"/>
        <v>74030.950341300166</v>
      </c>
      <c r="G32" s="4" t="s">
        <v>95</v>
      </c>
    </row>
    <row r="33" spans="1:8">
      <c r="A33" s="3">
        <v>39052</v>
      </c>
      <c r="B33" s="3"/>
      <c r="C33" s="3"/>
      <c r="D33" s="3"/>
      <c r="E33" s="3"/>
      <c r="F33" s="85">
        <f t="shared" si="6"/>
        <v>80761.036735963819</v>
      </c>
      <c r="G33" s="85">
        <f>SUM(F22:F33)</f>
        <v>524946.73878376477</v>
      </c>
      <c r="H33" s="85">
        <f>F33*12</f>
        <v>969132.44083156576</v>
      </c>
    </row>
    <row r="34" spans="1:8">
      <c r="A34" s="3">
        <v>39083</v>
      </c>
      <c r="B34" s="3"/>
      <c r="C34" s="3"/>
      <c r="D34" s="3"/>
      <c r="E34" s="3"/>
      <c r="F34" s="85">
        <f t="shared" ref="F34:F45" si="7">F33+$H$5</f>
        <v>88482.242655479262</v>
      </c>
    </row>
    <row r="35" spans="1:8">
      <c r="A35" s="3">
        <v>39114</v>
      </c>
      <c r="B35" s="3"/>
      <c r="C35" s="3"/>
      <c r="D35" s="3"/>
      <c r="E35" s="3"/>
      <c r="F35" s="85">
        <f t="shared" si="7"/>
        <v>96203.448574994705</v>
      </c>
    </row>
    <row r="36" spans="1:8">
      <c r="A36" s="3">
        <v>39142</v>
      </c>
      <c r="B36" s="3"/>
      <c r="C36" s="3"/>
      <c r="D36" s="3"/>
      <c r="E36" s="3"/>
      <c r="F36" s="85">
        <f t="shared" si="7"/>
        <v>103924.65449451015</v>
      </c>
    </row>
    <row r="37" spans="1:8">
      <c r="A37" s="3">
        <v>39173</v>
      </c>
      <c r="B37" s="3"/>
      <c r="C37" s="3"/>
      <c r="D37" s="3"/>
      <c r="E37" s="3"/>
      <c r="F37" s="85">
        <f t="shared" si="7"/>
        <v>111645.86041402559</v>
      </c>
    </row>
    <row r="38" spans="1:8">
      <c r="A38" s="3">
        <v>39203</v>
      </c>
      <c r="B38" s="3"/>
      <c r="C38" s="3"/>
      <c r="D38" s="3"/>
      <c r="E38" s="3"/>
      <c r="F38" s="85">
        <f t="shared" si="7"/>
        <v>119367.06633354104</v>
      </c>
    </row>
    <row r="39" spans="1:8">
      <c r="A39" s="3">
        <v>39234</v>
      </c>
      <c r="B39" s="3"/>
      <c r="C39" s="3"/>
      <c r="D39" s="3"/>
      <c r="E39" s="3"/>
      <c r="F39" s="85">
        <f t="shared" si="7"/>
        <v>127088.27225305648</v>
      </c>
    </row>
    <row r="40" spans="1:8">
      <c r="A40" s="3">
        <v>39264</v>
      </c>
      <c r="B40" s="3"/>
      <c r="C40" s="3"/>
      <c r="D40" s="3"/>
      <c r="E40" s="3"/>
      <c r="F40" s="85">
        <f t="shared" si="7"/>
        <v>134809.47817257192</v>
      </c>
    </row>
    <row r="41" spans="1:8">
      <c r="A41" s="3">
        <v>39295</v>
      </c>
      <c r="B41" s="3"/>
      <c r="C41" s="3"/>
      <c r="D41" s="3"/>
      <c r="E41" s="3"/>
      <c r="F41" s="85">
        <f t="shared" si="7"/>
        <v>142530.68409208738</v>
      </c>
    </row>
    <row r="42" spans="1:8">
      <c r="A42" s="3">
        <v>39326</v>
      </c>
      <c r="B42" s="3"/>
      <c r="C42" s="3"/>
      <c r="D42" s="3"/>
      <c r="E42" s="3"/>
      <c r="F42" s="85">
        <f t="shared" si="7"/>
        <v>150251.89001160284</v>
      </c>
    </row>
    <row r="43" spans="1:8">
      <c r="A43" s="3">
        <v>39356</v>
      </c>
      <c r="B43" s="3"/>
      <c r="C43" s="3"/>
      <c r="D43" s="3"/>
      <c r="E43" s="3"/>
      <c r="F43" s="85">
        <f t="shared" si="7"/>
        <v>157973.0959311183</v>
      </c>
    </row>
    <row r="44" spans="1:8">
      <c r="A44" s="3">
        <v>39387</v>
      </c>
      <c r="B44" s="3"/>
      <c r="C44" s="3"/>
      <c r="D44" s="3"/>
      <c r="E44" s="3"/>
      <c r="F44" s="85">
        <f t="shared" si="7"/>
        <v>165694.30185063375</v>
      </c>
      <c r="G44" s="4" t="s">
        <v>95</v>
      </c>
    </row>
    <row r="45" spans="1:8">
      <c r="A45" s="3">
        <v>39417</v>
      </c>
      <c r="B45" s="3"/>
      <c r="C45" s="3"/>
      <c r="D45" s="3"/>
      <c r="E45" s="3"/>
      <c r="F45" s="85">
        <f t="shared" si="7"/>
        <v>173415.50777014921</v>
      </c>
      <c r="G45" s="85">
        <f>SUM(F34:F45)</f>
        <v>1571386.5025537708</v>
      </c>
      <c r="H45" s="85">
        <f>F45*12</f>
        <v>2080986.0932417905</v>
      </c>
    </row>
    <row r="46" spans="1:8">
      <c r="A46" s="3">
        <v>39448</v>
      </c>
      <c r="B46" s="3"/>
      <c r="C46" s="3"/>
      <c r="D46" s="3"/>
      <c r="E46" s="3"/>
      <c r="F46" s="85">
        <f t="shared" ref="F46:F57" si="8">F45+$H$6</f>
        <v>172834.94840596907</v>
      </c>
    </row>
    <row r="47" spans="1:8">
      <c r="A47" s="3">
        <v>39479</v>
      </c>
      <c r="B47" s="3"/>
      <c r="C47" s="3"/>
      <c r="D47" s="3"/>
      <c r="E47" s="3"/>
      <c r="F47" s="85">
        <f t="shared" si="8"/>
        <v>172254.38904178893</v>
      </c>
    </row>
    <row r="48" spans="1:8">
      <c r="A48" s="3">
        <v>39508</v>
      </c>
      <c r="B48" s="3"/>
      <c r="C48" s="3"/>
      <c r="D48" s="3"/>
      <c r="E48" s="3"/>
      <c r="F48" s="85">
        <f t="shared" si="8"/>
        <v>171673.8296776088</v>
      </c>
    </row>
    <row r="49" spans="1:8">
      <c r="A49" s="3">
        <v>39539</v>
      </c>
      <c r="B49" s="3"/>
      <c r="C49" s="3"/>
      <c r="D49" s="3"/>
      <c r="E49" s="3"/>
      <c r="F49" s="85">
        <f t="shared" si="8"/>
        <v>171093.27031342866</v>
      </c>
    </row>
    <row r="50" spans="1:8">
      <c r="A50" s="3">
        <v>39569</v>
      </c>
      <c r="B50" s="3"/>
      <c r="C50" s="3"/>
      <c r="D50" s="3"/>
      <c r="E50" s="3"/>
      <c r="F50" s="85">
        <f t="shared" si="8"/>
        <v>170512.71094924852</v>
      </c>
    </row>
    <row r="51" spans="1:8">
      <c r="A51" s="3">
        <v>39600</v>
      </c>
      <c r="B51" s="3"/>
      <c r="C51" s="3"/>
      <c r="D51" s="3"/>
      <c r="E51" s="3"/>
      <c r="F51" s="85">
        <f t="shared" si="8"/>
        <v>169932.15158506838</v>
      </c>
    </row>
    <row r="52" spans="1:8">
      <c r="A52" s="3">
        <v>39630</v>
      </c>
      <c r="B52" s="3"/>
      <c r="C52" s="3"/>
      <c r="D52" s="3"/>
      <c r="E52" s="3"/>
      <c r="F52" s="85">
        <f t="shared" si="8"/>
        <v>169351.59222088824</v>
      </c>
    </row>
    <row r="53" spans="1:8">
      <c r="A53" s="3">
        <v>39661</v>
      </c>
      <c r="B53" s="3"/>
      <c r="C53" s="3"/>
      <c r="D53" s="3"/>
      <c r="E53" s="3"/>
      <c r="F53" s="85">
        <f t="shared" si="8"/>
        <v>168771.0328567081</v>
      </c>
    </row>
    <row r="54" spans="1:8">
      <c r="A54" s="3">
        <v>39692</v>
      </c>
      <c r="B54" s="3"/>
      <c r="C54" s="3"/>
      <c r="D54" s="3"/>
      <c r="E54" s="3"/>
      <c r="F54" s="85">
        <f t="shared" si="8"/>
        <v>168190.47349252796</v>
      </c>
    </row>
    <row r="55" spans="1:8">
      <c r="A55" s="3">
        <v>39722</v>
      </c>
      <c r="B55" s="3"/>
      <c r="C55" s="3"/>
      <c r="D55" s="3"/>
      <c r="E55" s="3"/>
      <c r="F55" s="85">
        <f t="shared" si="8"/>
        <v>167609.91412834782</v>
      </c>
    </row>
    <row r="56" spans="1:8">
      <c r="A56" s="3">
        <v>39753</v>
      </c>
      <c r="B56" s="3"/>
      <c r="C56" s="3"/>
      <c r="D56" s="3"/>
      <c r="E56" s="3"/>
      <c r="F56" s="85">
        <f t="shared" si="8"/>
        <v>167029.35476416769</v>
      </c>
    </row>
    <row r="57" spans="1:8">
      <c r="A57" s="3">
        <v>39783</v>
      </c>
      <c r="B57" s="3"/>
      <c r="C57" s="3"/>
      <c r="D57" s="3"/>
      <c r="E57" s="3"/>
      <c r="F57" s="85">
        <f t="shared" si="8"/>
        <v>166448.79539998755</v>
      </c>
      <c r="G57" s="85">
        <f>SUM(F46:F57)</f>
        <v>2035702.4628357398</v>
      </c>
      <c r="H57" s="85">
        <f>F57*12</f>
        <v>1997385.5447998506</v>
      </c>
    </row>
    <row r="58" spans="1:8">
      <c r="A58" s="3">
        <v>39814</v>
      </c>
      <c r="B58" s="3"/>
      <c r="C58" s="3"/>
      <c r="D58" s="3"/>
      <c r="E58" s="3"/>
      <c r="F58" s="85">
        <f t="shared" ref="F58:F69" si="9">F57+$H$7</f>
        <v>179150.9741531414</v>
      </c>
    </row>
    <row r="59" spans="1:8">
      <c r="A59" s="3">
        <v>39845</v>
      </c>
      <c r="B59" s="3"/>
      <c r="C59" s="3"/>
      <c r="D59" s="3"/>
      <c r="E59" s="3"/>
      <c r="F59" s="85">
        <f t="shared" si="9"/>
        <v>191853.15290629526</v>
      </c>
    </row>
    <row r="60" spans="1:8">
      <c r="A60" s="3">
        <v>39873</v>
      </c>
      <c r="B60" s="3"/>
      <c r="C60" s="3"/>
      <c r="D60" s="3"/>
      <c r="E60" s="3"/>
      <c r="F60" s="85">
        <f t="shared" si="9"/>
        <v>204555.33165944912</v>
      </c>
    </row>
    <row r="61" spans="1:8">
      <c r="A61" s="3">
        <v>39904</v>
      </c>
      <c r="B61" s="3"/>
      <c r="C61" s="3"/>
      <c r="D61" s="3"/>
      <c r="E61" s="3"/>
      <c r="F61" s="85">
        <f t="shared" si="9"/>
        <v>217257.51041260298</v>
      </c>
    </row>
    <row r="62" spans="1:8">
      <c r="A62" s="3">
        <v>39934</v>
      </c>
      <c r="B62" s="3"/>
      <c r="C62" s="3"/>
      <c r="D62" s="3"/>
      <c r="E62" s="3"/>
      <c r="F62" s="85">
        <f t="shared" si="9"/>
        <v>229959.68916575683</v>
      </c>
    </row>
    <row r="63" spans="1:8">
      <c r="A63" s="3">
        <v>39965</v>
      </c>
      <c r="B63" s="3"/>
      <c r="C63" s="3"/>
      <c r="D63" s="3"/>
      <c r="E63" s="3"/>
      <c r="F63" s="85">
        <f t="shared" si="9"/>
        <v>242661.86791891069</v>
      </c>
    </row>
    <row r="64" spans="1:8">
      <c r="A64" s="3">
        <v>39995</v>
      </c>
      <c r="B64" s="3"/>
      <c r="C64" s="3"/>
      <c r="D64" s="3"/>
      <c r="E64" s="3"/>
      <c r="F64" s="85">
        <f t="shared" si="9"/>
        <v>255364.04667206455</v>
      </c>
    </row>
    <row r="65" spans="1:8">
      <c r="A65" s="3">
        <v>40026</v>
      </c>
      <c r="B65" s="3"/>
      <c r="C65" s="3"/>
      <c r="D65" s="3"/>
      <c r="E65" s="3"/>
      <c r="F65" s="85">
        <f t="shared" si="9"/>
        <v>268066.22542521841</v>
      </c>
    </row>
    <row r="66" spans="1:8">
      <c r="A66" s="3">
        <v>40057</v>
      </c>
      <c r="B66" s="3"/>
      <c r="C66" s="3"/>
      <c r="D66" s="3"/>
      <c r="E66" s="3"/>
      <c r="F66" s="85">
        <f t="shared" si="9"/>
        <v>280768.40417837229</v>
      </c>
    </row>
    <row r="67" spans="1:8">
      <c r="A67" s="3">
        <v>40087</v>
      </c>
      <c r="B67" s="3"/>
      <c r="C67" s="3"/>
      <c r="D67" s="3"/>
      <c r="E67" s="3"/>
      <c r="F67" s="85">
        <f t="shared" si="9"/>
        <v>293470.58293152618</v>
      </c>
    </row>
    <row r="68" spans="1:8">
      <c r="A68" s="3">
        <v>40118</v>
      </c>
      <c r="B68" s="3"/>
      <c r="C68" s="3"/>
      <c r="D68" s="3"/>
      <c r="E68" s="3"/>
      <c r="F68" s="85">
        <f t="shared" si="9"/>
        <v>306172.76168468007</v>
      </c>
    </row>
    <row r="69" spans="1:8">
      <c r="A69" s="3">
        <v>40148</v>
      </c>
      <c r="B69" s="3"/>
      <c r="C69" s="3"/>
      <c r="D69" s="3"/>
      <c r="E69" s="3"/>
      <c r="F69" s="85">
        <f t="shared" si="9"/>
        <v>318874.94043783395</v>
      </c>
      <c r="G69" s="85">
        <f>SUM(F58:F69)</f>
        <v>2988155.4875458516</v>
      </c>
      <c r="H69" s="85">
        <f>F69*12</f>
        <v>3826499.2852540072</v>
      </c>
    </row>
    <row r="70" spans="1:8">
      <c r="A70" s="3">
        <v>40179</v>
      </c>
      <c r="B70" s="3"/>
      <c r="C70" s="3"/>
      <c r="D70" s="3"/>
      <c r="E70" s="3"/>
      <c r="F70" s="85">
        <f t="shared" ref="F70:F81" si="10">F69+$H$8</f>
        <v>309848.48603923374</v>
      </c>
    </row>
    <row r="71" spans="1:8">
      <c r="A71" s="3">
        <v>40210</v>
      </c>
      <c r="B71" s="3"/>
      <c r="C71" s="3"/>
      <c r="D71" s="3"/>
      <c r="E71" s="3"/>
      <c r="F71" s="85">
        <f t="shared" si="10"/>
        <v>300822.03164063353</v>
      </c>
    </row>
    <row r="72" spans="1:8">
      <c r="A72" s="3">
        <v>40238</v>
      </c>
      <c r="B72" s="3"/>
      <c r="C72" s="3"/>
      <c r="D72" s="3"/>
      <c r="E72" s="3"/>
      <c r="F72" s="85">
        <f t="shared" si="10"/>
        <v>291795.57724203332</v>
      </c>
    </row>
    <row r="73" spans="1:8">
      <c r="A73" s="3">
        <v>40269</v>
      </c>
      <c r="B73" s="3"/>
      <c r="C73" s="3"/>
      <c r="D73" s="3"/>
      <c r="E73" s="3"/>
      <c r="F73" s="85">
        <f t="shared" si="10"/>
        <v>282769.12284343311</v>
      </c>
    </row>
    <row r="74" spans="1:8">
      <c r="A74" s="3">
        <v>40299</v>
      </c>
      <c r="B74" s="3"/>
      <c r="C74" s="3"/>
      <c r="D74" s="3"/>
      <c r="E74" s="3"/>
      <c r="F74" s="85">
        <f t="shared" si="10"/>
        <v>273742.6684448329</v>
      </c>
    </row>
    <row r="75" spans="1:8">
      <c r="A75" s="3">
        <v>40330</v>
      </c>
      <c r="B75" s="3"/>
      <c r="C75" s="3"/>
      <c r="D75" s="3"/>
      <c r="E75" s="3"/>
      <c r="F75" s="85">
        <f t="shared" si="10"/>
        <v>264716.21404623269</v>
      </c>
    </row>
    <row r="76" spans="1:8">
      <c r="A76" s="3">
        <v>40360</v>
      </c>
      <c r="B76" s="3"/>
      <c r="C76" s="3"/>
      <c r="D76" s="3"/>
      <c r="E76" s="3"/>
      <c r="F76" s="85">
        <f t="shared" si="10"/>
        <v>255689.75964763248</v>
      </c>
    </row>
    <row r="77" spans="1:8">
      <c r="A77" s="3">
        <v>40391</v>
      </c>
      <c r="B77" s="3"/>
      <c r="C77" s="3"/>
      <c r="D77" s="3"/>
      <c r="E77" s="3"/>
      <c r="F77" s="85">
        <f t="shared" si="10"/>
        <v>246663.30524903227</v>
      </c>
    </row>
    <row r="78" spans="1:8">
      <c r="A78" s="3">
        <v>40422</v>
      </c>
      <c r="B78" s="3"/>
      <c r="C78" s="3"/>
      <c r="D78" s="3"/>
      <c r="E78" s="3"/>
      <c r="F78" s="85">
        <f t="shared" si="10"/>
        <v>237636.85085043206</v>
      </c>
    </row>
    <row r="79" spans="1:8">
      <c r="A79" s="3">
        <v>40452</v>
      </c>
      <c r="B79" s="3"/>
      <c r="C79" s="3"/>
      <c r="D79" s="3"/>
      <c r="E79" s="3"/>
      <c r="F79" s="85">
        <f t="shared" si="10"/>
        <v>228610.39645183185</v>
      </c>
    </row>
    <row r="80" spans="1:8">
      <c r="A80" s="3">
        <v>40483</v>
      </c>
      <c r="B80" s="3"/>
      <c r="C80" s="3"/>
      <c r="D80" s="3"/>
      <c r="E80" s="3"/>
      <c r="F80" s="85">
        <f t="shared" si="10"/>
        <v>219583.94205323164</v>
      </c>
    </row>
    <row r="81" spans="1:8">
      <c r="A81" s="3">
        <v>40513</v>
      </c>
      <c r="B81" s="3"/>
      <c r="C81" s="3"/>
      <c r="D81" s="3"/>
      <c r="E81" s="3"/>
      <c r="F81" s="85">
        <f t="shared" si="10"/>
        <v>210557.48765463143</v>
      </c>
      <c r="G81" s="85">
        <f>SUM(F70:F81)</f>
        <v>3122435.8421631916</v>
      </c>
      <c r="H81" s="85">
        <f>F81*12</f>
        <v>2526689.851855577</v>
      </c>
    </row>
    <row r="82" spans="1:8">
      <c r="A82" s="3">
        <v>40544</v>
      </c>
      <c r="B82" s="3"/>
      <c r="C82" s="3"/>
      <c r="D82" s="3"/>
      <c r="E82" s="3"/>
      <c r="F82" s="85">
        <f t="shared" ref="F82:F93" si="11">F81+$H$9</f>
        <v>223133.02151823524</v>
      </c>
    </row>
    <row r="83" spans="1:8">
      <c r="A83" s="3">
        <v>40575</v>
      </c>
      <c r="B83" s="3"/>
      <c r="C83" s="3"/>
      <c r="D83" s="3"/>
      <c r="E83" s="3"/>
      <c r="F83" s="85">
        <f t="shared" si="11"/>
        <v>235708.55538183905</v>
      </c>
    </row>
    <row r="84" spans="1:8">
      <c r="A84" s="3">
        <v>40603</v>
      </c>
      <c r="B84" s="3"/>
      <c r="C84" s="3"/>
      <c r="D84" s="3"/>
      <c r="E84" s="3"/>
      <c r="F84" s="85">
        <f t="shared" si="11"/>
        <v>248284.08924544285</v>
      </c>
    </row>
    <row r="85" spans="1:8">
      <c r="A85" s="3">
        <v>40634</v>
      </c>
      <c r="B85" s="3"/>
      <c r="C85" s="3"/>
      <c r="D85" s="3"/>
      <c r="E85" s="3"/>
      <c r="F85" s="85">
        <f t="shared" si="11"/>
        <v>260859.62310904666</v>
      </c>
    </row>
    <row r="86" spans="1:8">
      <c r="A86" s="3">
        <v>40664</v>
      </c>
      <c r="B86" s="3"/>
      <c r="C86" s="3"/>
      <c r="D86" s="3"/>
      <c r="E86" s="3"/>
      <c r="F86" s="85">
        <f t="shared" si="11"/>
        <v>273435.1569726505</v>
      </c>
    </row>
    <row r="87" spans="1:8">
      <c r="A87" s="3">
        <v>40695</v>
      </c>
      <c r="B87" s="3"/>
      <c r="C87" s="3"/>
      <c r="D87" s="3"/>
      <c r="E87" s="3"/>
      <c r="F87" s="85">
        <f t="shared" si="11"/>
        <v>286010.69083625433</v>
      </c>
    </row>
    <row r="88" spans="1:8">
      <c r="A88" s="3">
        <v>40725</v>
      </c>
      <c r="B88" s="3"/>
      <c r="C88" s="3"/>
      <c r="D88" s="3"/>
      <c r="E88" s="3"/>
      <c r="F88" s="85">
        <f t="shared" si="11"/>
        <v>298586.22469985817</v>
      </c>
    </row>
    <row r="89" spans="1:8">
      <c r="A89" s="3">
        <v>40756</v>
      </c>
      <c r="B89" s="3"/>
      <c r="C89" s="3"/>
      <c r="D89" s="3"/>
      <c r="E89" s="3"/>
      <c r="F89" s="85">
        <f t="shared" si="11"/>
        <v>311161.758563462</v>
      </c>
    </row>
    <row r="90" spans="1:8">
      <c r="A90" s="3">
        <v>40787</v>
      </c>
      <c r="B90" s="3"/>
      <c r="C90" s="3"/>
      <c r="D90" s="3"/>
      <c r="E90" s="3"/>
      <c r="F90" s="85">
        <f t="shared" si="11"/>
        <v>323737.29242706584</v>
      </c>
    </row>
    <row r="91" spans="1:8">
      <c r="A91" s="3">
        <v>40817</v>
      </c>
      <c r="B91" s="3"/>
      <c r="C91" s="3"/>
      <c r="D91" s="3"/>
      <c r="E91" s="3"/>
      <c r="F91" s="85">
        <f t="shared" si="11"/>
        <v>336312.82629066968</v>
      </c>
    </row>
    <row r="92" spans="1:8">
      <c r="A92" s="3">
        <v>40848</v>
      </c>
      <c r="B92" s="3"/>
      <c r="C92" s="3"/>
      <c r="D92" s="3"/>
      <c r="E92" s="3"/>
      <c r="F92" s="85">
        <f t="shared" si="11"/>
        <v>348888.36015427351</v>
      </c>
    </row>
    <row r="93" spans="1:8">
      <c r="A93" s="3">
        <v>40878</v>
      </c>
      <c r="B93" s="3"/>
      <c r="C93" s="3"/>
      <c r="D93" s="3"/>
      <c r="E93" s="3"/>
      <c r="F93" s="85">
        <f t="shared" si="11"/>
        <v>361463.89401787735</v>
      </c>
      <c r="G93" s="85">
        <f>SUM(F82:F93)</f>
        <v>3507581.4932166752</v>
      </c>
      <c r="H93" s="85">
        <f>F93*12</f>
        <v>4337566.7282145284</v>
      </c>
    </row>
    <row r="94" spans="1:8">
      <c r="A94" s="3">
        <v>40909</v>
      </c>
      <c r="B94" s="3"/>
      <c r="C94" s="3"/>
      <c r="D94" s="3"/>
      <c r="E94" s="3"/>
      <c r="F94" s="85">
        <f>F93+$H$10</f>
        <v>365611.05935250869</v>
      </c>
    </row>
    <row r="95" spans="1:8">
      <c r="A95" s="3">
        <v>40940</v>
      </c>
      <c r="B95" s="3"/>
      <c r="C95" s="3"/>
      <c r="D95" s="3"/>
      <c r="E95" s="3"/>
      <c r="F95" s="85">
        <f t="shared" ref="F95:F105" si="12">F94+$H$10</f>
        <v>369758.22468714003</v>
      </c>
    </row>
    <row r="96" spans="1:8">
      <c r="A96" s="3">
        <v>40969</v>
      </c>
      <c r="B96" s="3"/>
      <c r="C96" s="3"/>
      <c r="D96" s="3"/>
      <c r="E96" s="3"/>
      <c r="F96" s="85">
        <f t="shared" si="12"/>
        <v>373905.39002177137</v>
      </c>
    </row>
    <row r="97" spans="1:8">
      <c r="A97" s="3">
        <v>41000</v>
      </c>
      <c r="B97" s="3"/>
      <c r="C97" s="3"/>
      <c r="D97" s="3"/>
      <c r="E97" s="3"/>
      <c r="F97" s="85">
        <f t="shared" si="12"/>
        <v>378052.55535640271</v>
      </c>
    </row>
    <row r="98" spans="1:8">
      <c r="A98" s="3">
        <v>41030</v>
      </c>
      <c r="B98" s="3"/>
      <c r="C98" s="3"/>
      <c r="D98" s="3"/>
      <c r="E98" s="3"/>
      <c r="F98" s="85">
        <f t="shared" si="12"/>
        <v>382199.72069103405</v>
      </c>
    </row>
    <row r="99" spans="1:8">
      <c r="A99" s="3">
        <v>41061</v>
      </c>
      <c r="B99" s="3"/>
      <c r="C99" s="3"/>
      <c r="D99" s="3"/>
      <c r="E99" s="3"/>
      <c r="F99" s="85">
        <f t="shared" si="12"/>
        <v>386346.88602566539</v>
      </c>
    </row>
    <row r="100" spans="1:8">
      <c r="A100" s="3">
        <v>41091</v>
      </c>
      <c r="B100" s="3"/>
      <c r="C100" s="3"/>
      <c r="D100" s="3"/>
      <c r="E100" s="3"/>
      <c r="F100" s="85">
        <f t="shared" si="12"/>
        <v>390494.05136029673</v>
      </c>
    </row>
    <row r="101" spans="1:8">
      <c r="A101" s="3">
        <v>41122</v>
      </c>
      <c r="B101" s="3"/>
      <c r="C101" s="3"/>
      <c r="D101" s="3"/>
      <c r="E101" s="3"/>
      <c r="F101" s="85">
        <f t="shared" si="12"/>
        <v>394641.21669492807</v>
      </c>
    </row>
    <row r="102" spans="1:8">
      <c r="A102" s="3">
        <v>41153</v>
      </c>
      <c r="B102" s="3"/>
      <c r="C102" s="3"/>
      <c r="D102" s="3"/>
      <c r="E102" s="3"/>
      <c r="F102" s="85">
        <f t="shared" si="12"/>
        <v>398788.38202955941</v>
      </c>
    </row>
    <row r="103" spans="1:8">
      <c r="A103" s="3">
        <v>41183</v>
      </c>
      <c r="B103" s="3"/>
      <c r="C103" s="3"/>
      <c r="D103" s="3"/>
      <c r="E103" s="3"/>
      <c r="F103" s="85">
        <f t="shared" si="12"/>
        <v>402935.54736419074</v>
      </c>
    </row>
    <row r="104" spans="1:8">
      <c r="A104" s="3">
        <v>41214</v>
      </c>
      <c r="B104" s="3"/>
      <c r="C104" s="3"/>
      <c r="D104" s="3"/>
      <c r="E104" s="3"/>
      <c r="F104" s="85">
        <f t="shared" si="12"/>
        <v>407082.71269882208</v>
      </c>
    </row>
    <row r="105" spans="1:8">
      <c r="A105" s="3">
        <v>41244</v>
      </c>
      <c r="B105" s="3"/>
      <c r="C105" s="3"/>
      <c r="D105" s="3"/>
      <c r="E105" s="3"/>
      <c r="F105" s="85">
        <f t="shared" si="12"/>
        <v>411229.87803345342</v>
      </c>
      <c r="G105" s="85">
        <f>SUM(F94:F105)</f>
        <v>4661045.6243157731</v>
      </c>
      <c r="H105" s="85">
        <f>F105*12</f>
        <v>4934758.5364014413</v>
      </c>
    </row>
    <row r="106" spans="1:8">
      <c r="A106" s="3">
        <v>41275</v>
      </c>
      <c r="B106" s="3"/>
      <c r="C106" s="3"/>
      <c r="D106" s="3"/>
      <c r="E106" s="3"/>
      <c r="F106" s="85">
        <f>F105+$H$11</f>
        <v>423846.97270360263</v>
      </c>
    </row>
    <row r="107" spans="1:8">
      <c r="A107" s="3">
        <v>41306</v>
      </c>
      <c r="B107" s="3"/>
      <c r="C107" s="3"/>
      <c r="D107" s="3"/>
      <c r="E107" s="3"/>
      <c r="F107" s="85">
        <f t="shared" ref="F107:F117" si="13">F106+$H$11</f>
        <v>436464.0673737519</v>
      </c>
    </row>
    <row r="108" spans="1:8">
      <c r="A108" s="3">
        <v>41334</v>
      </c>
      <c r="B108" s="3"/>
      <c r="C108" s="3"/>
      <c r="D108" s="3"/>
      <c r="E108" s="3"/>
      <c r="F108" s="85">
        <f t="shared" si="13"/>
        <v>449081.16204390116</v>
      </c>
    </row>
    <row r="109" spans="1:8">
      <c r="A109" s="3">
        <v>41365</v>
      </c>
      <c r="B109" s="3"/>
      <c r="C109" s="3"/>
      <c r="D109" s="3"/>
      <c r="E109" s="3"/>
      <c r="F109" s="85">
        <f t="shared" si="13"/>
        <v>461698.25671405043</v>
      </c>
    </row>
    <row r="110" spans="1:8">
      <c r="A110" s="3">
        <v>41395</v>
      </c>
      <c r="B110" s="3"/>
      <c r="C110" s="3"/>
      <c r="D110" s="3"/>
      <c r="E110" s="3"/>
      <c r="F110" s="85">
        <f t="shared" si="13"/>
        <v>474315.35138419969</v>
      </c>
    </row>
    <row r="111" spans="1:8">
      <c r="A111" s="3">
        <v>41426</v>
      </c>
      <c r="B111" s="3"/>
      <c r="C111" s="3"/>
      <c r="D111" s="3"/>
      <c r="E111" s="3"/>
      <c r="F111" s="85">
        <f t="shared" si="13"/>
        <v>486932.44605434895</v>
      </c>
    </row>
    <row r="112" spans="1:8">
      <c r="A112" s="3">
        <v>41456</v>
      </c>
      <c r="B112" s="3"/>
      <c r="C112" s="3"/>
      <c r="D112" s="3"/>
      <c r="E112" s="3"/>
      <c r="F112" s="85">
        <f t="shared" si="13"/>
        <v>499549.54072449822</v>
      </c>
    </row>
    <row r="113" spans="1:8">
      <c r="A113" s="3">
        <v>41487</v>
      </c>
      <c r="B113" s="3"/>
      <c r="C113" s="3"/>
      <c r="D113" s="3"/>
      <c r="E113" s="3"/>
      <c r="F113" s="85">
        <f t="shared" si="13"/>
        <v>512166.63539464748</v>
      </c>
    </row>
    <row r="114" spans="1:8">
      <c r="A114" s="3">
        <v>41518</v>
      </c>
      <c r="B114" s="3"/>
      <c r="C114" s="3"/>
      <c r="D114" s="3"/>
      <c r="E114" s="3"/>
      <c r="F114" s="85">
        <f t="shared" si="13"/>
        <v>524783.73006479675</v>
      </c>
    </row>
    <row r="115" spans="1:8">
      <c r="A115" s="3">
        <v>41548</v>
      </c>
      <c r="B115" s="3"/>
      <c r="C115" s="3"/>
      <c r="D115" s="3"/>
      <c r="E115" s="3"/>
      <c r="F115" s="85">
        <f t="shared" si="13"/>
        <v>537400.82473494601</v>
      </c>
    </row>
    <row r="116" spans="1:8">
      <c r="A116" s="3">
        <v>41579</v>
      </c>
      <c r="B116" s="3"/>
      <c r="C116" s="3"/>
      <c r="D116" s="3"/>
      <c r="E116" s="3"/>
      <c r="F116" s="85">
        <f t="shared" si="13"/>
        <v>550017.91940509528</v>
      </c>
    </row>
    <row r="117" spans="1:8">
      <c r="A117" s="3">
        <v>41609</v>
      </c>
      <c r="B117" s="3"/>
      <c r="C117" s="3"/>
      <c r="D117" s="3"/>
      <c r="E117" s="3"/>
      <c r="F117" s="85">
        <f t="shared" si="13"/>
        <v>562635.01407524454</v>
      </c>
      <c r="G117" s="85">
        <f>SUM(F106:F117)</f>
        <v>5918891.9206730835</v>
      </c>
      <c r="H117" s="85">
        <f>F117*12</f>
        <v>6751620.1689029345</v>
      </c>
    </row>
    <row r="118" spans="1:8">
      <c r="A118" s="3">
        <v>41640</v>
      </c>
      <c r="B118" s="3"/>
      <c r="C118" s="3"/>
      <c r="D118" s="3"/>
      <c r="E118" s="3"/>
      <c r="F118" s="85">
        <f>F117+$H$12</f>
        <v>570253.88398601313</v>
      </c>
    </row>
    <row r="119" spans="1:8">
      <c r="A119" s="3">
        <v>41671</v>
      </c>
      <c r="B119" s="3"/>
      <c r="C119" s="3"/>
      <c r="D119" s="3"/>
      <c r="E119" s="3"/>
      <c r="F119" s="85">
        <f t="shared" ref="F119:F129" si="14">F118+$H$12</f>
        <v>577872.75389678171</v>
      </c>
    </row>
    <row r="120" spans="1:8">
      <c r="A120" s="3">
        <v>41699</v>
      </c>
      <c r="F120" s="85">
        <f t="shared" si="14"/>
        <v>585491.62380755029</v>
      </c>
    </row>
    <row r="121" spans="1:8">
      <c r="A121" s="3">
        <v>41730</v>
      </c>
      <c r="F121" s="85">
        <f t="shared" si="14"/>
        <v>593110.49371831887</v>
      </c>
    </row>
    <row r="122" spans="1:8">
      <c r="A122" s="3">
        <v>41760</v>
      </c>
      <c r="F122" s="85">
        <f t="shared" si="14"/>
        <v>600729.36362908746</v>
      </c>
    </row>
    <row r="123" spans="1:8">
      <c r="A123" s="3">
        <v>41791</v>
      </c>
      <c r="F123" s="85">
        <f t="shared" si="14"/>
        <v>608348.23353985604</v>
      </c>
    </row>
    <row r="124" spans="1:8">
      <c r="A124" s="3">
        <v>41821</v>
      </c>
      <c r="F124" s="85">
        <f t="shared" si="14"/>
        <v>615967.10345062462</v>
      </c>
    </row>
    <row r="125" spans="1:8">
      <c r="A125" s="3">
        <v>41852</v>
      </c>
      <c r="F125" s="85">
        <f t="shared" si="14"/>
        <v>623585.9733613932</v>
      </c>
    </row>
    <row r="126" spans="1:8">
      <c r="A126" s="3">
        <v>41883</v>
      </c>
      <c r="F126" s="85">
        <f t="shared" si="14"/>
        <v>631204.84327216179</v>
      </c>
    </row>
    <row r="127" spans="1:8">
      <c r="A127" s="3">
        <v>41913</v>
      </c>
      <c r="F127" s="85">
        <f t="shared" si="14"/>
        <v>638823.71318293037</v>
      </c>
    </row>
    <row r="128" spans="1:8">
      <c r="A128" s="3">
        <v>41944</v>
      </c>
      <c r="F128" s="85">
        <f t="shared" si="14"/>
        <v>646442.58309369895</v>
      </c>
    </row>
    <row r="129" spans="1:8">
      <c r="A129" s="3">
        <v>41974</v>
      </c>
      <c r="F129" s="85">
        <f t="shared" si="14"/>
        <v>654061.45300446753</v>
      </c>
      <c r="G129" s="85">
        <f>SUM(F118:F129)</f>
        <v>7345892.0219428847</v>
      </c>
      <c r="H129" s="85">
        <f>F129*12</f>
        <v>7848737.4360536104</v>
      </c>
    </row>
    <row r="130" spans="1:8">
      <c r="A130" s="3">
        <v>42005</v>
      </c>
      <c r="F130" s="85">
        <f>F129+$H$13</f>
        <v>684868.92951862258</v>
      </c>
    </row>
    <row r="131" spans="1:8">
      <c r="A131" s="3">
        <v>42036</v>
      </c>
      <c r="F131" s="85">
        <f t="shared" ref="F131:F141" si="15">F130+$H$13</f>
        <v>715676.40603277762</v>
      </c>
    </row>
    <row r="132" spans="1:8">
      <c r="A132" s="3">
        <v>42064</v>
      </c>
      <c r="F132" s="85">
        <f t="shared" si="15"/>
        <v>746483.88254693267</v>
      </c>
    </row>
    <row r="133" spans="1:8">
      <c r="A133" s="3">
        <v>42095</v>
      </c>
      <c r="F133" s="85">
        <f t="shared" si="15"/>
        <v>777291.35906108771</v>
      </c>
    </row>
    <row r="134" spans="1:8">
      <c r="A134" s="3">
        <v>42125</v>
      </c>
      <c r="F134" s="85">
        <f t="shared" si="15"/>
        <v>808098.83557524276</v>
      </c>
    </row>
    <row r="135" spans="1:8">
      <c r="A135" s="3">
        <v>42156</v>
      </c>
      <c r="F135" s="85">
        <f t="shared" si="15"/>
        <v>838906.3120893978</v>
      </c>
    </row>
    <row r="136" spans="1:8">
      <c r="A136" s="3">
        <v>42186</v>
      </c>
      <c r="F136" s="85">
        <f t="shared" si="15"/>
        <v>869713.78860355285</v>
      </c>
    </row>
    <row r="137" spans="1:8">
      <c r="A137" s="3">
        <v>42217</v>
      </c>
      <c r="F137" s="85">
        <f t="shared" si="15"/>
        <v>900521.2651177079</v>
      </c>
    </row>
    <row r="138" spans="1:8">
      <c r="A138" s="3">
        <v>42248</v>
      </c>
      <c r="F138" s="85">
        <f t="shared" si="15"/>
        <v>931328.74163186294</v>
      </c>
    </row>
    <row r="139" spans="1:8">
      <c r="A139" s="3">
        <v>42278</v>
      </c>
      <c r="F139" s="85">
        <f t="shared" si="15"/>
        <v>962136.21814601799</v>
      </c>
    </row>
    <row r="140" spans="1:8">
      <c r="A140" s="3">
        <v>42309</v>
      </c>
      <c r="F140" s="85">
        <f t="shared" si="15"/>
        <v>992943.69466017303</v>
      </c>
    </row>
    <row r="141" spans="1:8">
      <c r="A141" s="3">
        <v>42339</v>
      </c>
      <c r="F141" s="85">
        <f t="shared" si="15"/>
        <v>1023751.1711743281</v>
      </c>
      <c r="G141" s="85">
        <f>SUM(F130:F141)</f>
        <v>10251720.604157703</v>
      </c>
      <c r="H141" s="85">
        <f>F141*12</f>
        <v>12285014.054091938</v>
      </c>
    </row>
    <row r="142" spans="1:8">
      <c r="A142" s="3">
        <v>42370</v>
      </c>
      <c r="F142" s="85">
        <f>F141+$H$14</f>
        <v>1039849.3704800347</v>
      </c>
    </row>
    <row r="143" spans="1:8">
      <c r="A143" s="3">
        <v>42401</v>
      </c>
      <c r="F143" s="85">
        <f t="shared" ref="F143:F153" si="16">F142+$H$14</f>
        <v>1055947.5697857414</v>
      </c>
    </row>
    <row r="144" spans="1:8">
      <c r="A144" s="3">
        <v>42430</v>
      </c>
      <c r="F144" s="85">
        <f t="shared" si="16"/>
        <v>1072045.769091448</v>
      </c>
    </row>
    <row r="145" spans="1:8">
      <c r="A145" s="3">
        <v>42461</v>
      </c>
      <c r="F145" s="85">
        <f t="shared" si="16"/>
        <v>1088143.9683971547</v>
      </c>
    </row>
    <row r="146" spans="1:8">
      <c r="A146" s="3">
        <v>42491</v>
      </c>
      <c r="F146" s="85">
        <f t="shared" si="16"/>
        <v>1104242.1677028614</v>
      </c>
    </row>
    <row r="147" spans="1:8">
      <c r="A147" s="3">
        <v>42522</v>
      </c>
      <c r="F147" s="85">
        <f t="shared" si="16"/>
        <v>1120340.367008568</v>
      </c>
    </row>
    <row r="148" spans="1:8">
      <c r="A148" s="3">
        <v>42552</v>
      </c>
      <c r="F148" s="85">
        <f t="shared" si="16"/>
        <v>1136438.5663142747</v>
      </c>
    </row>
    <row r="149" spans="1:8">
      <c r="A149" s="3">
        <v>42583</v>
      </c>
      <c r="F149" s="85">
        <f t="shared" si="16"/>
        <v>1152536.7656199813</v>
      </c>
    </row>
    <row r="150" spans="1:8">
      <c r="A150" s="3">
        <v>42614</v>
      </c>
      <c r="F150" s="85">
        <f t="shared" si="16"/>
        <v>1168634.964925688</v>
      </c>
    </row>
    <row r="151" spans="1:8">
      <c r="A151" s="3">
        <v>42644</v>
      </c>
      <c r="F151" s="85">
        <f t="shared" si="16"/>
        <v>1184733.1642313947</v>
      </c>
    </row>
    <row r="152" spans="1:8">
      <c r="A152" s="3">
        <v>42675</v>
      </c>
      <c r="F152" s="85">
        <f t="shared" si="16"/>
        <v>1200831.3635371013</v>
      </c>
    </row>
    <row r="153" spans="1:8">
      <c r="A153" s="3">
        <v>42705</v>
      </c>
      <c r="F153" s="85">
        <f t="shared" si="16"/>
        <v>1216929.562842808</v>
      </c>
      <c r="G153" s="85">
        <f>SUM(F142:F153)</f>
        <v>13540673.599937057</v>
      </c>
      <c r="H153" s="85">
        <f>F153*12</f>
        <v>14603154.754113697</v>
      </c>
    </row>
    <row r="154" spans="1:8">
      <c r="A154" s="3">
        <v>42736</v>
      </c>
      <c r="F154" s="85">
        <f>F153+$H$15</f>
        <v>1209692.4569646295</v>
      </c>
    </row>
    <row r="155" spans="1:8">
      <c r="A155" s="3">
        <v>42767</v>
      </c>
      <c r="F155" s="85">
        <f t="shared" ref="F155:F165" si="17">F154+$H$15</f>
        <v>1202455.351086451</v>
      </c>
    </row>
    <row r="156" spans="1:8">
      <c r="A156" s="3">
        <v>42795</v>
      </c>
      <c r="F156" s="85">
        <f t="shared" si="17"/>
        <v>1195218.2452082725</v>
      </c>
    </row>
    <row r="157" spans="1:8">
      <c r="A157" s="3">
        <v>42826</v>
      </c>
      <c r="F157" s="85">
        <f t="shared" si="17"/>
        <v>1187981.139330094</v>
      </c>
    </row>
    <row r="158" spans="1:8">
      <c r="A158" s="3">
        <v>42856</v>
      </c>
      <c r="F158" s="85">
        <f t="shared" si="17"/>
        <v>1180744.0334519155</v>
      </c>
    </row>
    <row r="159" spans="1:8">
      <c r="A159" s="3">
        <v>42887</v>
      </c>
      <c r="F159" s="85">
        <f t="shared" si="17"/>
        <v>1173506.927573737</v>
      </c>
    </row>
    <row r="160" spans="1:8">
      <c r="A160" s="3">
        <v>42917</v>
      </c>
      <c r="F160" s="85">
        <f t="shared" si="17"/>
        <v>1166269.8216955585</v>
      </c>
    </row>
    <row r="161" spans="1:8">
      <c r="A161" s="3">
        <v>42948</v>
      </c>
      <c r="F161" s="85">
        <f t="shared" si="17"/>
        <v>1159032.71581738</v>
      </c>
    </row>
    <row r="162" spans="1:8">
      <c r="A162" s="3">
        <v>42979</v>
      </c>
      <c r="F162" s="85">
        <f t="shared" si="17"/>
        <v>1151795.6099392015</v>
      </c>
    </row>
    <row r="163" spans="1:8">
      <c r="A163" s="3">
        <v>43009</v>
      </c>
      <c r="F163" s="85">
        <f t="shared" si="17"/>
        <v>1144558.504061023</v>
      </c>
    </row>
    <row r="164" spans="1:8">
      <c r="A164" s="3">
        <v>43040</v>
      </c>
      <c r="F164" s="85">
        <f t="shared" si="17"/>
        <v>1137321.3981828445</v>
      </c>
    </row>
    <row r="165" spans="1:8">
      <c r="A165" s="3">
        <v>43070</v>
      </c>
      <c r="F165" s="85">
        <f t="shared" si="17"/>
        <v>1130084.292304666</v>
      </c>
      <c r="G165" s="85">
        <f>SUM(F154:F165)</f>
        <v>14038660.495615773</v>
      </c>
      <c r="H165" s="85">
        <f>F165*12</f>
        <v>13561011.507655993</v>
      </c>
    </row>
    <row r="166" spans="1:8">
      <c r="A166" s="3">
        <v>43101</v>
      </c>
      <c r="F166" s="85">
        <f>F165+$H$16</f>
        <v>1142048.925594694</v>
      </c>
    </row>
    <row r="167" spans="1:8">
      <c r="A167" s="3">
        <v>43132</v>
      </c>
      <c r="F167" s="85">
        <f t="shared" ref="F167:F177" si="18">F166+$H$16</f>
        <v>1154013.5588847219</v>
      </c>
    </row>
    <row r="168" spans="1:8">
      <c r="A168" s="3">
        <v>43160</v>
      </c>
      <c r="F168" s="85">
        <f t="shared" si="18"/>
        <v>1165978.1921747499</v>
      </c>
    </row>
    <row r="169" spans="1:8">
      <c r="A169" s="3">
        <v>43191</v>
      </c>
      <c r="F169" s="85">
        <f t="shared" si="18"/>
        <v>1177942.8254647779</v>
      </c>
    </row>
    <row r="170" spans="1:8">
      <c r="A170" s="3">
        <v>43221</v>
      </c>
      <c r="F170" s="85">
        <f t="shared" si="18"/>
        <v>1189907.4587548058</v>
      </c>
    </row>
    <row r="171" spans="1:8">
      <c r="A171" s="3">
        <v>43252</v>
      </c>
      <c r="F171" s="85">
        <f t="shared" si="18"/>
        <v>1201872.0920448338</v>
      </c>
    </row>
    <row r="172" spans="1:8">
      <c r="A172" s="3">
        <v>43282</v>
      </c>
      <c r="F172" s="85">
        <f t="shared" si="18"/>
        <v>1213836.7253348618</v>
      </c>
    </row>
    <row r="173" spans="1:8">
      <c r="A173" s="3">
        <v>43313</v>
      </c>
      <c r="F173" s="85">
        <f t="shared" si="18"/>
        <v>1225801.3586248897</v>
      </c>
    </row>
    <row r="174" spans="1:8">
      <c r="A174" s="3">
        <v>43344</v>
      </c>
      <c r="F174" s="85">
        <f t="shared" si="18"/>
        <v>1237765.9919149177</v>
      </c>
    </row>
    <row r="175" spans="1:8">
      <c r="A175" s="3">
        <v>43374</v>
      </c>
      <c r="F175" s="85">
        <f t="shared" si="18"/>
        <v>1249730.6252049457</v>
      </c>
    </row>
    <row r="176" spans="1:8">
      <c r="A176" s="3">
        <v>43405</v>
      </c>
      <c r="F176" s="85">
        <f t="shared" si="18"/>
        <v>1261695.2584949736</v>
      </c>
    </row>
    <row r="177" spans="1:8">
      <c r="A177" s="3">
        <v>43435</v>
      </c>
      <c r="F177" s="85">
        <f t="shared" si="18"/>
        <v>1273659.8917850016</v>
      </c>
      <c r="G177" s="85">
        <f>SUM(F166:F177)</f>
        <v>14494252.904278174</v>
      </c>
      <c r="H177" s="85">
        <f>F177*12</f>
        <v>15283918.70142002</v>
      </c>
    </row>
    <row r="178" spans="1:8">
      <c r="A178" s="3">
        <v>43466</v>
      </c>
      <c r="F178" s="85">
        <f>F177+$H$17</f>
        <v>1262660.9258392768</v>
      </c>
    </row>
    <row r="179" spans="1:8">
      <c r="A179" s="3">
        <v>43497</v>
      </c>
      <c r="F179" s="85">
        <f t="shared" ref="F179:F189" si="19">F178+$H$17</f>
        <v>1251661.9598935519</v>
      </c>
    </row>
    <row r="180" spans="1:8">
      <c r="A180" s="3">
        <v>43525</v>
      </c>
      <c r="F180" s="85">
        <f t="shared" si="19"/>
        <v>1240662.993947827</v>
      </c>
    </row>
    <row r="181" spans="1:8">
      <c r="A181" s="3">
        <v>43556</v>
      </c>
      <c r="F181" s="85">
        <f t="shared" si="19"/>
        <v>1229664.0280021022</v>
      </c>
    </row>
    <row r="182" spans="1:8">
      <c r="A182" s="3">
        <v>43586</v>
      </c>
      <c r="F182" s="85">
        <f t="shared" si="19"/>
        <v>1218665.0620563773</v>
      </c>
    </row>
    <row r="183" spans="1:8">
      <c r="A183" s="3">
        <v>43617</v>
      </c>
      <c r="F183" s="85">
        <f t="shared" si="19"/>
        <v>1207666.0961106524</v>
      </c>
    </row>
    <row r="184" spans="1:8">
      <c r="A184" s="3">
        <v>43647</v>
      </c>
      <c r="F184" s="85">
        <f t="shared" si="19"/>
        <v>1196667.1301649276</v>
      </c>
    </row>
    <row r="185" spans="1:8">
      <c r="A185" s="3">
        <v>43678</v>
      </c>
      <c r="F185" s="85">
        <f t="shared" si="19"/>
        <v>1185668.1642192027</v>
      </c>
    </row>
    <row r="186" spans="1:8">
      <c r="A186" s="3">
        <v>43709</v>
      </c>
      <c r="F186" s="85">
        <f t="shared" si="19"/>
        <v>1174669.1982734778</v>
      </c>
    </row>
    <row r="187" spans="1:8">
      <c r="A187" s="3">
        <v>43739</v>
      </c>
      <c r="F187" s="85">
        <f t="shared" si="19"/>
        <v>1163670.232327753</v>
      </c>
    </row>
    <row r="188" spans="1:8">
      <c r="A188" s="3">
        <v>43770</v>
      </c>
      <c r="F188" s="85">
        <f t="shared" si="19"/>
        <v>1152671.2663820281</v>
      </c>
    </row>
    <row r="189" spans="1:8">
      <c r="A189" s="3">
        <v>43800</v>
      </c>
      <c r="F189" s="85">
        <f t="shared" si="19"/>
        <v>1141672.3004363033</v>
      </c>
      <c r="G189" s="85">
        <f>SUM(F178:F189)</f>
        <v>14425999.35765348</v>
      </c>
      <c r="H189" s="85">
        <f>F189*12</f>
        <v>13700067.60523564</v>
      </c>
    </row>
  </sheetData>
  <mergeCells count="1">
    <mergeCell ref="J3:K3"/>
  </mergeCells>
  <phoneticPr fontId="9" type="noConversion"/>
  <pageMargins left="0.1" right="0.11" top="0.31" bottom="1" header="0.5" footer="0.5"/>
  <pageSetup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44"/>
  <sheetViews>
    <sheetView topLeftCell="S1" workbookViewId="0">
      <selection activeCell="AC8" sqref="AC8"/>
    </sheetView>
  </sheetViews>
  <sheetFormatPr defaultRowHeight="12.5"/>
  <cols>
    <col min="6" max="6" width="9.1796875" style="65" customWidth="1"/>
    <col min="7" max="7" width="9.54296875" style="65" customWidth="1"/>
    <col min="28" max="28" width="9.81640625" bestFit="1" customWidth="1"/>
    <col min="29" max="29" width="11" bestFit="1" customWidth="1"/>
  </cols>
  <sheetData>
    <row r="1" spans="1:35" ht="13">
      <c r="A1" s="20" t="s">
        <v>73</v>
      </c>
    </row>
    <row r="2" spans="1:35">
      <c r="A2" s="66"/>
      <c r="B2" s="66"/>
    </row>
    <row r="3" spans="1:35">
      <c r="A3" s="67" t="s">
        <v>74</v>
      </c>
      <c r="B3" s="67"/>
      <c r="C3" s="67"/>
      <c r="D3" s="67"/>
      <c r="E3" s="67"/>
      <c r="F3" s="68"/>
      <c r="G3" s="68"/>
    </row>
    <row r="4" spans="1:35">
      <c r="A4" s="69"/>
      <c r="B4" s="69"/>
      <c r="C4" s="69"/>
      <c r="D4" s="69"/>
      <c r="E4" s="69"/>
      <c r="F4" s="70"/>
      <c r="G4" s="70"/>
      <c r="I4" s="70"/>
      <c r="K4" s="70"/>
      <c r="M4" s="70"/>
      <c r="O4" s="70"/>
      <c r="Q4" s="70"/>
      <c r="S4" s="70"/>
      <c r="U4" s="70"/>
      <c r="W4" s="70"/>
      <c r="Y4" s="70"/>
    </row>
    <row r="5" spans="1:35">
      <c r="A5" s="71" t="s">
        <v>75</v>
      </c>
      <c r="B5" s="71">
        <v>1992</v>
      </c>
      <c r="C5" s="71">
        <v>1993</v>
      </c>
      <c r="D5" s="71">
        <v>1994</v>
      </c>
      <c r="E5" s="71">
        <v>1995</v>
      </c>
      <c r="F5" s="71">
        <v>1996</v>
      </c>
      <c r="G5" s="71">
        <v>1997</v>
      </c>
      <c r="H5" s="71">
        <v>1998</v>
      </c>
      <c r="I5" s="71">
        <v>1999</v>
      </c>
      <c r="J5" s="71">
        <v>2000</v>
      </c>
      <c r="K5" s="71">
        <f t="shared" ref="K5:Q5" si="0">K25</f>
        <v>2001</v>
      </c>
      <c r="L5" s="71">
        <f t="shared" si="0"/>
        <v>2002</v>
      </c>
      <c r="M5" s="71">
        <f t="shared" si="0"/>
        <v>2003</v>
      </c>
      <c r="N5" s="71">
        <f t="shared" si="0"/>
        <v>2004</v>
      </c>
      <c r="O5" s="71">
        <f t="shared" si="0"/>
        <v>2005</v>
      </c>
      <c r="P5" s="71">
        <f t="shared" si="0"/>
        <v>2006</v>
      </c>
      <c r="Q5" s="71">
        <f t="shared" si="0"/>
        <v>2007</v>
      </c>
      <c r="R5" s="71">
        <v>2008</v>
      </c>
      <c r="S5" s="71">
        <v>2009</v>
      </c>
      <c r="T5" s="71">
        <v>2010</v>
      </c>
      <c r="U5" s="71">
        <v>2011</v>
      </c>
      <c r="V5" s="71">
        <v>2012</v>
      </c>
      <c r="W5" s="71">
        <v>2013</v>
      </c>
      <c r="X5" s="71">
        <v>2014</v>
      </c>
      <c r="Y5" s="71">
        <v>2015</v>
      </c>
      <c r="Z5" s="71">
        <v>2016</v>
      </c>
      <c r="AA5" s="71">
        <v>2017</v>
      </c>
      <c r="AB5" s="76" t="s">
        <v>89</v>
      </c>
      <c r="AC5" s="76" t="s">
        <v>90</v>
      </c>
    </row>
    <row r="6" spans="1:35">
      <c r="A6" s="69"/>
      <c r="B6" s="69"/>
      <c r="C6" s="69"/>
      <c r="D6" s="69"/>
      <c r="E6" s="69"/>
      <c r="F6" s="68"/>
      <c r="G6" s="68"/>
    </row>
    <row r="7" spans="1:35">
      <c r="A7" s="72"/>
      <c r="B7" s="72"/>
      <c r="C7" s="72"/>
      <c r="D7" s="72"/>
      <c r="E7" s="72"/>
      <c r="F7" s="68"/>
      <c r="G7" s="68"/>
      <c r="H7" s="68"/>
      <c r="I7" s="68"/>
    </row>
    <row r="8" spans="1:35">
      <c r="A8" s="72" t="s">
        <v>76</v>
      </c>
      <c r="B8" s="73">
        <v>850</v>
      </c>
      <c r="C8" s="73">
        <v>790.5</v>
      </c>
      <c r="D8" s="73">
        <v>1085.4000000000001</v>
      </c>
      <c r="E8" s="73">
        <v>749.6</v>
      </c>
      <c r="F8" s="73">
        <v>926.1</v>
      </c>
      <c r="G8" s="73">
        <v>913.6</v>
      </c>
      <c r="H8" s="73">
        <v>745.5</v>
      </c>
      <c r="I8" s="73">
        <v>745.5</v>
      </c>
      <c r="J8" s="73">
        <v>879.5</v>
      </c>
      <c r="K8" s="73">
        <v>824.3</v>
      </c>
      <c r="L8" s="73">
        <v>695.8</v>
      </c>
      <c r="M8" s="73">
        <v>990.4</v>
      </c>
      <c r="N8" s="73">
        <v>1041.0999999999999</v>
      </c>
      <c r="O8" s="73">
        <v>486</v>
      </c>
      <c r="P8" s="73">
        <v>706.5</v>
      </c>
      <c r="Q8" s="73">
        <v>826.1</v>
      </c>
      <c r="R8" s="73">
        <v>753.1</v>
      </c>
      <c r="S8" s="73">
        <v>995.4</v>
      </c>
      <c r="T8" s="73">
        <v>839.2</v>
      </c>
      <c r="U8" s="73">
        <v>891.9</v>
      </c>
      <c r="V8" s="73">
        <v>667.69999999999993</v>
      </c>
      <c r="W8" s="73">
        <v>519.5</v>
      </c>
      <c r="X8" s="73">
        <v>941.79999999999984</v>
      </c>
      <c r="Y8" s="73">
        <v>801.2</v>
      </c>
      <c r="Z8" s="73">
        <v>730.95238095238085</v>
      </c>
      <c r="AA8" s="73">
        <v>708.57142857142856</v>
      </c>
      <c r="AB8" s="74">
        <f>AVERAGE(R8:AA8)</f>
        <v>784.93238095238098</v>
      </c>
      <c r="AC8" s="75">
        <f>TREND(H8:AA8,$H$5:$AA$5,2019)</f>
        <v>755.56968492660235</v>
      </c>
      <c r="AF8" s="78"/>
      <c r="AI8" s="73"/>
    </row>
    <row r="9" spans="1:35">
      <c r="A9" s="72" t="s">
        <v>77</v>
      </c>
      <c r="B9" s="73">
        <v>775.6</v>
      </c>
      <c r="C9" s="73">
        <v>873.1</v>
      </c>
      <c r="D9" s="73">
        <v>845</v>
      </c>
      <c r="E9" s="73">
        <v>817.1</v>
      </c>
      <c r="F9" s="73">
        <v>814</v>
      </c>
      <c r="G9" s="73">
        <v>738.9</v>
      </c>
      <c r="H9" s="73">
        <v>587.1</v>
      </c>
      <c r="I9" s="73">
        <v>587.1</v>
      </c>
      <c r="J9" s="73">
        <v>731.4</v>
      </c>
      <c r="K9" s="73">
        <v>740.7</v>
      </c>
      <c r="L9" s="73">
        <v>664.9</v>
      </c>
      <c r="M9" s="73">
        <v>857.5</v>
      </c>
      <c r="N9" s="73">
        <v>746.8</v>
      </c>
      <c r="O9" s="73">
        <v>737.4</v>
      </c>
      <c r="P9" s="73">
        <v>751.2</v>
      </c>
      <c r="Q9" s="73">
        <v>847.5</v>
      </c>
      <c r="R9" s="73">
        <v>815.6</v>
      </c>
      <c r="S9" s="73">
        <v>723.7</v>
      </c>
      <c r="T9" s="73">
        <v>647.5</v>
      </c>
      <c r="U9" s="73">
        <v>650.89999999999975</v>
      </c>
      <c r="V9" s="73">
        <v>662.6</v>
      </c>
      <c r="W9" s="73">
        <v>703.19999999999982</v>
      </c>
      <c r="X9" s="73">
        <v>857.40000000000009</v>
      </c>
      <c r="Y9" s="73">
        <v>987.99999999999977</v>
      </c>
      <c r="Z9" s="73">
        <v>731.14285714285688</v>
      </c>
      <c r="AA9" s="73">
        <v>617.14285714285711</v>
      </c>
      <c r="AB9" s="74">
        <f t="shared" ref="AB9:AB19" si="1">AVERAGE(R9:AA9)</f>
        <v>739.71857142857129</v>
      </c>
      <c r="AC9" s="75">
        <f t="shared" ref="AC9:AC19" si="2">TREND(H9:AA9,$H$5:$AA$5,2019)</f>
        <v>782.74221267454323</v>
      </c>
      <c r="AF9" s="78"/>
      <c r="AI9" s="73"/>
    </row>
    <row r="10" spans="1:35">
      <c r="A10" s="72" t="s">
        <v>78</v>
      </c>
      <c r="B10" s="73">
        <v>746.3</v>
      </c>
      <c r="C10" s="73">
        <v>683.9</v>
      </c>
      <c r="D10" s="73">
        <v>663.9</v>
      </c>
      <c r="E10" s="73">
        <v>574.29999999999995</v>
      </c>
      <c r="F10" s="73">
        <v>710.8</v>
      </c>
      <c r="G10" s="73">
        <v>729.5</v>
      </c>
      <c r="H10" s="73">
        <v>597.9</v>
      </c>
      <c r="I10" s="73">
        <v>597.9</v>
      </c>
      <c r="J10" s="73">
        <v>510</v>
      </c>
      <c r="K10" s="73">
        <v>666.8</v>
      </c>
      <c r="L10" s="73">
        <v>674.7</v>
      </c>
      <c r="M10" s="73">
        <v>705</v>
      </c>
      <c r="N10" s="73">
        <v>592.79999999999995</v>
      </c>
      <c r="O10" s="73">
        <v>746.4</v>
      </c>
      <c r="P10" s="73">
        <v>663.4</v>
      </c>
      <c r="Q10" s="73">
        <v>653.1</v>
      </c>
      <c r="R10" s="73">
        <v>760.5</v>
      </c>
      <c r="S10" s="73">
        <v>652.29999999999995</v>
      </c>
      <c r="T10" s="73">
        <v>427</v>
      </c>
      <c r="U10" s="73">
        <v>574.80000000000007</v>
      </c>
      <c r="V10" s="73">
        <v>457.10000000000019</v>
      </c>
      <c r="W10" s="73">
        <v>550.30000000000018</v>
      </c>
      <c r="X10" s="73">
        <v>806.80000000000007</v>
      </c>
      <c r="Y10" s="73">
        <v>742.8</v>
      </c>
      <c r="Z10" s="73">
        <v>576.47619047619025</v>
      </c>
      <c r="AA10" s="73">
        <v>681.5238095238094</v>
      </c>
      <c r="AB10" s="74">
        <f t="shared" si="1"/>
        <v>622.95999999999992</v>
      </c>
      <c r="AC10" s="75">
        <f t="shared" si="2"/>
        <v>643.01898317221594</v>
      </c>
      <c r="AF10" s="78"/>
      <c r="AI10" s="73"/>
    </row>
    <row r="11" spans="1:35">
      <c r="A11" s="72" t="s">
        <v>79</v>
      </c>
      <c r="B11" s="73">
        <v>443.9</v>
      </c>
      <c r="C11" s="73">
        <v>383.7</v>
      </c>
      <c r="D11" s="73">
        <v>389.8</v>
      </c>
      <c r="E11" s="73">
        <v>474.4</v>
      </c>
      <c r="F11" s="73">
        <v>467.2</v>
      </c>
      <c r="G11" s="73">
        <v>432.2</v>
      </c>
      <c r="H11" s="73">
        <v>349.9</v>
      </c>
      <c r="I11" s="73">
        <v>349.9</v>
      </c>
      <c r="J11" s="73">
        <v>408.7</v>
      </c>
      <c r="K11" s="73">
        <v>364.7</v>
      </c>
      <c r="L11" s="73">
        <v>399.4</v>
      </c>
      <c r="M11" s="73">
        <v>460.9</v>
      </c>
      <c r="N11" s="73">
        <v>395.9</v>
      </c>
      <c r="O11" s="73">
        <v>381.2</v>
      </c>
      <c r="P11" s="73">
        <v>362.7</v>
      </c>
      <c r="Q11" s="73">
        <v>426.6</v>
      </c>
      <c r="R11" s="73">
        <v>348.6</v>
      </c>
      <c r="S11" s="73">
        <v>379.9</v>
      </c>
      <c r="T11" s="73">
        <v>287.3</v>
      </c>
      <c r="U11" s="73">
        <v>390.90000000000003</v>
      </c>
      <c r="V11" s="73">
        <v>399.79999999999995</v>
      </c>
      <c r="W11" s="73">
        <v>421.9</v>
      </c>
      <c r="X11" s="73">
        <v>371.6</v>
      </c>
      <c r="Y11" s="73">
        <v>404.5</v>
      </c>
      <c r="Z11" s="73">
        <v>454.28571428571411</v>
      </c>
      <c r="AA11" s="73">
        <v>335.71428571428567</v>
      </c>
      <c r="AB11" s="74">
        <f t="shared" si="1"/>
        <v>379.45</v>
      </c>
      <c r="AC11" s="75">
        <f t="shared" si="2"/>
        <v>390.75904403866787</v>
      </c>
      <c r="AF11" s="78"/>
      <c r="AI11" s="73"/>
    </row>
    <row r="12" spans="1:35">
      <c r="A12" s="72" t="s">
        <v>80</v>
      </c>
      <c r="B12" s="73">
        <v>217</v>
      </c>
      <c r="C12" s="73">
        <v>219.1</v>
      </c>
      <c r="D12" s="73">
        <v>249.4</v>
      </c>
      <c r="E12" s="73">
        <v>214.7</v>
      </c>
      <c r="F12" s="73">
        <v>230.5</v>
      </c>
      <c r="G12" s="73">
        <v>317.5</v>
      </c>
      <c r="H12" s="73">
        <v>90.2</v>
      </c>
      <c r="I12" s="73">
        <v>90.2</v>
      </c>
      <c r="J12" s="73">
        <v>199.7</v>
      </c>
      <c r="K12" s="73">
        <v>160.6</v>
      </c>
      <c r="L12" s="73">
        <v>285.89999999999998</v>
      </c>
      <c r="M12" s="73">
        <v>212.7</v>
      </c>
      <c r="N12" s="73">
        <v>236</v>
      </c>
      <c r="O12" s="73">
        <v>252.2</v>
      </c>
      <c r="P12" s="73">
        <v>181.7</v>
      </c>
      <c r="Q12" s="73">
        <v>203.5</v>
      </c>
      <c r="R12" s="73">
        <v>277.3</v>
      </c>
      <c r="S12" s="73">
        <v>231</v>
      </c>
      <c r="T12" s="73">
        <v>151.6</v>
      </c>
      <c r="U12" s="73">
        <v>147.10000000000002</v>
      </c>
      <c r="V12" s="73">
        <v>138.90000000000003</v>
      </c>
      <c r="W12" s="73">
        <v>166.3</v>
      </c>
      <c r="X12" s="73">
        <v>196.5</v>
      </c>
      <c r="Y12" s="73">
        <v>157.99999999999997</v>
      </c>
      <c r="Z12" s="73">
        <v>216.28571428571428</v>
      </c>
      <c r="AA12" s="73">
        <v>226.7619047619047</v>
      </c>
      <c r="AB12" s="74">
        <f t="shared" si="1"/>
        <v>190.97476190476192</v>
      </c>
      <c r="AC12" s="75">
        <f t="shared" si="2"/>
        <v>205.78646616541346</v>
      </c>
      <c r="AF12" s="78"/>
      <c r="AI12" s="73"/>
    </row>
    <row r="13" spans="1:35">
      <c r="A13" s="72" t="s">
        <v>81</v>
      </c>
      <c r="B13" s="73">
        <v>120.2</v>
      </c>
      <c r="C13" s="73">
        <v>79.8</v>
      </c>
      <c r="D13" s="73">
        <v>78.400000000000006</v>
      </c>
      <c r="E13" s="73">
        <v>47</v>
      </c>
      <c r="F13" s="73">
        <v>47.5</v>
      </c>
      <c r="G13" s="73">
        <v>33.200000000000003</v>
      </c>
      <c r="H13" s="73">
        <v>75.400000000000006</v>
      </c>
      <c r="I13" s="73">
        <v>75.400000000000006</v>
      </c>
      <c r="J13" s="73">
        <v>94</v>
      </c>
      <c r="K13" s="73">
        <v>68.099999999999994</v>
      </c>
      <c r="L13" s="73">
        <v>65</v>
      </c>
      <c r="M13" s="73">
        <v>74.8</v>
      </c>
      <c r="N13" s="73">
        <v>110.4</v>
      </c>
      <c r="O13" s="73">
        <v>33.5</v>
      </c>
      <c r="P13" s="73">
        <v>58.5</v>
      </c>
      <c r="Q13" s="73">
        <v>62.6</v>
      </c>
      <c r="R13" s="73">
        <v>48.4</v>
      </c>
      <c r="S13" s="73">
        <v>105.4</v>
      </c>
      <c r="T13" s="73">
        <v>66.2</v>
      </c>
      <c r="U13" s="73">
        <v>57.70000000000001</v>
      </c>
      <c r="V13" s="73">
        <v>55.099999999999994</v>
      </c>
      <c r="W13" s="73">
        <v>82.300000000000011</v>
      </c>
      <c r="X13" s="73">
        <v>42.7</v>
      </c>
      <c r="Y13" s="73">
        <v>72.999999999999986</v>
      </c>
      <c r="Z13" s="73">
        <v>75.904761904761898</v>
      </c>
      <c r="AA13" s="73">
        <v>84.571428571428584</v>
      </c>
      <c r="AB13" s="74">
        <f t="shared" si="1"/>
        <v>69.127619047619049</v>
      </c>
      <c r="AC13" s="75">
        <f t="shared" si="2"/>
        <v>65.881131399928449</v>
      </c>
      <c r="AF13" s="78"/>
      <c r="AI13" s="73"/>
    </row>
    <row r="14" spans="1:35">
      <c r="A14" s="72" t="s">
        <v>82</v>
      </c>
      <c r="B14" s="73">
        <v>75.8</v>
      </c>
      <c r="C14" s="73">
        <v>10</v>
      </c>
      <c r="D14" s="73">
        <v>18</v>
      </c>
      <c r="E14" s="73">
        <v>30.3</v>
      </c>
      <c r="F14" s="73">
        <v>31.4</v>
      </c>
      <c r="G14" s="73">
        <v>41.7</v>
      </c>
      <c r="H14" s="73">
        <v>24.7</v>
      </c>
      <c r="I14" s="73">
        <v>24.7</v>
      </c>
      <c r="J14" s="73">
        <v>44.8</v>
      </c>
      <c r="K14" s="73">
        <v>46.1</v>
      </c>
      <c r="L14" s="73">
        <v>19.100000000000001</v>
      </c>
      <c r="M14" s="73">
        <v>21.9</v>
      </c>
      <c r="N14" s="73">
        <v>21.5</v>
      </c>
      <c r="O14" s="73">
        <v>14.8</v>
      </c>
      <c r="P14" s="73">
        <v>4.9000000000000004</v>
      </c>
      <c r="Q14" s="73">
        <v>39.5</v>
      </c>
      <c r="R14" s="73">
        <v>13.9</v>
      </c>
      <c r="S14" s="73">
        <v>38.6</v>
      </c>
      <c r="T14" s="73">
        <v>13.1</v>
      </c>
      <c r="U14" s="73">
        <v>2</v>
      </c>
      <c r="V14" s="73">
        <v>1.5</v>
      </c>
      <c r="W14" s="73">
        <v>20.400000000000002</v>
      </c>
      <c r="X14" s="73">
        <v>58.599999999999987</v>
      </c>
      <c r="Y14" s="73">
        <v>25.999999999999993</v>
      </c>
      <c r="Z14" s="73">
        <v>28.095238095238091</v>
      </c>
      <c r="AA14" s="73">
        <v>20.857142857142851</v>
      </c>
      <c r="AB14" s="74">
        <f t="shared" si="1"/>
        <v>22.305238095238096</v>
      </c>
      <c r="AC14" s="75">
        <f t="shared" si="2"/>
        <v>21.02228428213391</v>
      </c>
      <c r="AF14" s="78"/>
      <c r="AI14" s="73"/>
    </row>
    <row r="15" spans="1:35">
      <c r="A15" s="72" t="s">
        <v>83</v>
      </c>
      <c r="B15" s="73">
        <v>94.5</v>
      </c>
      <c r="C15" s="73">
        <v>35.700000000000003</v>
      </c>
      <c r="D15" s="73">
        <v>71.599999999999994</v>
      </c>
      <c r="E15" s="73">
        <v>19.7</v>
      </c>
      <c r="F15" s="73">
        <v>25.1</v>
      </c>
      <c r="G15" s="73">
        <v>68.599999999999994</v>
      </c>
      <c r="H15" s="73">
        <v>22.8</v>
      </c>
      <c r="I15" s="73">
        <v>22.8</v>
      </c>
      <c r="J15" s="73">
        <v>51.2</v>
      </c>
      <c r="K15" s="73">
        <v>14.3</v>
      </c>
      <c r="L15" s="73">
        <v>25.4</v>
      </c>
      <c r="M15" s="73">
        <v>27.4</v>
      </c>
      <c r="N15" s="73">
        <v>69.8</v>
      </c>
      <c r="O15" s="73">
        <v>13.2</v>
      </c>
      <c r="P15" s="73">
        <v>43.7</v>
      </c>
      <c r="Q15" s="73">
        <v>26.7</v>
      </c>
      <c r="R15" s="73">
        <v>39.4</v>
      </c>
      <c r="S15" s="73">
        <v>56.9</v>
      </c>
      <c r="T15" s="73">
        <v>25.9</v>
      </c>
      <c r="U15" s="73">
        <v>15.9</v>
      </c>
      <c r="V15" s="73">
        <v>31.199999999999996</v>
      </c>
      <c r="W15" s="73">
        <v>37.400000000000006</v>
      </c>
      <c r="X15" s="73">
        <v>43.800000000000004</v>
      </c>
      <c r="Y15" s="73">
        <v>27.3</v>
      </c>
      <c r="Z15" s="73">
        <v>13.428571428571429</v>
      </c>
      <c r="AA15" s="73">
        <v>59.619047619047613</v>
      </c>
      <c r="AB15" s="74">
        <f t="shared" si="1"/>
        <v>35.084761904761905</v>
      </c>
      <c r="AC15" s="75">
        <f t="shared" si="2"/>
        <v>37.470837808807687</v>
      </c>
      <c r="AF15" s="78"/>
      <c r="AI15" s="73"/>
    </row>
    <row r="16" spans="1:35">
      <c r="A16" s="72" t="s">
        <v>84</v>
      </c>
      <c r="B16" s="73">
        <v>162.5</v>
      </c>
      <c r="C16" s="73">
        <v>215.8</v>
      </c>
      <c r="D16" s="73">
        <v>136.30000000000001</v>
      </c>
      <c r="E16" s="73">
        <v>201.6</v>
      </c>
      <c r="F16" s="73">
        <v>123.2</v>
      </c>
      <c r="G16" s="73">
        <v>153.5</v>
      </c>
      <c r="H16" s="73">
        <v>109.1</v>
      </c>
      <c r="I16" s="73">
        <v>109.1</v>
      </c>
      <c r="J16" s="73">
        <v>178</v>
      </c>
      <c r="K16" s="73">
        <v>151.19999999999999</v>
      </c>
      <c r="L16" s="73">
        <v>78</v>
      </c>
      <c r="M16" s="73">
        <v>113.7</v>
      </c>
      <c r="N16" s="73">
        <v>88.4</v>
      </c>
      <c r="O16" s="73">
        <v>78</v>
      </c>
      <c r="P16" s="73">
        <v>163.5</v>
      </c>
      <c r="Q16" s="73">
        <v>100.1</v>
      </c>
      <c r="R16" s="73">
        <v>132.69999999999999</v>
      </c>
      <c r="S16" s="73">
        <v>115.6</v>
      </c>
      <c r="T16" s="73">
        <v>143.1</v>
      </c>
      <c r="U16" s="73">
        <v>109.1</v>
      </c>
      <c r="V16" s="73">
        <v>147.29999999999998</v>
      </c>
      <c r="W16" s="73">
        <v>157.79999999999998</v>
      </c>
      <c r="X16" s="73">
        <v>133.4</v>
      </c>
      <c r="Y16" s="73">
        <v>61.5</v>
      </c>
      <c r="Z16" s="73">
        <v>76.666666666666671</v>
      </c>
      <c r="AA16" s="73">
        <v>116.0952380952381</v>
      </c>
      <c r="AB16" s="74">
        <f t="shared" si="1"/>
        <v>119.32619047619046</v>
      </c>
      <c r="AC16" s="75">
        <f t="shared" si="2"/>
        <v>110.70053347654857</v>
      </c>
      <c r="AF16" s="78"/>
      <c r="AI16" s="73"/>
    </row>
    <row r="17" spans="1:36">
      <c r="A17" s="72" t="s">
        <v>85</v>
      </c>
      <c r="B17" s="73">
        <v>401.6</v>
      </c>
      <c r="C17" s="73">
        <v>377.8</v>
      </c>
      <c r="D17" s="73">
        <v>306.7</v>
      </c>
      <c r="E17" s="73">
        <v>281.7</v>
      </c>
      <c r="F17" s="73">
        <v>342</v>
      </c>
      <c r="G17" s="73">
        <v>343.8</v>
      </c>
      <c r="H17" s="73">
        <v>317.3</v>
      </c>
      <c r="I17" s="73">
        <v>317.3</v>
      </c>
      <c r="J17" s="73">
        <v>320.7</v>
      </c>
      <c r="K17" s="73">
        <v>312.2</v>
      </c>
      <c r="L17" s="73">
        <v>391.4</v>
      </c>
      <c r="M17" s="73">
        <v>349.8</v>
      </c>
      <c r="N17" s="73">
        <v>310.8</v>
      </c>
      <c r="O17" s="73">
        <v>279.7</v>
      </c>
      <c r="P17" s="73">
        <v>366.1</v>
      </c>
      <c r="Q17" s="73">
        <v>226.7</v>
      </c>
      <c r="R17" s="73">
        <v>372.5</v>
      </c>
      <c r="S17" s="73">
        <v>341.6</v>
      </c>
      <c r="T17" s="73">
        <v>318.60000000000002</v>
      </c>
      <c r="U17" s="73">
        <v>290</v>
      </c>
      <c r="V17" s="73">
        <v>305.7</v>
      </c>
      <c r="W17" s="73">
        <v>301.7</v>
      </c>
      <c r="X17" s="73">
        <v>280.3</v>
      </c>
      <c r="Y17" s="73">
        <v>346.80000000000007</v>
      </c>
      <c r="Z17" s="73">
        <v>287.71428571428578</v>
      </c>
      <c r="AA17" s="73">
        <v>232.19047619047618</v>
      </c>
      <c r="AB17" s="74">
        <f t="shared" si="1"/>
        <v>307.71047619047624</v>
      </c>
      <c r="AC17" s="75">
        <f t="shared" si="2"/>
        <v>284.00799140708932</v>
      </c>
      <c r="AF17" s="78"/>
      <c r="AI17" s="73"/>
    </row>
    <row r="18" spans="1:36">
      <c r="A18" s="72" t="s">
        <v>86</v>
      </c>
      <c r="B18" s="73">
        <v>544.5</v>
      </c>
      <c r="C18" s="73">
        <v>532.29999999999995</v>
      </c>
      <c r="D18" s="73">
        <v>455</v>
      </c>
      <c r="E18" s="73">
        <v>629.20000000000005</v>
      </c>
      <c r="F18" s="73">
        <v>609.1</v>
      </c>
      <c r="G18" s="73">
        <v>533.6</v>
      </c>
      <c r="H18" s="73">
        <v>476.8</v>
      </c>
      <c r="I18" s="73">
        <v>476.8</v>
      </c>
      <c r="J18" s="73">
        <v>522.5</v>
      </c>
      <c r="K18" s="73">
        <v>410.8</v>
      </c>
      <c r="L18" s="73">
        <v>561.6</v>
      </c>
      <c r="M18" s="73">
        <v>483.2</v>
      </c>
      <c r="N18" s="73">
        <v>485.2</v>
      </c>
      <c r="O18" s="73">
        <v>491.1</v>
      </c>
      <c r="P18" s="73">
        <v>441.1</v>
      </c>
      <c r="Q18" s="73">
        <v>555.20000000000005</v>
      </c>
      <c r="R18" s="73">
        <v>555.9</v>
      </c>
      <c r="S18" s="73">
        <v>414.1</v>
      </c>
      <c r="T18" s="73">
        <v>398.8</v>
      </c>
      <c r="U18" s="73">
        <v>432.4</v>
      </c>
      <c r="V18" s="73">
        <v>529</v>
      </c>
      <c r="W18" s="73">
        <v>564.70000000000005</v>
      </c>
      <c r="X18" s="73">
        <v>559.80000000000007</v>
      </c>
      <c r="Y18" s="73">
        <v>426.4</v>
      </c>
      <c r="Z18" s="73">
        <v>414.47619047619054</v>
      </c>
      <c r="AA18" s="73">
        <v>356</v>
      </c>
      <c r="AB18" s="74">
        <f t="shared" si="1"/>
        <v>465.15761904761905</v>
      </c>
      <c r="AC18" s="75">
        <f t="shared" si="2"/>
        <v>449.04982098102482</v>
      </c>
      <c r="AF18" s="78"/>
      <c r="AI18" s="169"/>
    </row>
    <row r="19" spans="1:36">
      <c r="A19" s="72" t="s">
        <v>87</v>
      </c>
      <c r="B19" s="73">
        <v>722.2</v>
      </c>
      <c r="C19" s="73">
        <v>746.7</v>
      </c>
      <c r="D19" s="73">
        <v>673.2</v>
      </c>
      <c r="E19" s="73">
        <v>872.1</v>
      </c>
      <c r="F19" s="73">
        <v>657.5</v>
      </c>
      <c r="G19" s="73">
        <v>697.5</v>
      </c>
      <c r="H19" s="73">
        <v>655.9</v>
      </c>
      <c r="I19" s="73">
        <v>655.9</v>
      </c>
      <c r="J19" s="73">
        <v>919.1</v>
      </c>
      <c r="K19" s="73">
        <v>605.79999999999995</v>
      </c>
      <c r="L19" s="73">
        <v>753.7</v>
      </c>
      <c r="M19" s="73">
        <v>676.7</v>
      </c>
      <c r="N19" s="73">
        <v>801</v>
      </c>
      <c r="O19" s="73">
        <v>785.6</v>
      </c>
      <c r="P19" s="73">
        <v>610</v>
      </c>
      <c r="Q19" s="73">
        <v>766.2</v>
      </c>
      <c r="R19" s="73">
        <v>782.6</v>
      </c>
      <c r="S19" s="73">
        <v>750.2</v>
      </c>
      <c r="T19" s="73">
        <v>776.1</v>
      </c>
      <c r="U19" s="73">
        <v>617.5</v>
      </c>
      <c r="V19" s="73">
        <v>630</v>
      </c>
      <c r="W19" s="73">
        <v>848.00000000000011</v>
      </c>
      <c r="X19" s="73">
        <v>663.1</v>
      </c>
      <c r="Y19" s="73">
        <v>513.80000000000007</v>
      </c>
      <c r="Z19" s="73">
        <v>679.71428571428578</v>
      </c>
      <c r="AA19" s="73">
        <v>843.04761904761892</v>
      </c>
      <c r="AB19" s="74">
        <f t="shared" si="1"/>
        <v>710.40619047619066</v>
      </c>
      <c r="AC19" s="75">
        <f t="shared" si="2"/>
        <v>702.41429645542394</v>
      </c>
      <c r="AF19" s="78"/>
      <c r="AI19" s="169"/>
    </row>
    <row r="20" spans="1:36">
      <c r="A20" s="72"/>
      <c r="B20" s="72"/>
      <c r="C20" s="72"/>
      <c r="D20" s="72"/>
      <c r="E20" s="72"/>
    </row>
    <row r="21" spans="1:36">
      <c r="A21" s="72" t="s">
        <v>10</v>
      </c>
      <c r="B21" s="73">
        <v>5154.1000000000004</v>
      </c>
      <c r="C21" s="73">
        <v>4948.3999999999996</v>
      </c>
      <c r="D21" s="73">
        <v>4972.7</v>
      </c>
      <c r="E21" s="73">
        <v>4911.7</v>
      </c>
      <c r="F21" s="73">
        <v>4984.3999999999996</v>
      </c>
      <c r="G21" s="73">
        <v>5003.6000000000004</v>
      </c>
      <c r="H21" s="73">
        <v>4052.6</v>
      </c>
      <c r="I21" s="73">
        <v>4052.6</v>
      </c>
      <c r="J21" s="73">
        <v>4859.6000000000004</v>
      </c>
      <c r="K21" s="73">
        <f t="shared" ref="K21:Q21" si="3">SUM(K8:K20)</f>
        <v>4365.5999999999995</v>
      </c>
      <c r="L21" s="73">
        <f t="shared" si="3"/>
        <v>4614.8999999999996</v>
      </c>
      <c r="M21" s="73">
        <f t="shared" si="3"/>
        <v>4974</v>
      </c>
      <c r="N21" s="73">
        <f t="shared" si="3"/>
        <v>4899.7000000000007</v>
      </c>
      <c r="O21" s="73">
        <f t="shared" si="3"/>
        <v>4299.0999999999995</v>
      </c>
      <c r="P21" s="73">
        <f t="shared" si="3"/>
        <v>4353.2999999999993</v>
      </c>
      <c r="Q21" s="73">
        <f t="shared" si="3"/>
        <v>4733.7999999999993</v>
      </c>
      <c r="R21" s="73">
        <v>4900.5</v>
      </c>
      <c r="S21" s="73">
        <v>4804.7</v>
      </c>
      <c r="T21" s="73">
        <v>4094.4</v>
      </c>
      <c r="U21" s="73">
        <f>SUM(U8:U20)</f>
        <v>4180.2</v>
      </c>
      <c r="V21" s="73">
        <f t="shared" ref="V21:Y21" si="4">SUM(V8:V20)</f>
        <v>4025.8999999999996</v>
      </c>
      <c r="W21" s="73">
        <f t="shared" si="4"/>
        <v>4373.5000000000009</v>
      </c>
      <c r="X21" s="73">
        <f t="shared" si="4"/>
        <v>4955.8</v>
      </c>
      <c r="Y21" s="73">
        <f t="shared" si="4"/>
        <v>4569.3</v>
      </c>
      <c r="Z21" s="73">
        <f t="shared" ref="Z21:AA21" si="5">SUM(Z8:Z20)</f>
        <v>4285.1428571428569</v>
      </c>
      <c r="AA21" s="73">
        <f t="shared" si="5"/>
        <v>4282.0952380952376</v>
      </c>
      <c r="AI21" s="73">
        <f t="shared" ref="AI21" si="6">SUM(AI8:AI20)</f>
        <v>0</v>
      </c>
    </row>
    <row r="22" spans="1:36">
      <c r="A22" s="67"/>
      <c r="B22" s="67"/>
      <c r="C22" s="67"/>
      <c r="D22" s="67"/>
      <c r="E22" s="67"/>
      <c r="F22" s="68"/>
      <c r="G22" s="68"/>
    </row>
    <row r="23" spans="1:36">
      <c r="A23" s="67" t="s">
        <v>88</v>
      </c>
      <c r="B23" s="67"/>
      <c r="C23" s="67"/>
      <c r="D23" s="67"/>
      <c r="E23" s="67"/>
      <c r="F23" s="68"/>
      <c r="G23" s="68"/>
    </row>
    <row r="24" spans="1:36">
      <c r="A24" s="69"/>
      <c r="B24" s="69"/>
      <c r="C24" s="69"/>
      <c r="D24" s="69"/>
      <c r="E24" s="69"/>
      <c r="F24" s="70"/>
      <c r="G24" s="70"/>
    </row>
    <row r="25" spans="1:36">
      <c r="A25" s="71" t="s">
        <v>75</v>
      </c>
      <c r="B25" s="71">
        <v>1992</v>
      </c>
      <c r="C25" s="71">
        <v>1993</v>
      </c>
      <c r="D25" s="71">
        <v>1994</v>
      </c>
      <c r="E25" s="71">
        <v>1995</v>
      </c>
      <c r="F25" s="71">
        <v>1996</v>
      </c>
      <c r="G25" s="71">
        <v>1997</v>
      </c>
      <c r="H25" s="71">
        <v>1998</v>
      </c>
      <c r="I25" s="71">
        <v>1999</v>
      </c>
      <c r="J25" s="71">
        <v>2000</v>
      </c>
      <c r="K25" s="71">
        <v>2001</v>
      </c>
      <c r="L25" s="71">
        <v>2002</v>
      </c>
      <c r="M25" s="71">
        <v>2003</v>
      </c>
      <c r="N25" s="71">
        <v>2004</v>
      </c>
      <c r="O25" s="71">
        <v>2005</v>
      </c>
      <c r="P25" s="71">
        <v>2006</v>
      </c>
      <c r="Q25" s="71">
        <v>2007</v>
      </c>
      <c r="R25" s="71">
        <v>2008</v>
      </c>
      <c r="S25" s="71">
        <v>2009</v>
      </c>
      <c r="T25" s="71">
        <v>2010</v>
      </c>
      <c r="U25" s="71">
        <v>2011</v>
      </c>
      <c r="V25" s="71">
        <v>2012</v>
      </c>
      <c r="W25" s="71">
        <v>2013</v>
      </c>
      <c r="X25" s="71">
        <v>2014</v>
      </c>
      <c r="Y25" s="71">
        <v>2015</v>
      </c>
      <c r="Z25" s="71">
        <v>2016</v>
      </c>
      <c r="AA25" s="71">
        <v>2017</v>
      </c>
      <c r="AB25" s="76" t="s">
        <v>89</v>
      </c>
      <c r="AC25" s="76" t="s">
        <v>90</v>
      </c>
    </row>
    <row r="26" spans="1:36">
      <c r="A26" s="69"/>
      <c r="B26" s="69"/>
      <c r="C26" s="69"/>
      <c r="D26" s="69"/>
      <c r="E26" s="69"/>
      <c r="F26" s="68"/>
      <c r="G26" s="68"/>
      <c r="AB26" s="77"/>
      <c r="AC26" s="77"/>
    </row>
    <row r="27" spans="1:36">
      <c r="F27" s="68"/>
      <c r="G27" s="68"/>
      <c r="AB27" s="77"/>
      <c r="AC27" s="77"/>
    </row>
    <row r="28" spans="1:36">
      <c r="A28" s="72" t="s">
        <v>76</v>
      </c>
      <c r="B28" s="73">
        <v>0</v>
      </c>
      <c r="C28" s="73">
        <v>0</v>
      </c>
      <c r="D28" s="73">
        <v>0</v>
      </c>
      <c r="E28" s="73">
        <v>0</v>
      </c>
      <c r="F28" s="73">
        <v>0</v>
      </c>
      <c r="G28" s="73">
        <v>0</v>
      </c>
      <c r="H28" s="73">
        <v>0</v>
      </c>
      <c r="I28" s="73">
        <v>0</v>
      </c>
      <c r="J28" s="73">
        <v>0</v>
      </c>
      <c r="K28" s="73">
        <v>0</v>
      </c>
      <c r="L28" s="73">
        <v>0</v>
      </c>
      <c r="M28" s="73">
        <v>0</v>
      </c>
      <c r="N28" s="73">
        <v>0</v>
      </c>
      <c r="O28" s="73">
        <v>0</v>
      </c>
      <c r="P28" s="73">
        <v>0</v>
      </c>
      <c r="Q28" s="73">
        <v>0</v>
      </c>
      <c r="R28" s="73">
        <v>0</v>
      </c>
      <c r="S28" s="73">
        <v>0</v>
      </c>
      <c r="T28" s="73">
        <v>0</v>
      </c>
      <c r="U28" s="73">
        <v>0</v>
      </c>
      <c r="V28" s="73">
        <v>0</v>
      </c>
      <c r="W28" s="73">
        <v>0</v>
      </c>
      <c r="X28" s="73">
        <v>0</v>
      </c>
      <c r="Y28" s="73">
        <v>0</v>
      </c>
      <c r="Z28" s="73">
        <v>0</v>
      </c>
      <c r="AA28" s="73">
        <v>0</v>
      </c>
      <c r="AB28" s="74">
        <f t="shared" ref="AB28:AB39" si="7">AVERAGE(R28:AA28)</f>
        <v>0</v>
      </c>
      <c r="AC28" s="75">
        <f>TREND(G28:Z28,$G$5:$Z$5,2018)</f>
        <v>0</v>
      </c>
      <c r="AJ28" s="73"/>
    </row>
    <row r="29" spans="1:36">
      <c r="A29" s="72" t="s">
        <v>77</v>
      </c>
      <c r="B29" s="73">
        <v>0</v>
      </c>
      <c r="C29" s="73">
        <v>0</v>
      </c>
      <c r="D29" s="73">
        <v>0</v>
      </c>
      <c r="E29" s="73">
        <v>0</v>
      </c>
      <c r="F29" s="73">
        <v>0</v>
      </c>
      <c r="G29" s="73">
        <v>0</v>
      </c>
      <c r="H29" s="73">
        <v>0</v>
      </c>
      <c r="I29" s="73">
        <v>0</v>
      </c>
      <c r="J29" s="73">
        <v>0</v>
      </c>
      <c r="K29" s="73">
        <v>0</v>
      </c>
      <c r="L29" s="73">
        <v>0</v>
      </c>
      <c r="M29" s="73">
        <v>0</v>
      </c>
      <c r="N29" s="73">
        <v>0</v>
      </c>
      <c r="O29" s="73">
        <v>0</v>
      </c>
      <c r="P29" s="73">
        <v>0</v>
      </c>
      <c r="Q29" s="73">
        <v>0</v>
      </c>
      <c r="R29" s="73">
        <v>0</v>
      </c>
      <c r="S29" s="73">
        <v>0</v>
      </c>
      <c r="T29" s="73">
        <v>0</v>
      </c>
      <c r="U29" s="73">
        <v>0</v>
      </c>
      <c r="V29" s="73">
        <v>0</v>
      </c>
      <c r="W29" s="73">
        <v>0</v>
      </c>
      <c r="X29" s="73">
        <v>0</v>
      </c>
      <c r="Y29" s="73">
        <v>0</v>
      </c>
      <c r="Z29" s="73">
        <v>0</v>
      </c>
      <c r="AA29" s="73">
        <v>0</v>
      </c>
      <c r="AB29" s="74">
        <f t="shared" si="7"/>
        <v>0</v>
      </c>
      <c r="AC29" s="75">
        <f t="shared" ref="AC29:AC39" si="8">TREND(G29:Z29,$G$5:$Z$5,2018)</f>
        <v>0</v>
      </c>
      <c r="AJ29" s="73"/>
    </row>
    <row r="30" spans="1:36">
      <c r="A30" s="72" t="s">
        <v>78</v>
      </c>
      <c r="B30" s="73">
        <v>0</v>
      </c>
      <c r="C30" s="73">
        <v>0</v>
      </c>
      <c r="D30" s="73">
        <v>0</v>
      </c>
      <c r="E30" s="73">
        <v>0</v>
      </c>
      <c r="F30" s="73">
        <v>0</v>
      </c>
      <c r="G30" s="73">
        <v>0</v>
      </c>
      <c r="H30" s="73">
        <v>0</v>
      </c>
      <c r="I30" s="73">
        <v>0</v>
      </c>
      <c r="J30" s="73">
        <v>0</v>
      </c>
      <c r="K30" s="73">
        <v>0</v>
      </c>
      <c r="L30" s="73">
        <v>0</v>
      </c>
      <c r="M30" s="73">
        <v>0</v>
      </c>
      <c r="N30" s="73">
        <v>0</v>
      </c>
      <c r="O30" s="73">
        <v>0</v>
      </c>
      <c r="P30" s="73">
        <v>0</v>
      </c>
      <c r="Q30" s="73">
        <v>0</v>
      </c>
      <c r="R30" s="73">
        <v>0</v>
      </c>
      <c r="S30" s="73">
        <v>0</v>
      </c>
      <c r="T30" s="73">
        <v>0</v>
      </c>
      <c r="U30" s="73">
        <v>0</v>
      </c>
      <c r="V30" s="73">
        <v>0</v>
      </c>
      <c r="W30" s="73">
        <v>0</v>
      </c>
      <c r="X30" s="73">
        <v>0</v>
      </c>
      <c r="Y30" s="73">
        <v>0</v>
      </c>
      <c r="Z30" s="73">
        <v>0</v>
      </c>
      <c r="AA30" s="73">
        <v>0</v>
      </c>
      <c r="AB30" s="74">
        <f t="shared" si="7"/>
        <v>0</v>
      </c>
      <c r="AC30" s="75">
        <f t="shared" si="8"/>
        <v>0</v>
      </c>
      <c r="AJ30" s="73"/>
    </row>
    <row r="31" spans="1:36">
      <c r="A31" s="72" t="s">
        <v>79</v>
      </c>
      <c r="B31" s="73">
        <v>0</v>
      </c>
      <c r="C31" s="73">
        <v>0</v>
      </c>
      <c r="D31" s="73">
        <v>0</v>
      </c>
      <c r="E31" s="73">
        <v>0</v>
      </c>
      <c r="F31" s="73">
        <v>0</v>
      </c>
      <c r="G31" s="73">
        <v>0</v>
      </c>
      <c r="H31" s="73">
        <v>0</v>
      </c>
      <c r="I31" s="73">
        <v>0</v>
      </c>
      <c r="J31" s="73">
        <v>0</v>
      </c>
      <c r="K31" s="73">
        <v>0.1</v>
      </c>
      <c r="L31" s="73">
        <v>4.5</v>
      </c>
      <c r="M31" s="73">
        <v>0</v>
      </c>
      <c r="N31" s="73">
        <v>0</v>
      </c>
      <c r="O31" s="73">
        <v>0</v>
      </c>
      <c r="P31" s="73">
        <v>0</v>
      </c>
      <c r="Q31" s="73">
        <v>0</v>
      </c>
      <c r="R31" s="73">
        <v>0</v>
      </c>
      <c r="S31" s="73">
        <v>0</v>
      </c>
      <c r="T31" s="73">
        <v>0</v>
      </c>
      <c r="U31" s="73">
        <v>0</v>
      </c>
      <c r="V31" s="73">
        <v>0</v>
      </c>
      <c r="W31" s="73">
        <v>0</v>
      </c>
      <c r="X31" s="73">
        <v>0</v>
      </c>
      <c r="Y31" s="73">
        <v>0</v>
      </c>
      <c r="Z31" s="73">
        <v>0</v>
      </c>
      <c r="AA31" s="73">
        <v>0.1</v>
      </c>
      <c r="AB31" s="74">
        <f t="shared" si="7"/>
        <v>0.01</v>
      </c>
      <c r="AC31" s="75">
        <f t="shared" si="8"/>
        <v>-0.12969924812030342</v>
      </c>
      <c r="AJ31" s="73"/>
    </row>
    <row r="32" spans="1:36">
      <c r="A32" s="72" t="s">
        <v>80</v>
      </c>
      <c r="B32" s="73">
        <v>2.7</v>
      </c>
      <c r="C32" s="73">
        <v>0.2</v>
      </c>
      <c r="D32" s="73">
        <v>2.1</v>
      </c>
      <c r="E32" s="73">
        <v>0</v>
      </c>
      <c r="F32" s="73">
        <v>2</v>
      </c>
      <c r="G32" s="73">
        <v>0</v>
      </c>
      <c r="H32" s="73">
        <v>5.3</v>
      </c>
      <c r="I32" s="73">
        <v>5.3</v>
      </c>
      <c r="J32" s="73">
        <v>4.9000000000000004</v>
      </c>
      <c r="K32" s="73">
        <v>2.2000000000000002</v>
      </c>
      <c r="L32" s="73">
        <v>1.8</v>
      </c>
      <c r="M32" s="73">
        <v>0</v>
      </c>
      <c r="N32" s="73">
        <v>5.5</v>
      </c>
      <c r="O32" s="73">
        <v>0.4</v>
      </c>
      <c r="P32" s="73">
        <v>14</v>
      </c>
      <c r="Q32" s="73">
        <v>9.1</v>
      </c>
      <c r="R32" s="73">
        <v>0</v>
      </c>
      <c r="S32" s="73">
        <v>0</v>
      </c>
      <c r="T32" s="73">
        <v>22.9</v>
      </c>
      <c r="U32" s="73">
        <v>10.1</v>
      </c>
      <c r="V32" s="73">
        <v>7.6</v>
      </c>
      <c r="W32" s="73">
        <v>11.7</v>
      </c>
      <c r="X32" s="73">
        <v>0.30000000000000004</v>
      </c>
      <c r="Y32" s="73">
        <v>17.199999999999996</v>
      </c>
      <c r="Z32" s="73">
        <v>12.7</v>
      </c>
      <c r="AA32" s="73">
        <v>5.1999999999999993</v>
      </c>
      <c r="AB32" s="74">
        <f t="shared" si="7"/>
        <v>8.77</v>
      </c>
      <c r="AC32" s="75">
        <f t="shared" si="8"/>
        <v>12.756541353383454</v>
      </c>
      <c r="AJ32" s="73"/>
    </row>
    <row r="33" spans="1:36">
      <c r="A33" s="72" t="s">
        <v>81</v>
      </c>
      <c r="B33" s="73">
        <v>5.4</v>
      </c>
      <c r="C33" s="73">
        <v>8.1999999999999993</v>
      </c>
      <c r="D33" s="73">
        <v>32.700000000000003</v>
      </c>
      <c r="E33" s="73">
        <v>51.9</v>
      </c>
      <c r="F33" s="73">
        <v>21.9</v>
      </c>
      <c r="G33" s="73">
        <v>16.399999999999999</v>
      </c>
      <c r="H33" s="73">
        <v>50.3</v>
      </c>
      <c r="I33" s="73">
        <v>50.3</v>
      </c>
      <c r="J33" s="73">
        <v>11.4</v>
      </c>
      <c r="K33" s="73">
        <v>36.700000000000003</v>
      </c>
      <c r="L33" s="73">
        <v>39.299999999999997</v>
      </c>
      <c r="M33" s="73">
        <v>15.8</v>
      </c>
      <c r="N33" s="73">
        <v>15.2</v>
      </c>
      <c r="O33" s="73">
        <v>76.8</v>
      </c>
      <c r="P33" s="73">
        <v>31.3</v>
      </c>
      <c r="Q33" s="73">
        <v>43</v>
      </c>
      <c r="R33" s="73">
        <v>36.4</v>
      </c>
      <c r="S33" s="73">
        <v>19.100000000000001</v>
      </c>
      <c r="T33" s="73">
        <v>12</v>
      </c>
      <c r="U33" s="73">
        <v>13.4</v>
      </c>
      <c r="V33" s="73">
        <v>47.5</v>
      </c>
      <c r="W33" s="73">
        <v>27.200000000000003</v>
      </c>
      <c r="X33" s="73">
        <v>20.200000000000003</v>
      </c>
      <c r="Y33" s="73">
        <v>4</v>
      </c>
      <c r="Z33" s="73">
        <v>22</v>
      </c>
      <c r="AA33" s="73">
        <v>19.7</v>
      </c>
      <c r="AB33" s="74">
        <f t="shared" si="7"/>
        <v>22.15</v>
      </c>
      <c r="AC33" s="75">
        <f t="shared" si="8"/>
        <v>19.404812030075163</v>
      </c>
      <c r="AJ33" s="73"/>
    </row>
    <row r="34" spans="1:36">
      <c r="A34" s="72" t="s">
        <v>82</v>
      </c>
      <c r="B34" s="73">
        <v>2.7</v>
      </c>
      <c r="C34" s="73">
        <v>50.3</v>
      </c>
      <c r="D34" s="73">
        <v>44</v>
      </c>
      <c r="E34" s="73">
        <v>61.4</v>
      </c>
      <c r="F34" s="73">
        <v>14.4</v>
      </c>
      <c r="G34" s="73">
        <v>40</v>
      </c>
      <c r="H34" s="73">
        <v>39.9</v>
      </c>
      <c r="I34" s="73">
        <v>39.9</v>
      </c>
      <c r="J34" s="73">
        <v>28.2</v>
      </c>
      <c r="K34" s="73">
        <v>51.7</v>
      </c>
      <c r="L34" s="73">
        <v>79.2</v>
      </c>
      <c r="M34" s="73">
        <v>39</v>
      </c>
      <c r="N34" s="73">
        <v>45.2</v>
      </c>
      <c r="O34" s="73">
        <v>87.8</v>
      </c>
      <c r="P34" s="73">
        <v>83.4</v>
      </c>
      <c r="Q34" s="73">
        <v>43.6</v>
      </c>
      <c r="R34" s="73">
        <v>54.1</v>
      </c>
      <c r="S34" s="73">
        <v>10.3</v>
      </c>
      <c r="T34" s="73">
        <v>95.7</v>
      </c>
      <c r="U34" s="73">
        <v>80.600000000000009</v>
      </c>
      <c r="V34" s="73">
        <v>70.5</v>
      </c>
      <c r="W34" s="73">
        <v>75.900000000000006</v>
      </c>
      <c r="X34" s="73">
        <v>18.3</v>
      </c>
      <c r="Y34" s="73">
        <v>48</v>
      </c>
      <c r="Z34" s="73">
        <v>64.800000000000011</v>
      </c>
      <c r="AA34" s="73">
        <v>20.299999999999997</v>
      </c>
      <c r="AB34" s="74">
        <f t="shared" si="7"/>
        <v>53.85</v>
      </c>
      <c r="AC34" s="75">
        <f t="shared" si="8"/>
        <v>65.23195488721808</v>
      </c>
      <c r="AJ34" s="73"/>
    </row>
    <row r="35" spans="1:36">
      <c r="A35" s="72" t="s">
        <v>83</v>
      </c>
      <c r="B35" s="73">
        <v>12.5</v>
      </c>
      <c r="C35" s="73">
        <v>48.9</v>
      </c>
      <c r="D35" s="73">
        <v>13.5</v>
      </c>
      <c r="E35" s="73">
        <v>64.7</v>
      </c>
      <c r="F35" s="73">
        <v>38.5</v>
      </c>
      <c r="G35" s="73">
        <v>14</v>
      </c>
      <c r="H35" s="73">
        <v>45.4</v>
      </c>
      <c r="I35" s="73">
        <v>45.4</v>
      </c>
      <c r="J35" s="73">
        <v>29.3</v>
      </c>
      <c r="K35" s="73">
        <v>60.7</v>
      </c>
      <c r="L35" s="73">
        <v>46.8</v>
      </c>
      <c r="M35" s="73">
        <v>60.9</v>
      </c>
      <c r="N35" s="73">
        <v>28.4</v>
      </c>
      <c r="O35" s="73">
        <v>59.8</v>
      </c>
      <c r="P35" s="73">
        <v>39.9</v>
      </c>
      <c r="Q35" s="73">
        <v>52.3</v>
      </c>
      <c r="R35" s="73">
        <v>26</v>
      </c>
      <c r="S35" s="73">
        <v>39.799999999999997</v>
      </c>
      <c r="T35" s="73">
        <v>61.1</v>
      </c>
      <c r="U35" s="73">
        <v>38</v>
      </c>
      <c r="V35" s="73">
        <v>45.8</v>
      </c>
      <c r="W35" s="73">
        <v>21.6</v>
      </c>
      <c r="X35" s="73">
        <v>24.400000000000002</v>
      </c>
      <c r="Y35" s="73">
        <v>33.299999999999997</v>
      </c>
      <c r="Z35" s="73">
        <v>77.700000000000017</v>
      </c>
      <c r="AA35" s="73">
        <v>19.399999999999999</v>
      </c>
      <c r="AB35" s="74">
        <f t="shared" si="7"/>
        <v>38.71</v>
      </c>
      <c r="AC35" s="75">
        <f t="shared" si="8"/>
        <v>45.260601503759347</v>
      </c>
      <c r="AJ35" s="73"/>
    </row>
    <row r="36" spans="1:36">
      <c r="A36" s="72" t="s">
        <v>84</v>
      </c>
      <c r="B36" s="73">
        <v>8.6</v>
      </c>
      <c r="C36" s="73">
        <v>7.4</v>
      </c>
      <c r="D36" s="73">
        <v>2.7</v>
      </c>
      <c r="E36" s="73">
        <v>0.4</v>
      </c>
      <c r="F36" s="73">
        <v>9</v>
      </c>
      <c r="G36" s="73">
        <v>0.7</v>
      </c>
      <c r="H36" s="73">
        <v>6</v>
      </c>
      <c r="I36" s="73">
        <v>6</v>
      </c>
      <c r="J36" s="73">
        <v>12.1</v>
      </c>
      <c r="K36" s="73">
        <v>15.4</v>
      </c>
      <c r="L36" s="73">
        <v>31.5</v>
      </c>
      <c r="M36" s="73">
        <v>5.6</v>
      </c>
      <c r="N36" s="73">
        <v>17.899999999999999</v>
      </c>
      <c r="O36" s="73">
        <v>12.6</v>
      </c>
      <c r="P36" s="73">
        <v>0.7</v>
      </c>
      <c r="Q36" s="73">
        <v>14.4</v>
      </c>
      <c r="R36" s="73">
        <v>5.0999999999999996</v>
      </c>
      <c r="S36" s="73">
        <v>2.7</v>
      </c>
      <c r="T36" s="73">
        <v>17.5</v>
      </c>
      <c r="U36" s="73">
        <v>17.499999999999996</v>
      </c>
      <c r="V36" s="73">
        <v>10.399999999999999</v>
      </c>
      <c r="W36" s="73">
        <v>7.1</v>
      </c>
      <c r="X36" s="73">
        <v>3.5</v>
      </c>
      <c r="Y36" s="73">
        <v>41.000000000000007</v>
      </c>
      <c r="Z36" s="73">
        <v>13.4</v>
      </c>
      <c r="AA36" s="73">
        <v>30</v>
      </c>
      <c r="AB36" s="74">
        <f t="shared" si="7"/>
        <v>14.820000000000002</v>
      </c>
      <c r="AC36" s="75">
        <f t="shared" si="8"/>
        <v>16.821879699248029</v>
      </c>
      <c r="AJ36" s="73"/>
    </row>
    <row r="37" spans="1:36">
      <c r="A37" s="72" t="s">
        <v>85</v>
      </c>
      <c r="B37" s="73">
        <v>0</v>
      </c>
      <c r="C37" s="73">
        <v>0</v>
      </c>
      <c r="D37" s="73">
        <v>1.7</v>
      </c>
      <c r="E37" s="73">
        <v>0</v>
      </c>
      <c r="F37" s="73">
        <v>0</v>
      </c>
      <c r="G37" s="73">
        <v>1.4</v>
      </c>
      <c r="H37" s="73">
        <v>0</v>
      </c>
      <c r="I37" s="73">
        <v>0</v>
      </c>
      <c r="J37" s="73">
        <v>0</v>
      </c>
      <c r="K37" s="73">
        <v>0</v>
      </c>
      <c r="L37" s="73">
        <v>2.2000000000000002</v>
      </c>
      <c r="M37" s="73">
        <v>0</v>
      </c>
      <c r="N37" s="73">
        <v>0</v>
      </c>
      <c r="O37" s="73">
        <v>6.7</v>
      </c>
      <c r="P37" s="73">
        <v>0</v>
      </c>
      <c r="Q37" s="73">
        <v>1.5</v>
      </c>
      <c r="R37" s="73">
        <v>0</v>
      </c>
      <c r="S37" s="73">
        <v>0</v>
      </c>
      <c r="T37" s="73">
        <v>0</v>
      </c>
      <c r="U37" s="73">
        <v>0</v>
      </c>
      <c r="V37" s="73">
        <v>0</v>
      </c>
      <c r="W37" s="73">
        <v>0</v>
      </c>
      <c r="X37" s="73">
        <v>0.3</v>
      </c>
      <c r="Y37" s="73">
        <v>0</v>
      </c>
      <c r="Z37" s="73">
        <v>0</v>
      </c>
      <c r="AA37" s="73">
        <v>0</v>
      </c>
      <c r="AB37" s="74">
        <f t="shared" si="7"/>
        <v>0.03</v>
      </c>
      <c r="AC37" s="75">
        <f t="shared" si="8"/>
        <v>8.1879699248119664E-2</v>
      </c>
      <c r="AJ37" s="73"/>
    </row>
    <row r="38" spans="1:36">
      <c r="A38" s="72" t="s">
        <v>86</v>
      </c>
      <c r="B38" s="73">
        <v>0</v>
      </c>
      <c r="C38" s="73">
        <v>0</v>
      </c>
      <c r="D38" s="73">
        <v>0</v>
      </c>
      <c r="E38" s="73">
        <v>0</v>
      </c>
      <c r="F38" s="73">
        <v>0</v>
      </c>
      <c r="G38" s="73">
        <v>0</v>
      </c>
      <c r="H38" s="73">
        <v>0</v>
      </c>
      <c r="I38" s="73">
        <v>0</v>
      </c>
      <c r="J38" s="73">
        <v>0</v>
      </c>
      <c r="K38" s="73">
        <v>0</v>
      </c>
      <c r="L38" s="73">
        <v>0</v>
      </c>
      <c r="M38" s="73">
        <v>0</v>
      </c>
      <c r="N38" s="73">
        <v>0</v>
      </c>
      <c r="O38" s="73">
        <v>0</v>
      </c>
      <c r="P38" s="73">
        <v>0</v>
      </c>
      <c r="Q38" s="73">
        <v>0</v>
      </c>
      <c r="R38" s="73">
        <v>0</v>
      </c>
      <c r="S38" s="73">
        <v>0</v>
      </c>
      <c r="T38" s="73">
        <v>0</v>
      </c>
      <c r="U38" s="73">
        <v>0</v>
      </c>
      <c r="V38" s="73">
        <v>0</v>
      </c>
      <c r="W38" s="73">
        <v>0</v>
      </c>
      <c r="X38" s="73">
        <v>0</v>
      </c>
      <c r="Y38" s="73">
        <v>0</v>
      </c>
      <c r="Z38" s="73">
        <v>0</v>
      </c>
      <c r="AA38" s="73">
        <v>0</v>
      </c>
      <c r="AB38" s="74">
        <f t="shared" si="7"/>
        <v>0</v>
      </c>
      <c r="AC38" s="75">
        <f t="shared" si="8"/>
        <v>0</v>
      </c>
      <c r="AJ38" s="73"/>
    </row>
    <row r="39" spans="1:36">
      <c r="A39" s="72" t="s">
        <v>87</v>
      </c>
      <c r="B39" s="73">
        <v>0</v>
      </c>
      <c r="C39" s="73">
        <v>0</v>
      </c>
      <c r="D39" s="73">
        <v>0</v>
      </c>
      <c r="E39" s="73">
        <v>0</v>
      </c>
      <c r="F39" s="73">
        <v>0</v>
      </c>
      <c r="G39" s="73">
        <v>0</v>
      </c>
      <c r="H39" s="73">
        <v>0</v>
      </c>
      <c r="I39" s="73">
        <v>0</v>
      </c>
      <c r="J39" s="73">
        <v>0</v>
      </c>
      <c r="K39" s="73">
        <v>0</v>
      </c>
      <c r="L39" s="73">
        <v>0</v>
      </c>
      <c r="M39" s="73">
        <v>0</v>
      </c>
      <c r="N39" s="73">
        <v>0</v>
      </c>
      <c r="O39" s="73">
        <v>0</v>
      </c>
      <c r="P39" s="73">
        <v>0</v>
      </c>
      <c r="Q39" s="73">
        <v>0</v>
      </c>
      <c r="R39" s="73">
        <v>0</v>
      </c>
      <c r="S39" s="73">
        <v>0</v>
      </c>
      <c r="T39" s="73">
        <v>0</v>
      </c>
      <c r="U39" s="73">
        <v>0</v>
      </c>
      <c r="V39" s="73">
        <v>0</v>
      </c>
      <c r="W39" s="73">
        <v>0</v>
      </c>
      <c r="X39" s="73">
        <v>0</v>
      </c>
      <c r="Y39" s="73">
        <v>0</v>
      </c>
      <c r="Z39" s="73">
        <v>0</v>
      </c>
      <c r="AA39" s="73">
        <v>0</v>
      </c>
      <c r="AB39" s="74">
        <f t="shared" si="7"/>
        <v>0</v>
      </c>
      <c r="AC39" s="75">
        <f t="shared" si="8"/>
        <v>0</v>
      </c>
      <c r="AJ39" s="73"/>
    </row>
    <row r="40" spans="1:36">
      <c r="A40" s="72"/>
      <c r="B40" s="72"/>
      <c r="C40" s="72"/>
      <c r="D40" s="72"/>
      <c r="E40" s="72"/>
      <c r="F40" s="68"/>
      <c r="G40" s="68"/>
      <c r="H40" s="68"/>
      <c r="I40" s="68"/>
    </row>
    <row r="41" spans="1:36">
      <c r="A41" s="72" t="s">
        <v>10</v>
      </c>
      <c r="B41" s="73">
        <v>31.9</v>
      </c>
      <c r="C41" s="73">
        <v>115</v>
      </c>
      <c r="D41" s="73">
        <v>96.7</v>
      </c>
      <c r="E41" s="73">
        <v>178.4</v>
      </c>
      <c r="F41" s="73">
        <v>85.8</v>
      </c>
      <c r="G41" s="73">
        <v>72.5</v>
      </c>
      <c r="H41" s="73">
        <v>146.9</v>
      </c>
      <c r="I41" s="73">
        <v>146.9</v>
      </c>
      <c r="J41" s="73">
        <v>85.9</v>
      </c>
      <c r="K41" s="73">
        <f t="shared" ref="K41:Q41" si="9">SUM(K28:K40)</f>
        <v>166.8</v>
      </c>
      <c r="L41" s="73">
        <f t="shared" si="9"/>
        <v>205.29999999999998</v>
      </c>
      <c r="M41" s="73">
        <f t="shared" si="9"/>
        <v>121.29999999999998</v>
      </c>
      <c r="N41" s="73">
        <f t="shared" si="9"/>
        <v>112.20000000000002</v>
      </c>
      <c r="O41" s="73">
        <f t="shared" si="9"/>
        <v>244.1</v>
      </c>
      <c r="P41" s="73">
        <f t="shared" si="9"/>
        <v>169.29999999999998</v>
      </c>
      <c r="Q41" s="73">
        <f t="shared" si="9"/>
        <v>163.9</v>
      </c>
      <c r="R41" s="73">
        <v>121.6</v>
      </c>
      <c r="S41" s="73">
        <v>71.900000000000006</v>
      </c>
      <c r="T41" s="73">
        <v>209.2</v>
      </c>
      <c r="U41" s="73">
        <f>SUM(U28:U40)</f>
        <v>159.60000000000002</v>
      </c>
      <c r="V41" s="73">
        <f t="shared" ref="V41:Z41" si="10">SUM(V28:V40)</f>
        <v>181.79999999999998</v>
      </c>
      <c r="W41" s="73">
        <f t="shared" si="10"/>
        <v>143.5</v>
      </c>
      <c r="X41" s="73">
        <f t="shared" si="10"/>
        <v>67</v>
      </c>
      <c r="Y41" s="73">
        <f t="shared" si="10"/>
        <v>143.5</v>
      </c>
      <c r="Z41" s="73">
        <f t="shared" si="10"/>
        <v>190.60000000000005</v>
      </c>
      <c r="AA41" s="73">
        <f t="shared" ref="AA41" si="11">SUM(AA28:AA40)</f>
        <v>94.699999999999989</v>
      </c>
      <c r="AB41" s="78"/>
      <c r="AC41" s="78"/>
    </row>
    <row r="42" spans="1:36">
      <c r="A42" s="72"/>
      <c r="B42" s="72"/>
      <c r="C42" s="72"/>
      <c r="D42" s="72"/>
      <c r="E42" s="72"/>
      <c r="F42" s="68"/>
      <c r="G42" s="68"/>
      <c r="H42" s="68"/>
      <c r="I42" s="68"/>
    </row>
    <row r="43" spans="1:36">
      <c r="A43" s="72"/>
      <c r="B43" s="72"/>
      <c r="C43" s="72"/>
      <c r="D43" s="72"/>
      <c r="E43" s="72"/>
      <c r="F43" s="68"/>
      <c r="G43" s="68"/>
      <c r="H43" s="68"/>
      <c r="I43" s="68"/>
    </row>
    <row r="44" spans="1:36">
      <c r="A44" s="67"/>
      <c r="B44" s="67"/>
      <c r="C44" s="67"/>
      <c r="D44" s="67"/>
      <c r="E44" s="67"/>
      <c r="F44" s="68"/>
      <c r="G44" s="68"/>
    </row>
  </sheetData>
  <phoneticPr fontId="9" type="noConversion"/>
  <pageMargins left="0.5" right="0.5" top="0.75" bottom="0.75" header="0.5" footer="0.5"/>
  <pageSetup paperSize="5" scale="73" orientation="landscape" r:id="rId1"/>
  <headerFooter alignWithMargins="0">
    <oddFooter>&amp;L&amp;8&amp;D
&amp;Z&amp;F</oddFooter>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80"/>
  <sheetViews>
    <sheetView workbookViewId="0">
      <selection activeCell="B9" sqref="B9:C9"/>
    </sheetView>
  </sheetViews>
  <sheetFormatPr defaultRowHeight="12.5"/>
  <cols>
    <col min="1" max="1" width="31.453125" style="111" bestFit="1" customWidth="1"/>
    <col min="2" max="2" width="12.81640625" style="111" customWidth="1"/>
    <col min="3" max="3" width="11.81640625" style="111" customWidth="1"/>
    <col min="4" max="4" width="12.81640625" style="111" customWidth="1"/>
    <col min="5" max="5" width="10" style="111" customWidth="1"/>
    <col min="6" max="6" width="12.81640625" style="111" customWidth="1"/>
    <col min="7" max="8" width="9.1796875" style="111"/>
    <col min="9" max="9" width="11.1796875" style="111" bestFit="1" customWidth="1"/>
    <col min="10" max="256" width="9.1796875" style="111"/>
    <col min="257" max="257" width="31.453125" style="111" bestFit="1" customWidth="1"/>
    <col min="258" max="258" width="12.81640625" style="111" customWidth="1"/>
    <col min="259" max="259" width="11.81640625" style="111" customWidth="1"/>
    <col min="260" max="260" width="12.81640625" style="111" customWidth="1"/>
    <col min="261" max="261" width="10" style="111" customWidth="1"/>
    <col min="262" max="262" width="12.81640625" style="111" customWidth="1"/>
    <col min="263" max="512" width="9.1796875" style="111"/>
    <col min="513" max="513" width="31.453125" style="111" bestFit="1" customWidth="1"/>
    <col min="514" max="514" width="12.81640625" style="111" customWidth="1"/>
    <col min="515" max="515" width="11.81640625" style="111" customWidth="1"/>
    <col min="516" max="516" width="12.81640625" style="111" customWidth="1"/>
    <col min="517" max="517" width="10" style="111" customWidth="1"/>
    <col min="518" max="518" width="12.81640625" style="111" customWidth="1"/>
    <col min="519" max="768" width="9.1796875" style="111"/>
    <col min="769" max="769" width="31.453125" style="111" bestFit="1" customWidth="1"/>
    <col min="770" max="770" width="12.81640625" style="111" customWidth="1"/>
    <col min="771" max="771" width="11.81640625" style="111" customWidth="1"/>
    <col min="772" max="772" width="12.81640625" style="111" customWidth="1"/>
    <col min="773" max="773" width="10" style="111" customWidth="1"/>
    <col min="774" max="774" width="12.81640625" style="111" customWidth="1"/>
    <col min="775" max="1024" width="9.1796875" style="111"/>
    <col min="1025" max="1025" width="31.453125" style="111" bestFit="1" customWidth="1"/>
    <col min="1026" max="1026" width="12.81640625" style="111" customWidth="1"/>
    <col min="1027" max="1027" width="11.81640625" style="111" customWidth="1"/>
    <col min="1028" max="1028" width="12.81640625" style="111" customWidth="1"/>
    <col min="1029" max="1029" width="10" style="111" customWidth="1"/>
    <col min="1030" max="1030" width="12.81640625" style="111" customWidth="1"/>
    <col min="1031" max="1280" width="9.1796875" style="111"/>
    <col min="1281" max="1281" width="31.453125" style="111" bestFit="1" customWidth="1"/>
    <col min="1282" max="1282" width="12.81640625" style="111" customWidth="1"/>
    <col min="1283" max="1283" width="11.81640625" style="111" customWidth="1"/>
    <col min="1284" max="1284" width="12.81640625" style="111" customWidth="1"/>
    <col min="1285" max="1285" width="10" style="111" customWidth="1"/>
    <col min="1286" max="1286" width="12.81640625" style="111" customWidth="1"/>
    <col min="1287" max="1536" width="9.1796875" style="111"/>
    <col min="1537" max="1537" width="31.453125" style="111" bestFit="1" customWidth="1"/>
    <col min="1538" max="1538" width="12.81640625" style="111" customWidth="1"/>
    <col min="1539" max="1539" width="11.81640625" style="111" customWidth="1"/>
    <col min="1540" max="1540" width="12.81640625" style="111" customWidth="1"/>
    <col min="1541" max="1541" width="10" style="111" customWidth="1"/>
    <col min="1542" max="1542" width="12.81640625" style="111" customWidth="1"/>
    <col min="1543" max="1792" width="9.1796875" style="111"/>
    <col min="1793" max="1793" width="31.453125" style="111" bestFit="1" customWidth="1"/>
    <col min="1794" max="1794" width="12.81640625" style="111" customWidth="1"/>
    <col min="1795" max="1795" width="11.81640625" style="111" customWidth="1"/>
    <col min="1796" max="1796" width="12.81640625" style="111" customWidth="1"/>
    <col min="1797" max="1797" width="10" style="111" customWidth="1"/>
    <col min="1798" max="1798" width="12.81640625" style="111" customWidth="1"/>
    <col min="1799" max="2048" width="9.1796875" style="111"/>
    <col min="2049" max="2049" width="31.453125" style="111" bestFit="1" customWidth="1"/>
    <col min="2050" max="2050" width="12.81640625" style="111" customWidth="1"/>
    <col min="2051" max="2051" width="11.81640625" style="111" customWidth="1"/>
    <col min="2052" max="2052" width="12.81640625" style="111" customWidth="1"/>
    <col min="2053" max="2053" width="10" style="111" customWidth="1"/>
    <col min="2054" max="2054" width="12.81640625" style="111" customWidth="1"/>
    <col min="2055" max="2304" width="9.1796875" style="111"/>
    <col min="2305" max="2305" width="31.453125" style="111" bestFit="1" customWidth="1"/>
    <col min="2306" max="2306" width="12.81640625" style="111" customWidth="1"/>
    <col min="2307" max="2307" width="11.81640625" style="111" customWidth="1"/>
    <col min="2308" max="2308" width="12.81640625" style="111" customWidth="1"/>
    <col min="2309" max="2309" width="10" style="111" customWidth="1"/>
    <col min="2310" max="2310" width="12.81640625" style="111" customWidth="1"/>
    <col min="2311" max="2560" width="9.1796875" style="111"/>
    <col min="2561" max="2561" width="31.453125" style="111" bestFit="1" customWidth="1"/>
    <col min="2562" max="2562" width="12.81640625" style="111" customWidth="1"/>
    <col min="2563" max="2563" width="11.81640625" style="111" customWidth="1"/>
    <col min="2564" max="2564" width="12.81640625" style="111" customWidth="1"/>
    <col min="2565" max="2565" width="10" style="111" customWidth="1"/>
    <col min="2566" max="2566" width="12.81640625" style="111" customWidth="1"/>
    <col min="2567" max="2816" width="9.1796875" style="111"/>
    <col min="2817" max="2817" width="31.453125" style="111" bestFit="1" customWidth="1"/>
    <col min="2818" max="2818" width="12.81640625" style="111" customWidth="1"/>
    <col min="2819" max="2819" width="11.81640625" style="111" customWidth="1"/>
    <col min="2820" max="2820" width="12.81640625" style="111" customWidth="1"/>
    <col min="2821" max="2821" width="10" style="111" customWidth="1"/>
    <col min="2822" max="2822" width="12.81640625" style="111" customWidth="1"/>
    <col min="2823" max="3072" width="9.1796875" style="111"/>
    <col min="3073" max="3073" width="31.453125" style="111" bestFit="1" customWidth="1"/>
    <col min="3074" max="3074" width="12.81640625" style="111" customWidth="1"/>
    <col min="3075" max="3075" width="11.81640625" style="111" customWidth="1"/>
    <col min="3076" max="3076" width="12.81640625" style="111" customWidth="1"/>
    <col min="3077" max="3077" width="10" style="111" customWidth="1"/>
    <col min="3078" max="3078" width="12.81640625" style="111" customWidth="1"/>
    <col min="3079" max="3328" width="9.1796875" style="111"/>
    <col min="3329" max="3329" width="31.453125" style="111" bestFit="1" customWidth="1"/>
    <col min="3330" max="3330" width="12.81640625" style="111" customWidth="1"/>
    <col min="3331" max="3331" width="11.81640625" style="111" customWidth="1"/>
    <col min="3332" max="3332" width="12.81640625" style="111" customWidth="1"/>
    <col min="3333" max="3333" width="10" style="111" customWidth="1"/>
    <col min="3334" max="3334" width="12.81640625" style="111" customWidth="1"/>
    <col min="3335" max="3584" width="9.1796875" style="111"/>
    <col min="3585" max="3585" width="31.453125" style="111" bestFit="1" customWidth="1"/>
    <col min="3586" max="3586" width="12.81640625" style="111" customWidth="1"/>
    <col min="3587" max="3587" width="11.81640625" style="111" customWidth="1"/>
    <col min="3588" max="3588" width="12.81640625" style="111" customWidth="1"/>
    <col min="3589" max="3589" width="10" style="111" customWidth="1"/>
    <col min="3590" max="3590" width="12.81640625" style="111" customWidth="1"/>
    <col min="3591" max="3840" width="9.1796875" style="111"/>
    <col min="3841" max="3841" width="31.453125" style="111" bestFit="1" customWidth="1"/>
    <col min="3842" max="3842" width="12.81640625" style="111" customWidth="1"/>
    <col min="3843" max="3843" width="11.81640625" style="111" customWidth="1"/>
    <col min="3844" max="3844" width="12.81640625" style="111" customWidth="1"/>
    <col min="3845" max="3845" width="10" style="111" customWidth="1"/>
    <col min="3846" max="3846" width="12.81640625" style="111" customWidth="1"/>
    <col min="3847" max="4096" width="9.1796875" style="111"/>
    <col min="4097" max="4097" width="31.453125" style="111" bestFit="1" customWidth="1"/>
    <col min="4098" max="4098" width="12.81640625" style="111" customWidth="1"/>
    <col min="4099" max="4099" width="11.81640625" style="111" customWidth="1"/>
    <col min="4100" max="4100" width="12.81640625" style="111" customWidth="1"/>
    <col min="4101" max="4101" width="10" style="111" customWidth="1"/>
    <col min="4102" max="4102" width="12.81640625" style="111" customWidth="1"/>
    <col min="4103" max="4352" width="9.1796875" style="111"/>
    <col min="4353" max="4353" width="31.453125" style="111" bestFit="1" customWidth="1"/>
    <col min="4354" max="4354" width="12.81640625" style="111" customWidth="1"/>
    <col min="4355" max="4355" width="11.81640625" style="111" customWidth="1"/>
    <col min="4356" max="4356" width="12.81640625" style="111" customWidth="1"/>
    <col min="4357" max="4357" width="10" style="111" customWidth="1"/>
    <col min="4358" max="4358" width="12.81640625" style="111" customWidth="1"/>
    <col min="4359" max="4608" width="9.1796875" style="111"/>
    <col min="4609" max="4609" width="31.453125" style="111" bestFit="1" customWidth="1"/>
    <col min="4610" max="4610" width="12.81640625" style="111" customWidth="1"/>
    <col min="4611" max="4611" width="11.81640625" style="111" customWidth="1"/>
    <col min="4612" max="4612" width="12.81640625" style="111" customWidth="1"/>
    <col min="4613" max="4613" width="10" style="111" customWidth="1"/>
    <col min="4614" max="4614" width="12.81640625" style="111" customWidth="1"/>
    <col min="4615" max="4864" width="9.1796875" style="111"/>
    <col min="4865" max="4865" width="31.453125" style="111" bestFit="1" customWidth="1"/>
    <col min="4866" max="4866" width="12.81640625" style="111" customWidth="1"/>
    <col min="4867" max="4867" width="11.81640625" style="111" customWidth="1"/>
    <col min="4868" max="4868" width="12.81640625" style="111" customWidth="1"/>
    <col min="4869" max="4869" width="10" style="111" customWidth="1"/>
    <col min="4870" max="4870" width="12.81640625" style="111" customWidth="1"/>
    <col min="4871" max="5120" width="9.1796875" style="111"/>
    <col min="5121" max="5121" width="31.453125" style="111" bestFit="1" customWidth="1"/>
    <col min="5122" max="5122" width="12.81640625" style="111" customWidth="1"/>
    <col min="5123" max="5123" width="11.81640625" style="111" customWidth="1"/>
    <col min="5124" max="5124" width="12.81640625" style="111" customWidth="1"/>
    <col min="5125" max="5125" width="10" style="111" customWidth="1"/>
    <col min="5126" max="5126" width="12.81640625" style="111" customWidth="1"/>
    <col min="5127" max="5376" width="9.1796875" style="111"/>
    <col min="5377" max="5377" width="31.453125" style="111" bestFit="1" customWidth="1"/>
    <col min="5378" max="5378" width="12.81640625" style="111" customWidth="1"/>
    <col min="5379" max="5379" width="11.81640625" style="111" customWidth="1"/>
    <col min="5380" max="5380" width="12.81640625" style="111" customWidth="1"/>
    <col min="5381" max="5381" width="10" style="111" customWidth="1"/>
    <col min="5382" max="5382" width="12.81640625" style="111" customWidth="1"/>
    <col min="5383" max="5632" width="9.1796875" style="111"/>
    <col min="5633" max="5633" width="31.453125" style="111" bestFit="1" customWidth="1"/>
    <col min="5634" max="5634" width="12.81640625" style="111" customWidth="1"/>
    <col min="5635" max="5635" width="11.81640625" style="111" customWidth="1"/>
    <col min="5636" max="5636" width="12.81640625" style="111" customWidth="1"/>
    <col min="5637" max="5637" width="10" style="111" customWidth="1"/>
    <col min="5638" max="5638" width="12.81640625" style="111" customWidth="1"/>
    <col min="5639" max="5888" width="9.1796875" style="111"/>
    <col min="5889" max="5889" width="31.453125" style="111" bestFit="1" customWidth="1"/>
    <col min="5890" max="5890" width="12.81640625" style="111" customWidth="1"/>
    <col min="5891" max="5891" width="11.81640625" style="111" customWidth="1"/>
    <col min="5892" max="5892" width="12.81640625" style="111" customWidth="1"/>
    <col min="5893" max="5893" width="10" style="111" customWidth="1"/>
    <col min="5894" max="5894" width="12.81640625" style="111" customWidth="1"/>
    <col min="5895" max="6144" width="9.1796875" style="111"/>
    <col min="6145" max="6145" width="31.453125" style="111" bestFit="1" customWidth="1"/>
    <col min="6146" max="6146" width="12.81640625" style="111" customWidth="1"/>
    <col min="6147" max="6147" width="11.81640625" style="111" customWidth="1"/>
    <col min="6148" max="6148" width="12.81640625" style="111" customWidth="1"/>
    <col min="6149" max="6149" width="10" style="111" customWidth="1"/>
    <col min="6150" max="6150" width="12.81640625" style="111" customWidth="1"/>
    <col min="6151" max="6400" width="9.1796875" style="111"/>
    <col min="6401" max="6401" width="31.453125" style="111" bestFit="1" customWidth="1"/>
    <col min="6402" max="6402" width="12.81640625" style="111" customWidth="1"/>
    <col min="6403" max="6403" width="11.81640625" style="111" customWidth="1"/>
    <col min="6404" max="6404" width="12.81640625" style="111" customWidth="1"/>
    <col min="6405" max="6405" width="10" style="111" customWidth="1"/>
    <col min="6406" max="6406" width="12.81640625" style="111" customWidth="1"/>
    <col min="6407" max="6656" width="9.1796875" style="111"/>
    <col min="6657" max="6657" width="31.453125" style="111" bestFit="1" customWidth="1"/>
    <col min="6658" max="6658" width="12.81640625" style="111" customWidth="1"/>
    <col min="6659" max="6659" width="11.81640625" style="111" customWidth="1"/>
    <col min="6660" max="6660" width="12.81640625" style="111" customWidth="1"/>
    <col min="6661" max="6661" width="10" style="111" customWidth="1"/>
    <col min="6662" max="6662" width="12.81640625" style="111" customWidth="1"/>
    <col min="6663" max="6912" width="9.1796875" style="111"/>
    <col min="6913" max="6913" width="31.453125" style="111" bestFit="1" customWidth="1"/>
    <col min="6914" max="6914" width="12.81640625" style="111" customWidth="1"/>
    <col min="6915" max="6915" width="11.81640625" style="111" customWidth="1"/>
    <col min="6916" max="6916" width="12.81640625" style="111" customWidth="1"/>
    <col min="6917" max="6917" width="10" style="111" customWidth="1"/>
    <col min="6918" max="6918" width="12.81640625" style="111" customWidth="1"/>
    <col min="6919" max="7168" width="9.1796875" style="111"/>
    <col min="7169" max="7169" width="31.453125" style="111" bestFit="1" customWidth="1"/>
    <col min="7170" max="7170" width="12.81640625" style="111" customWidth="1"/>
    <col min="7171" max="7171" width="11.81640625" style="111" customWidth="1"/>
    <col min="7172" max="7172" width="12.81640625" style="111" customWidth="1"/>
    <col min="7173" max="7173" width="10" style="111" customWidth="1"/>
    <col min="7174" max="7174" width="12.81640625" style="111" customWidth="1"/>
    <col min="7175" max="7424" width="9.1796875" style="111"/>
    <col min="7425" max="7425" width="31.453125" style="111" bestFit="1" customWidth="1"/>
    <col min="7426" max="7426" width="12.81640625" style="111" customWidth="1"/>
    <col min="7427" max="7427" width="11.81640625" style="111" customWidth="1"/>
    <col min="7428" max="7428" width="12.81640625" style="111" customWidth="1"/>
    <col min="7429" max="7429" width="10" style="111" customWidth="1"/>
    <col min="7430" max="7430" width="12.81640625" style="111" customWidth="1"/>
    <col min="7431" max="7680" width="9.1796875" style="111"/>
    <col min="7681" max="7681" width="31.453125" style="111" bestFit="1" customWidth="1"/>
    <col min="7682" max="7682" width="12.81640625" style="111" customWidth="1"/>
    <col min="7683" max="7683" width="11.81640625" style="111" customWidth="1"/>
    <col min="7684" max="7684" width="12.81640625" style="111" customWidth="1"/>
    <col min="7685" max="7685" width="10" style="111" customWidth="1"/>
    <col min="7686" max="7686" width="12.81640625" style="111" customWidth="1"/>
    <col min="7687" max="7936" width="9.1796875" style="111"/>
    <col min="7937" max="7937" width="31.453125" style="111" bestFit="1" customWidth="1"/>
    <col min="7938" max="7938" width="12.81640625" style="111" customWidth="1"/>
    <col min="7939" max="7939" width="11.81640625" style="111" customWidth="1"/>
    <col min="7940" max="7940" width="12.81640625" style="111" customWidth="1"/>
    <col min="7941" max="7941" width="10" style="111" customWidth="1"/>
    <col min="7942" max="7942" width="12.81640625" style="111" customWidth="1"/>
    <col min="7943" max="8192" width="9.1796875" style="111"/>
    <col min="8193" max="8193" width="31.453125" style="111" bestFit="1" customWidth="1"/>
    <col min="8194" max="8194" width="12.81640625" style="111" customWidth="1"/>
    <col min="8195" max="8195" width="11.81640625" style="111" customWidth="1"/>
    <col min="8196" max="8196" width="12.81640625" style="111" customWidth="1"/>
    <col min="8197" max="8197" width="10" style="111" customWidth="1"/>
    <col min="8198" max="8198" width="12.81640625" style="111" customWidth="1"/>
    <col min="8199" max="8448" width="9.1796875" style="111"/>
    <col min="8449" max="8449" width="31.453125" style="111" bestFit="1" customWidth="1"/>
    <col min="8450" max="8450" width="12.81640625" style="111" customWidth="1"/>
    <col min="8451" max="8451" width="11.81640625" style="111" customWidth="1"/>
    <col min="8452" max="8452" width="12.81640625" style="111" customWidth="1"/>
    <col min="8453" max="8453" width="10" style="111" customWidth="1"/>
    <col min="8454" max="8454" width="12.81640625" style="111" customWidth="1"/>
    <col min="8455" max="8704" width="9.1796875" style="111"/>
    <col min="8705" max="8705" width="31.453125" style="111" bestFit="1" customWidth="1"/>
    <col min="8706" max="8706" width="12.81640625" style="111" customWidth="1"/>
    <col min="8707" max="8707" width="11.81640625" style="111" customWidth="1"/>
    <col min="8708" max="8708" width="12.81640625" style="111" customWidth="1"/>
    <col min="8709" max="8709" width="10" style="111" customWidth="1"/>
    <col min="8710" max="8710" width="12.81640625" style="111" customWidth="1"/>
    <col min="8711" max="8960" width="9.1796875" style="111"/>
    <col min="8961" max="8961" width="31.453125" style="111" bestFit="1" customWidth="1"/>
    <col min="8962" max="8962" width="12.81640625" style="111" customWidth="1"/>
    <col min="8963" max="8963" width="11.81640625" style="111" customWidth="1"/>
    <col min="8964" max="8964" width="12.81640625" style="111" customWidth="1"/>
    <col min="8965" max="8965" width="10" style="111" customWidth="1"/>
    <col min="8966" max="8966" width="12.81640625" style="111" customWidth="1"/>
    <col min="8967" max="9216" width="9.1796875" style="111"/>
    <col min="9217" max="9217" width="31.453125" style="111" bestFit="1" customWidth="1"/>
    <col min="9218" max="9218" width="12.81640625" style="111" customWidth="1"/>
    <col min="9219" max="9219" width="11.81640625" style="111" customWidth="1"/>
    <col min="9220" max="9220" width="12.81640625" style="111" customWidth="1"/>
    <col min="9221" max="9221" width="10" style="111" customWidth="1"/>
    <col min="9222" max="9222" width="12.81640625" style="111" customWidth="1"/>
    <col min="9223" max="9472" width="9.1796875" style="111"/>
    <col min="9473" max="9473" width="31.453125" style="111" bestFit="1" customWidth="1"/>
    <col min="9474" max="9474" width="12.81640625" style="111" customWidth="1"/>
    <col min="9475" max="9475" width="11.81640625" style="111" customWidth="1"/>
    <col min="9476" max="9476" width="12.81640625" style="111" customWidth="1"/>
    <col min="9477" max="9477" width="10" style="111" customWidth="1"/>
    <col min="9478" max="9478" width="12.81640625" style="111" customWidth="1"/>
    <col min="9479" max="9728" width="9.1796875" style="111"/>
    <col min="9729" max="9729" width="31.453125" style="111" bestFit="1" customWidth="1"/>
    <col min="9730" max="9730" width="12.81640625" style="111" customWidth="1"/>
    <col min="9731" max="9731" width="11.81640625" style="111" customWidth="1"/>
    <col min="9732" max="9732" width="12.81640625" style="111" customWidth="1"/>
    <col min="9733" max="9733" width="10" style="111" customWidth="1"/>
    <col min="9734" max="9734" width="12.81640625" style="111" customWidth="1"/>
    <col min="9735" max="9984" width="9.1796875" style="111"/>
    <col min="9985" max="9985" width="31.453125" style="111" bestFit="1" customWidth="1"/>
    <col min="9986" max="9986" width="12.81640625" style="111" customWidth="1"/>
    <col min="9987" max="9987" width="11.81640625" style="111" customWidth="1"/>
    <col min="9988" max="9988" width="12.81640625" style="111" customWidth="1"/>
    <col min="9989" max="9989" width="10" style="111" customWidth="1"/>
    <col min="9990" max="9990" width="12.81640625" style="111" customWidth="1"/>
    <col min="9991" max="10240" width="9.1796875" style="111"/>
    <col min="10241" max="10241" width="31.453125" style="111" bestFit="1" customWidth="1"/>
    <col min="10242" max="10242" width="12.81640625" style="111" customWidth="1"/>
    <col min="10243" max="10243" width="11.81640625" style="111" customWidth="1"/>
    <col min="10244" max="10244" width="12.81640625" style="111" customWidth="1"/>
    <col min="10245" max="10245" width="10" style="111" customWidth="1"/>
    <col min="10246" max="10246" width="12.81640625" style="111" customWidth="1"/>
    <col min="10247" max="10496" width="9.1796875" style="111"/>
    <col min="10497" max="10497" width="31.453125" style="111" bestFit="1" customWidth="1"/>
    <col min="10498" max="10498" width="12.81640625" style="111" customWidth="1"/>
    <col min="10499" max="10499" width="11.81640625" style="111" customWidth="1"/>
    <col min="10500" max="10500" width="12.81640625" style="111" customWidth="1"/>
    <col min="10501" max="10501" width="10" style="111" customWidth="1"/>
    <col min="10502" max="10502" width="12.81640625" style="111" customWidth="1"/>
    <col min="10503" max="10752" width="9.1796875" style="111"/>
    <col min="10753" max="10753" width="31.453125" style="111" bestFit="1" customWidth="1"/>
    <col min="10754" max="10754" width="12.81640625" style="111" customWidth="1"/>
    <col min="10755" max="10755" width="11.81640625" style="111" customWidth="1"/>
    <col min="10756" max="10756" width="12.81640625" style="111" customWidth="1"/>
    <col min="10757" max="10757" width="10" style="111" customWidth="1"/>
    <col min="10758" max="10758" width="12.81640625" style="111" customWidth="1"/>
    <col min="10759" max="11008" width="9.1796875" style="111"/>
    <col min="11009" max="11009" width="31.453125" style="111" bestFit="1" customWidth="1"/>
    <col min="11010" max="11010" width="12.81640625" style="111" customWidth="1"/>
    <col min="11011" max="11011" width="11.81640625" style="111" customWidth="1"/>
    <col min="11012" max="11012" width="12.81640625" style="111" customWidth="1"/>
    <col min="11013" max="11013" width="10" style="111" customWidth="1"/>
    <col min="11014" max="11014" width="12.81640625" style="111" customWidth="1"/>
    <col min="11015" max="11264" width="9.1796875" style="111"/>
    <col min="11265" max="11265" width="31.453125" style="111" bestFit="1" customWidth="1"/>
    <col min="11266" max="11266" width="12.81640625" style="111" customWidth="1"/>
    <col min="11267" max="11267" width="11.81640625" style="111" customWidth="1"/>
    <col min="11268" max="11268" width="12.81640625" style="111" customWidth="1"/>
    <col min="11269" max="11269" width="10" style="111" customWidth="1"/>
    <col min="11270" max="11270" width="12.81640625" style="111" customWidth="1"/>
    <col min="11271" max="11520" width="9.1796875" style="111"/>
    <col min="11521" max="11521" width="31.453125" style="111" bestFit="1" customWidth="1"/>
    <col min="11522" max="11522" width="12.81640625" style="111" customWidth="1"/>
    <col min="11523" max="11523" width="11.81640625" style="111" customWidth="1"/>
    <col min="11524" max="11524" width="12.81640625" style="111" customWidth="1"/>
    <col min="11525" max="11525" width="10" style="111" customWidth="1"/>
    <col min="11526" max="11526" width="12.81640625" style="111" customWidth="1"/>
    <col min="11527" max="11776" width="9.1796875" style="111"/>
    <col min="11777" max="11777" width="31.453125" style="111" bestFit="1" customWidth="1"/>
    <col min="11778" max="11778" width="12.81640625" style="111" customWidth="1"/>
    <col min="11779" max="11779" width="11.81640625" style="111" customWidth="1"/>
    <col min="11780" max="11780" width="12.81640625" style="111" customWidth="1"/>
    <col min="11781" max="11781" width="10" style="111" customWidth="1"/>
    <col min="11782" max="11782" width="12.81640625" style="111" customWidth="1"/>
    <col min="11783" max="12032" width="9.1796875" style="111"/>
    <col min="12033" max="12033" width="31.453125" style="111" bestFit="1" customWidth="1"/>
    <col min="12034" max="12034" width="12.81640625" style="111" customWidth="1"/>
    <col min="12035" max="12035" width="11.81640625" style="111" customWidth="1"/>
    <col min="12036" max="12036" width="12.81640625" style="111" customWidth="1"/>
    <col min="12037" max="12037" width="10" style="111" customWidth="1"/>
    <col min="12038" max="12038" width="12.81640625" style="111" customWidth="1"/>
    <col min="12039" max="12288" width="9.1796875" style="111"/>
    <col min="12289" max="12289" width="31.453125" style="111" bestFit="1" customWidth="1"/>
    <col min="12290" max="12290" width="12.81640625" style="111" customWidth="1"/>
    <col min="12291" max="12291" width="11.81640625" style="111" customWidth="1"/>
    <col min="12292" max="12292" width="12.81640625" style="111" customWidth="1"/>
    <col min="12293" max="12293" width="10" style="111" customWidth="1"/>
    <col min="12294" max="12294" width="12.81640625" style="111" customWidth="1"/>
    <col min="12295" max="12544" width="9.1796875" style="111"/>
    <col min="12545" max="12545" width="31.453125" style="111" bestFit="1" customWidth="1"/>
    <col min="12546" max="12546" width="12.81640625" style="111" customWidth="1"/>
    <col min="12547" max="12547" width="11.81640625" style="111" customWidth="1"/>
    <col min="12548" max="12548" width="12.81640625" style="111" customWidth="1"/>
    <col min="12549" max="12549" width="10" style="111" customWidth="1"/>
    <col min="12550" max="12550" width="12.81640625" style="111" customWidth="1"/>
    <col min="12551" max="12800" width="9.1796875" style="111"/>
    <col min="12801" max="12801" width="31.453125" style="111" bestFit="1" customWidth="1"/>
    <col min="12802" max="12802" width="12.81640625" style="111" customWidth="1"/>
    <col min="12803" max="12803" width="11.81640625" style="111" customWidth="1"/>
    <col min="12804" max="12804" width="12.81640625" style="111" customWidth="1"/>
    <col min="12805" max="12805" width="10" style="111" customWidth="1"/>
    <col min="12806" max="12806" width="12.81640625" style="111" customWidth="1"/>
    <col min="12807" max="13056" width="9.1796875" style="111"/>
    <col min="13057" max="13057" width="31.453125" style="111" bestFit="1" customWidth="1"/>
    <col min="13058" max="13058" width="12.81640625" style="111" customWidth="1"/>
    <col min="13059" max="13059" width="11.81640625" style="111" customWidth="1"/>
    <col min="13060" max="13060" width="12.81640625" style="111" customWidth="1"/>
    <col min="13061" max="13061" width="10" style="111" customWidth="1"/>
    <col min="13062" max="13062" width="12.81640625" style="111" customWidth="1"/>
    <col min="13063" max="13312" width="9.1796875" style="111"/>
    <col min="13313" max="13313" width="31.453125" style="111" bestFit="1" customWidth="1"/>
    <col min="13314" max="13314" width="12.81640625" style="111" customWidth="1"/>
    <col min="13315" max="13315" width="11.81640625" style="111" customWidth="1"/>
    <col min="13316" max="13316" width="12.81640625" style="111" customWidth="1"/>
    <col min="13317" max="13317" width="10" style="111" customWidth="1"/>
    <col min="13318" max="13318" width="12.81640625" style="111" customWidth="1"/>
    <col min="13319" max="13568" width="9.1796875" style="111"/>
    <col min="13569" max="13569" width="31.453125" style="111" bestFit="1" customWidth="1"/>
    <col min="13570" max="13570" width="12.81640625" style="111" customWidth="1"/>
    <col min="13571" max="13571" width="11.81640625" style="111" customWidth="1"/>
    <col min="13572" max="13572" width="12.81640625" style="111" customWidth="1"/>
    <col min="13573" max="13573" width="10" style="111" customWidth="1"/>
    <col min="13574" max="13574" width="12.81640625" style="111" customWidth="1"/>
    <col min="13575" max="13824" width="9.1796875" style="111"/>
    <col min="13825" max="13825" width="31.453125" style="111" bestFit="1" customWidth="1"/>
    <col min="13826" max="13826" width="12.81640625" style="111" customWidth="1"/>
    <col min="13827" max="13827" width="11.81640625" style="111" customWidth="1"/>
    <col min="13828" max="13828" width="12.81640625" style="111" customWidth="1"/>
    <col min="13829" max="13829" width="10" style="111" customWidth="1"/>
    <col min="13830" max="13830" width="12.81640625" style="111" customWidth="1"/>
    <col min="13831" max="14080" width="9.1796875" style="111"/>
    <col min="14081" max="14081" width="31.453125" style="111" bestFit="1" customWidth="1"/>
    <col min="14082" max="14082" width="12.81640625" style="111" customWidth="1"/>
    <col min="14083" max="14083" width="11.81640625" style="111" customWidth="1"/>
    <col min="14084" max="14084" width="12.81640625" style="111" customWidth="1"/>
    <col min="14085" max="14085" width="10" style="111" customWidth="1"/>
    <col min="14086" max="14086" width="12.81640625" style="111" customWidth="1"/>
    <col min="14087" max="14336" width="9.1796875" style="111"/>
    <col min="14337" max="14337" width="31.453125" style="111" bestFit="1" customWidth="1"/>
    <col min="14338" max="14338" width="12.81640625" style="111" customWidth="1"/>
    <col min="14339" max="14339" width="11.81640625" style="111" customWidth="1"/>
    <col min="14340" max="14340" width="12.81640625" style="111" customWidth="1"/>
    <col min="14341" max="14341" width="10" style="111" customWidth="1"/>
    <col min="14342" max="14342" width="12.81640625" style="111" customWidth="1"/>
    <col min="14343" max="14592" width="9.1796875" style="111"/>
    <col min="14593" max="14593" width="31.453125" style="111" bestFit="1" customWidth="1"/>
    <col min="14594" max="14594" width="12.81640625" style="111" customWidth="1"/>
    <col min="14595" max="14595" width="11.81640625" style="111" customWidth="1"/>
    <col min="14596" max="14596" width="12.81640625" style="111" customWidth="1"/>
    <col min="14597" max="14597" width="10" style="111" customWidth="1"/>
    <col min="14598" max="14598" width="12.81640625" style="111" customWidth="1"/>
    <col min="14599" max="14848" width="9.1796875" style="111"/>
    <col min="14849" max="14849" width="31.453125" style="111" bestFit="1" customWidth="1"/>
    <col min="14850" max="14850" width="12.81640625" style="111" customWidth="1"/>
    <col min="14851" max="14851" width="11.81640625" style="111" customWidth="1"/>
    <col min="14852" max="14852" width="12.81640625" style="111" customWidth="1"/>
    <col min="14853" max="14853" width="10" style="111" customWidth="1"/>
    <col min="14854" max="14854" width="12.81640625" style="111" customWidth="1"/>
    <col min="14855" max="15104" width="9.1796875" style="111"/>
    <col min="15105" max="15105" width="31.453125" style="111" bestFit="1" customWidth="1"/>
    <col min="15106" max="15106" width="12.81640625" style="111" customWidth="1"/>
    <col min="15107" max="15107" width="11.81640625" style="111" customWidth="1"/>
    <col min="15108" max="15108" width="12.81640625" style="111" customWidth="1"/>
    <col min="15109" max="15109" width="10" style="111" customWidth="1"/>
    <col min="15110" max="15110" width="12.81640625" style="111" customWidth="1"/>
    <col min="15111" max="15360" width="9.1796875" style="111"/>
    <col min="15361" max="15361" width="31.453125" style="111" bestFit="1" customWidth="1"/>
    <col min="15362" max="15362" width="12.81640625" style="111" customWidth="1"/>
    <col min="15363" max="15363" width="11.81640625" style="111" customWidth="1"/>
    <col min="15364" max="15364" width="12.81640625" style="111" customWidth="1"/>
    <col min="15365" max="15365" width="10" style="111" customWidth="1"/>
    <col min="15366" max="15366" width="12.81640625" style="111" customWidth="1"/>
    <col min="15367" max="15616" width="9.1796875" style="111"/>
    <col min="15617" max="15617" width="31.453125" style="111" bestFit="1" customWidth="1"/>
    <col min="15618" max="15618" width="12.81640625" style="111" customWidth="1"/>
    <col min="15619" max="15619" width="11.81640625" style="111" customWidth="1"/>
    <col min="15620" max="15620" width="12.81640625" style="111" customWidth="1"/>
    <col min="15621" max="15621" width="10" style="111" customWidth="1"/>
    <col min="15622" max="15622" width="12.81640625" style="111" customWidth="1"/>
    <col min="15623" max="15872" width="9.1796875" style="111"/>
    <col min="15873" max="15873" width="31.453125" style="111" bestFit="1" customWidth="1"/>
    <col min="15874" max="15874" width="12.81640625" style="111" customWidth="1"/>
    <col min="15875" max="15875" width="11.81640625" style="111" customWidth="1"/>
    <col min="15876" max="15876" width="12.81640625" style="111" customWidth="1"/>
    <col min="15877" max="15877" width="10" style="111" customWidth="1"/>
    <col min="15878" max="15878" width="12.81640625" style="111" customWidth="1"/>
    <col min="15879" max="16128" width="9.1796875" style="111"/>
    <col min="16129" max="16129" width="31.453125" style="111" bestFit="1" customWidth="1"/>
    <col min="16130" max="16130" width="12.81640625" style="111" customWidth="1"/>
    <col min="16131" max="16131" width="11.81640625" style="111" customWidth="1"/>
    <col min="16132" max="16132" width="12.81640625" style="111" customWidth="1"/>
    <col min="16133" max="16133" width="10" style="111" customWidth="1"/>
    <col min="16134" max="16134" width="12.81640625" style="111" customWidth="1"/>
    <col min="16135" max="16384" width="9.1796875" style="111"/>
  </cols>
  <sheetData>
    <row r="1" spans="1:9" ht="13">
      <c r="A1" s="124" t="s">
        <v>150</v>
      </c>
      <c r="B1" s="125" t="s">
        <v>107</v>
      </c>
      <c r="C1" s="125" t="s">
        <v>128</v>
      </c>
      <c r="D1" s="125" t="s">
        <v>159</v>
      </c>
    </row>
    <row r="2" spans="1:9">
      <c r="A2" s="126" t="s">
        <v>108</v>
      </c>
      <c r="B2" s="127">
        <f>Summary!L13</f>
        <v>105412758.65379637</v>
      </c>
      <c r="C2" s="128"/>
      <c r="D2" s="129"/>
    </row>
    <row r="3" spans="1:9">
      <c r="A3" s="126" t="s">
        <v>129</v>
      </c>
      <c r="B3" s="127">
        <f>Summary!L17</f>
        <v>58910419.30617138</v>
      </c>
      <c r="C3" s="128"/>
      <c r="D3" s="129"/>
    </row>
    <row r="4" spans="1:9">
      <c r="A4" s="126" t="s">
        <v>130</v>
      </c>
      <c r="B4" s="127">
        <f>Summary!L21</f>
        <v>116142202.48783723</v>
      </c>
      <c r="C4" s="130">
        <f>Summary!L22</f>
        <v>282314.64167395374</v>
      </c>
      <c r="D4" s="129"/>
    </row>
    <row r="5" spans="1:9">
      <c r="A5" s="126" t="s">
        <v>109</v>
      </c>
      <c r="B5" s="127">
        <f>Summary!L31</f>
        <v>1154724.2041490464</v>
      </c>
      <c r="C5" s="130">
        <f>Summary!L32</f>
        <v>3182.8403066540436</v>
      </c>
      <c r="D5" s="129"/>
    </row>
    <row r="6" spans="1:9">
      <c r="A6" s="126" t="s">
        <v>131</v>
      </c>
      <c r="B6" s="127">
        <f>Summary!L26</f>
        <v>42775.349450549482</v>
      </c>
      <c r="C6" s="130">
        <f>Summary!L27</f>
        <v>119.48677026939222</v>
      </c>
      <c r="D6" s="129"/>
    </row>
    <row r="7" spans="1:9">
      <c r="A7" s="126" t="s">
        <v>132</v>
      </c>
      <c r="B7" s="127">
        <f>Summary!L36</f>
        <v>166068</v>
      </c>
      <c r="C7" s="128"/>
      <c r="D7" s="129"/>
    </row>
    <row r="8" spans="1:9" ht="13">
      <c r="A8" s="131" t="s">
        <v>133</v>
      </c>
      <c r="B8" s="132">
        <f>SUM(B2:B7)</f>
        <v>281828948.00140458</v>
      </c>
      <c r="C8" s="132">
        <f>SUM(C2:C7)</f>
        <v>285616.96875087719</v>
      </c>
      <c r="D8" s="132"/>
      <c r="I8" s="117"/>
    </row>
    <row r="9" spans="1:9">
      <c r="B9" s="117"/>
      <c r="C9" s="117"/>
      <c r="I9" s="117"/>
    </row>
    <row r="11" spans="1:9" ht="13">
      <c r="A11" s="124" t="s">
        <v>134</v>
      </c>
      <c r="B11" s="434" t="s">
        <v>151</v>
      </c>
      <c r="C11" s="436" t="s">
        <v>152</v>
      </c>
      <c r="D11" s="133"/>
      <c r="E11" s="134"/>
      <c r="F11" s="135"/>
    </row>
    <row r="12" spans="1:9" ht="13">
      <c r="A12" s="136" t="s">
        <v>135</v>
      </c>
      <c r="B12" s="435"/>
      <c r="C12" s="437"/>
      <c r="D12" s="438">
        <v>2018</v>
      </c>
      <c r="E12" s="439"/>
      <c r="F12" s="440"/>
    </row>
    <row r="13" spans="1:9">
      <c r="A13" s="137" t="s">
        <v>108</v>
      </c>
      <c r="B13" s="127">
        <f t="shared" ref="B13:B18" si="0">B2*D2</f>
        <v>0</v>
      </c>
      <c r="C13" s="138"/>
      <c r="D13" s="139">
        <f t="shared" ref="D13:D18" si="1">B13*C13</f>
        <v>0</v>
      </c>
      <c r="E13" s="140"/>
      <c r="F13" s="141">
        <f t="shared" ref="F13:F18" si="2">D13*E13</f>
        <v>0</v>
      </c>
    </row>
    <row r="14" spans="1:9">
      <c r="A14" s="137" t="s">
        <v>129</v>
      </c>
      <c r="B14" s="127">
        <f t="shared" si="0"/>
        <v>0</v>
      </c>
      <c r="C14" s="138"/>
      <c r="D14" s="139">
        <f t="shared" si="1"/>
        <v>0</v>
      </c>
      <c r="E14" s="140"/>
      <c r="F14" s="141">
        <f t="shared" si="2"/>
        <v>0</v>
      </c>
    </row>
    <row r="15" spans="1:9">
      <c r="A15" s="137" t="s">
        <v>130</v>
      </c>
      <c r="B15" s="127">
        <f t="shared" si="0"/>
        <v>0</v>
      </c>
      <c r="C15" s="138"/>
      <c r="D15" s="139">
        <f t="shared" si="1"/>
        <v>0</v>
      </c>
      <c r="E15" s="140"/>
      <c r="F15" s="141">
        <f t="shared" si="2"/>
        <v>0</v>
      </c>
    </row>
    <row r="16" spans="1:9">
      <c r="A16" s="137" t="s">
        <v>109</v>
      </c>
      <c r="B16" s="127">
        <f t="shared" si="0"/>
        <v>0</v>
      </c>
      <c r="C16" s="138"/>
      <c r="D16" s="139">
        <f t="shared" si="1"/>
        <v>0</v>
      </c>
      <c r="E16" s="140"/>
      <c r="F16" s="141">
        <f t="shared" si="2"/>
        <v>0</v>
      </c>
    </row>
    <row r="17" spans="1:6">
      <c r="A17" s="137" t="s">
        <v>131</v>
      </c>
      <c r="B17" s="127">
        <f t="shared" si="0"/>
        <v>0</v>
      </c>
      <c r="C17" s="138"/>
      <c r="D17" s="139">
        <f t="shared" si="1"/>
        <v>0</v>
      </c>
      <c r="E17" s="140"/>
      <c r="F17" s="141">
        <f t="shared" si="2"/>
        <v>0</v>
      </c>
    </row>
    <row r="18" spans="1:6">
      <c r="A18" s="137" t="s">
        <v>132</v>
      </c>
      <c r="B18" s="127">
        <f t="shared" si="0"/>
        <v>0</v>
      </c>
      <c r="C18" s="138"/>
      <c r="D18" s="139">
        <f t="shared" si="1"/>
        <v>0</v>
      </c>
      <c r="E18" s="140"/>
      <c r="F18" s="141">
        <f t="shared" si="2"/>
        <v>0</v>
      </c>
    </row>
    <row r="19" spans="1:6" ht="13">
      <c r="A19" s="131" t="s">
        <v>133</v>
      </c>
      <c r="B19" s="132">
        <f>SUM(B13:B18)</f>
        <v>0</v>
      </c>
      <c r="C19" s="136"/>
      <c r="D19" s="132">
        <f>SUM(D13:D18)</f>
        <v>0</v>
      </c>
      <c r="E19" s="142"/>
      <c r="F19" s="143">
        <f>SUM(F13:F18)</f>
        <v>0</v>
      </c>
    </row>
    <row r="20" spans="1:6" ht="13">
      <c r="A20" s="144"/>
      <c r="B20" s="145"/>
      <c r="C20" s="146"/>
      <c r="D20" s="145"/>
      <c r="E20" s="147"/>
      <c r="F20" s="148"/>
    </row>
    <row r="21" spans="1:6" ht="13">
      <c r="A21" s="124" t="s">
        <v>136</v>
      </c>
      <c r="B21" s="434" t="s">
        <v>151</v>
      </c>
      <c r="C21" s="436" t="s">
        <v>152</v>
      </c>
      <c r="D21" s="133"/>
      <c r="E21" s="134"/>
      <c r="F21" s="135"/>
    </row>
    <row r="22" spans="1:6" ht="13">
      <c r="A22" s="136" t="s">
        <v>137</v>
      </c>
      <c r="B22" s="435"/>
      <c r="C22" s="437"/>
      <c r="D22" s="438">
        <v>2018</v>
      </c>
      <c r="E22" s="439"/>
      <c r="F22" s="440"/>
    </row>
    <row r="23" spans="1:6">
      <c r="A23" s="137" t="s">
        <v>108</v>
      </c>
      <c r="B23" s="127">
        <f t="shared" ref="B23:B28" si="3">B2-B13</f>
        <v>105412758.65379637</v>
      </c>
      <c r="C23" s="128">
        <f>C13</f>
        <v>0</v>
      </c>
      <c r="D23" s="139">
        <f t="shared" ref="D23:D28" si="4">B23*C23</f>
        <v>0</v>
      </c>
      <c r="E23" s="140"/>
      <c r="F23" s="141">
        <f t="shared" ref="F23:F28" si="5">D23*E23</f>
        <v>0</v>
      </c>
    </row>
    <row r="24" spans="1:6">
      <c r="A24" s="137" t="s">
        <v>129</v>
      </c>
      <c r="B24" s="127">
        <f t="shared" si="3"/>
        <v>58910419.30617138</v>
      </c>
      <c r="C24" s="128">
        <f>C23</f>
        <v>0</v>
      </c>
      <c r="D24" s="139">
        <f t="shared" si="4"/>
        <v>0</v>
      </c>
      <c r="E24" s="140"/>
      <c r="F24" s="141">
        <f t="shared" si="5"/>
        <v>0</v>
      </c>
    </row>
    <row r="25" spans="1:6">
      <c r="A25" s="137" t="s">
        <v>130</v>
      </c>
      <c r="B25" s="127">
        <f t="shared" si="3"/>
        <v>116142202.48783723</v>
      </c>
      <c r="C25" s="128">
        <f>C24</f>
        <v>0</v>
      </c>
      <c r="D25" s="139">
        <f t="shared" si="4"/>
        <v>0</v>
      </c>
      <c r="E25" s="140"/>
      <c r="F25" s="141">
        <f t="shared" si="5"/>
        <v>0</v>
      </c>
    </row>
    <row r="26" spans="1:6">
      <c r="A26" s="137" t="s">
        <v>109</v>
      </c>
      <c r="B26" s="127">
        <f t="shared" si="3"/>
        <v>1154724.2041490464</v>
      </c>
      <c r="C26" s="128">
        <f>C25</f>
        <v>0</v>
      </c>
      <c r="D26" s="139">
        <f t="shared" si="4"/>
        <v>0</v>
      </c>
      <c r="E26" s="140"/>
      <c r="F26" s="141">
        <f t="shared" si="5"/>
        <v>0</v>
      </c>
    </row>
    <row r="27" spans="1:6">
      <c r="A27" s="137" t="s">
        <v>131</v>
      </c>
      <c r="B27" s="127">
        <f t="shared" si="3"/>
        <v>42775.349450549482</v>
      </c>
      <c r="C27" s="128">
        <f>C26</f>
        <v>0</v>
      </c>
      <c r="D27" s="139">
        <f t="shared" si="4"/>
        <v>0</v>
      </c>
      <c r="E27" s="140"/>
      <c r="F27" s="141">
        <f t="shared" si="5"/>
        <v>0</v>
      </c>
    </row>
    <row r="28" spans="1:6">
      <c r="A28" s="137" t="s">
        <v>132</v>
      </c>
      <c r="B28" s="127">
        <f t="shared" si="3"/>
        <v>166068</v>
      </c>
      <c r="C28" s="128">
        <f>C27</f>
        <v>0</v>
      </c>
      <c r="D28" s="139">
        <f t="shared" si="4"/>
        <v>0</v>
      </c>
      <c r="E28" s="140"/>
      <c r="F28" s="141">
        <f t="shared" si="5"/>
        <v>0</v>
      </c>
    </row>
    <row r="29" spans="1:6" ht="13">
      <c r="A29" s="131" t="s">
        <v>133</v>
      </c>
      <c r="B29" s="132">
        <f>SUM(B23:B28)</f>
        <v>281828948.00140458</v>
      </c>
      <c r="C29" s="136"/>
      <c r="D29" s="132">
        <f>SUM(D23:D28)</f>
        <v>0</v>
      </c>
      <c r="E29" s="142"/>
      <c r="F29" s="143">
        <f>SUM(F23:F28)</f>
        <v>0</v>
      </c>
    </row>
    <row r="31" spans="1:6" ht="13">
      <c r="A31" s="149" t="s">
        <v>138</v>
      </c>
      <c r="B31" s="150"/>
      <c r="C31" s="151" t="s">
        <v>139</v>
      </c>
      <c r="D31" s="152"/>
      <c r="E31" s="153"/>
      <c r="F31" s="150"/>
    </row>
    <row r="32" spans="1:6" ht="13">
      <c r="A32" s="136" t="s">
        <v>137</v>
      </c>
      <c r="B32" s="154"/>
      <c r="C32" s="155" t="s">
        <v>140</v>
      </c>
      <c r="D32" s="429">
        <v>2018</v>
      </c>
      <c r="E32" s="430"/>
      <c r="F32" s="431"/>
    </row>
    <row r="33" spans="1:8">
      <c r="A33" s="156" t="s">
        <v>108</v>
      </c>
      <c r="B33" s="139"/>
      <c r="C33" s="157" t="s">
        <v>107</v>
      </c>
      <c r="D33" s="139">
        <f>D13+D23</f>
        <v>0</v>
      </c>
      <c r="E33" s="158"/>
      <c r="F33" s="141">
        <f t="shared" ref="F33:F38" si="6">D33*E33</f>
        <v>0</v>
      </c>
    </row>
    <row r="34" spans="1:8">
      <c r="A34" s="156" t="s">
        <v>129</v>
      </c>
      <c r="B34" s="139"/>
      <c r="C34" s="157" t="s">
        <v>128</v>
      </c>
      <c r="D34" s="139">
        <f>D14+D24</f>
        <v>0</v>
      </c>
      <c r="E34" s="158"/>
      <c r="F34" s="141">
        <f t="shared" si="6"/>
        <v>0</v>
      </c>
    </row>
    <row r="35" spans="1:8">
      <c r="A35" s="156" t="s">
        <v>130</v>
      </c>
      <c r="B35" s="139"/>
      <c r="C35" s="157" t="s">
        <v>128</v>
      </c>
      <c r="D35" s="139">
        <f>C4</f>
        <v>282314.64167395374</v>
      </c>
      <c r="E35" s="158"/>
      <c r="F35" s="141">
        <f t="shared" si="6"/>
        <v>0</v>
      </c>
    </row>
    <row r="36" spans="1:8">
      <c r="A36" s="156" t="s">
        <v>109</v>
      </c>
      <c r="B36" s="139"/>
      <c r="C36" s="157" t="s">
        <v>107</v>
      </c>
      <c r="D36" s="139">
        <f>C5</f>
        <v>3182.8403066540436</v>
      </c>
      <c r="E36" s="158"/>
      <c r="F36" s="141">
        <f t="shared" si="6"/>
        <v>0</v>
      </c>
      <c r="H36" s="116"/>
    </row>
    <row r="37" spans="1:8">
      <c r="A37" s="156" t="s">
        <v>131</v>
      </c>
      <c r="B37" s="139"/>
      <c r="C37" s="157" t="s">
        <v>128</v>
      </c>
      <c r="D37" s="139">
        <f>C6</f>
        <v>119.48677026939222</v>
      </c>
      <c r="E37" s="158"/>
      <c r="F37" s="141">
        <f t="shared" si="6"/>
        <v>0</v>
      </c>
    </row>
    <row r="38" spans="1:8">
      <c r="A38" s="156" t="s">
        <v>132</v>
      </c>
      <c r="B38" s="139"/>
      <c r="C38" s="157" t="s">
        <v>128</v>
      </c>
      <c r="D38" s="139">
        <f>D18+D28</f>
        <v>0</v>
      </c>
      <c r="E38" s="158"/>
      <c r="F38" s="141">
        <f t="shared" si="6"/>
        <v>0</v>
      </c>
    </row>
    <row r="39" spans="1:8" ht="13">
      <c r="A39" s="131" t="s">
        <v>133</v>
      </c>
      <c r="B39" s="132"/>
      <c r="C39" s="136"/>
      <c r="D39" s="132"/>
      <c r="E39" s="142"/>
      <c r="F39" s="159">
        <f>SUM(F33:F38)</f>
        <v>0</v>
      </c>
    </row>
    <row r="41" spans="1:8" ht="13">
      <c r="A41" s="149" t="s">
        <v>141</v>
      </c>
      <c r="B41" s="150"/>
      <c r="C41" s="160" t="s">
        <v>139</v>
      </c>
      <c r="D41" s="152"/>
      <c r="E41" s="153"/>
      <c r="F41" s="150"/>
    </row>
    <row r="42" spans="1:8" ht="13">
      <c r="A42" s="136" t="s">
        <v>137</v>
      </c>
      <c r="B42" s="154"/>
      <c r="C42" s="161" t="s">
        <v>140</v>
      </c>
      <c r="D42" s="429">
        <v>2018</v>
      </c>
      <c r="E42" s="430"/>
      <c r="F42" s="431"/>
    </row>
    <row r="43" spans="1:8">
      <c r="A43" s="156" t="s">
        <v>108</v>
      </c>
      <c r="B43" s="139"/>
      <c r="C43" s="157" t="s">
        <v>107</v>
      </c>
      <c r="D43" s="139">
        <f t="shared" ref="D43:D48" si="7">D33</f>
        <v>0</v>
      </c>
      <c r="E43" s="158"/>
      <c r="F43" s="141">
        <f t="shared" ref="F43:F48" si="8">D43*E43</f>
        <v>0</v>
      </c>
    </row>
    <row r="44" spans="1:8">
      <c r="A44" s="156" t="s">
        <v>129</v>
      </c>
      <c r="B44" s="139"/>
      <c r="C44" s="157" t="s">
        <v>128</v>
      </c>
      <c r="D44" s="139">
        <f t="shared" si="7"/>
        <v>0</v>
      </c>
      <c r="E44" s="158"/>
      <c r="F44" s="141">
        <f t="shared" si="8"/>
        <v>0</v>
      </c>
    </row>
    <row r="45" spans="1:8">
      <c r="A45" s="156" t="s">
        <v>130</v>
      </c>
      <c r="B45" s="139"/>
      <c r="C45" s="157" t="s">
        <v>128</v>
      </c>
      <c r="D45" s="139">
        <f t="shared" si="7"/>
        <v>282314.64167395374</v>
      </c>
      <c r="E45" s="158"/>
      <c r="F45" s="141">
        <f t="shared" si="8"/>
        <v>0</v>
      </c>
    </row>
    <row r="46" spans="1:8">
      <c r="A46" s="156" t="s">
        <v>109</v>
      </c>
      <c r="B46" s="139"/>
      <c r="C46" s="157" t="s">
        <v>107</v>
      </c>
      <c r="D46" s="139">
        <f t="shared" si="7"/>
        <v>3182.8403066540436</v>
      </c>
      <c r="E46" s="158"/>
      <c r="F46" s="141">
        <f t="shared" si="8"/>
        <v>0</v>
      </c>
    </row>
    <row r="47" spans="1:8">
      <c r="A47" s="156" t="s">
        <v>131</v>
      </c>
      <c r="B47" s="139"/>
      <c r="C47" s="157" t="s">
        <v>128</v>
      </c>
      <c r="D47" s="139">
        <f t="shared" si="7"/>
        <v>119.48677026939222</v>
      </c>
      <c r="E47" s="158"/>
      <c r="F47" s="141">
        <f t="shared" si="8"/>
        <v>0</v>
      </c>
    </row>
    <row r="48" spans="1:8">
      <c r="A48" s="156" t="s">
        <v>132</v>
      </c>
      <c r="B48" s="139"/>
      <c r="C48" s="157" t="s">
        <v>128</v>
      </c>
      <c r="D48" s="139">
        <f t="shared" si="7"/>
        <v>0</v>
      </c>
      <c r="E48" s="158"/>
      <c r="F48" s="141">
        <f t="shared" si="8"/>
        <v>0</v>
      </c>
    </row>
    <row r="49" spans="1:6" ht="13">
      <c r="A49" s="131" t="s">
        <v>133</v>
      </c>
      <c r="B49" s="132"/>
      <c r="C49" s="136"/>
      <c r="D49" s="132"/>
      <c r="E49" s="142"/>
      <c r="F49" s="159">
        <f>SUM(F43:F48)</f>
        <v>0</v>
      </c>
    </row>
    <row r="51" spans="1:6" ht="13">
      <c r="A51" s="149" t="s">
        <v>142</v>
      </c>
      <c r="B51" s="150"/>
      <c r="C51" s="160"/>
      <c r="D51" s="152"/>
      <c r="E51" s="153"/>
      <c r="F51" s="150"/>
    </row>
    <row r="52" spans="1:6" ht="13">
      <c r="A52" s="136" t="s">
        <v>137</v>
      </c>
      <c r="B52" s="154"/>
      <c r="C52" s="161"/>
      <c r="D52" s="429">
        <v>2018</v>
      </c>
      <c r="E52" s="430"/>
      <c r="F52" s="432"/>
    </row>
    <row r="53" spans="1:6">
      <c r="A53" s="156" t="s">
        <v>108</v>
      </c>
      <c r="B53" s="139"/>
      <c r="C53" s="157"/>
      <c r="D53" s="139">
        <f t="shared" ref="D53:D58" si="9">D13+D23</f>
        <v>0</v>
      </c>
      <c r="E53" s="158"/>
      <c r="F53" s="141">
        <f t="shared" ref="F53:F58" si="10">D53*E53</f>
        <v>0</v>
      </c>
    </row>
    <row r="54" spans="1:6">
      <c r="A54" s="156" t="s">
        <v>129</v>
      </c>
      <c r="B54" s="139"/>
      <c r="C54" s="157"/>
      <c r="D54" s="139">
        <f t="shared" si="9"/>
        <v>0</v>
      </c>
      <c r="E54" s="158"/>
      <c r="F54" s="141">
        <f t="shared" si="10"/>
        <v>0</v>
      </c>
    </row>
    <row r="55" spans="1:6">
      <c r="A55" s="156" t="s">
        <v>130</v>
      </c>
      <c r="B55" s="139"/>
      <c r="C55" s="157"/>
      <c r="D55" s="139">
        <f t="shared" si="9"/>
        <v>0</v>
      </c>
      <c r="E55" s="158"/>
      <c r="F55" s="141">
        <f t="shared" si="10"/>
        <v>0</v>
      </c>
    </row>
    <row r="56" spans="1:6">
      <c r="A56" s="156" t="s">
        <v>109</v>
      </c>
      <c r="B56" s="139"/>
      <c r="C56" s="157"/>
      <c r="D56" s="139">
        <f t="shared" si="9"/>
        <v>0</v>
      </c>
      <c r="E56" s="158"/>
      <c r="F56" s="141">
        <f t="shared" si="10"/>
        <v>0</v>
      </c>
    </row>
    <row r="57" spans="1:6">
      <c r="A57" s="156" t="s">
        <v>131</v>
      </c>
      <c r="B57" s="139"/>
      <c r="C57" s="157"/>
      <c r="D57" s="139">
        <f t="shared" si="9"/>
        <v>0</v>
      </c>
      <c r="E57" s="158"/>
      <c r="F57" s="141">
        <f t="shared" si="10"/>
        <v>0</v>
      </c>
    </row>
    <row r="58" spans="1:6">
      <c r="A58" s="156" t="s">
        <v>132</v>
      </c>
      <c r="B58" s="139"/>
      <c r="C58" s="157"/>
      <c r="D58" s="139">
        <f t="shared" si="9"/>
        <v>0</v>
      </c>
      <c r="E58" s="158"/>
      <c r="F58" s="141">
        <f t="shared" si="10"/>
        <v>0</v>
      </c>
    </row>
    <row r="59" spans="1:6" ht="13">
      <c r="A59" s="131" t="s">
        <v>133</v>
      </c>
      <c r="B59" s="132"/>
      <c r="C59" s="136"/>
      <c r="D59" s="132">
        <f>SUM(D53:D58)</f>
        <v>0</v>
      </c>
      <c r="E59" s="142"/>
      <c r="F59" s="159">
        <f>SUM(F53:F58)</f>
        <v>0</v>
      </c>
    </row>
    <row r="61" spans="1:6" ht="13">
      <c r="A61" s="149" t="s">
        <v>143</v>
      </c>
      <c r="B61" s="150"/>
      <c r="C61" s="160"/>
      <c r="D61" s="152"/>
      <c r="E61" s="153"/>
      <c r="F61" s="150"/>
    </row>
    <row r="62" spans="1:6" ht="13">
      <c r="A62" s="136" t="s">
        <v>137</v>
      </c>
      <c r="B62" s="154"/>
      <c r="C62" s="161"/>
      <c r="D62" s="433">
        <v>2018</v>
      </c>
      <c r="E62" s="430"/>
      <c r="F62" s="431"/>
    </row>
    <row r="63" spans="1:6">
      <c r="A63" s="156" t="s">
        <v>108</v>
      </c>
      <c r="B63" s="139"/>
      <c r="C63" s="157"/>
      <c r="D63" s="139">
        <f t="shared" ref="D63:D68" si="11">D53</f>
        <v>0</v>
      </c>
      <c r="E63" s="158"/>
      <c r="F63" s="141">
        <f t="shared" ref="F63:F68" si="12">D63*E63</f>
        <v>0</v>
      </c>
    </row>
    <row r="64" spans="1:6">
      <c r="A64" s="156" t="s">
        <v>129</v>
      </c>
      <c r="B64" s="139"/>
      <c r="C64" s="157"/>
      <c r="D64" s="139">
        <f t="shared" si="11"/>
        <v>0</v>
      </c>
      <c r="E64" s="158"/>
      <c r="F64" s="141">
        <f t="shared" si="12"/>
        <v>0</v>
      </c>
    </row>
    <row r="65" spans="1:6">
      <c r="A65" s="156" t="s">
        <v>130</v>
      </c>
      <c r="B65" s="139"/>
      <c r="C65" s="157"/>
      <c r="D65" s="139">
        <f t="shared" si="11"/>
        <v>0</v>
      </c>
      <c r="E65" s="158"/>
      <c r="F65" s="141">
        <f t="shared" si="12"/>
        <v>0</v>
      </c>
    </row>
    <row r="66" spans="1:6">
      <c r="A66" s="156" t="s">
        <v>109</v>
      </c>
      <c r="B66" s="139"/>
      <c r="C66" s="157"/>
      <c r="D66" s="139">
        <f t="shared" si="11"/>
        <v>0</v>
      </c>
      <c r="E66" s="158"/>
      <c r="F66" s="141">
        <f t="shared" si="12"/>
        <v>0</v>
      </c>
    </row>
    <row r="67" spans="1:6">
      <c r="A67" s="156" t="s">
        <v>131</v>
      </c>
      <c r="B67" s="139"/>
      <c r="C67" s="157"/>
      <c r="D67" s="139">
        <f t="shared" si="11"/>
        <v>0</v>
      </c>
      <c r="E67" s="158"/>
      <c r="F67" s="141">
        <f t="shared" si="12"/>
        <v>0</v>
      </c>
    </row>
    <row r="68" spans="1:6">
      <c r="A68" s="156" t="s">
        <v>132</v>
      </c>
      <c r="B68" s="139"/>
      <c r="C68" s="157"/>
      <c r="D68" s="139">
        <f t="shared" si="11"/>
        <v>0</v>
      </c>
      <c r="E68" s="158"/>
      <c r="F68" s="141">
        <f t="shared" si="12"/>
        <v>0</v>
      </c>
    </row>
    <row r="69" spans="1:6" ht="13">
      <c r="A69" s="131" t="s">
        <v>133</v>
      </c>
      <c r="B69" s="132"/>
      <c r="C69" s="136"/>
      <c r="D69" s="132">
        <f>SUM(D63:D68)</f>
        <v>0</v>
      </c>
      <c r="E69" s="142"/>
      <c r="F69" s="159">
        <f>SUM(F63:F68)</f>
        <v>0</v>
      </c>
    </row>
    <row r="71" spans="1:6" ht="13">
      <c r="A71" s="162"/>
      <c r="B71" s="163">
        <v>2018</v>
      </c>
    </row>
    <row r="72" spans="1:6">
      <c r="A72" s="162"/>
      <c r="B72" s="164"/>
    </row>
    <row r="73" spans="1:6">
      <c r="A73" s="165" t="s">
        <v>144</v>
      </c>
      <c r="B73" s="166">
        <f>F19+F29</f>
        <v>0</v>
      </c>
    </row>
    <row r="74" spans="1:6">
      <c r="A74" s="165" t="s">
        <v>145</v>
      </c>
      <c r="B74" s="167">
        <f>F59</f>
        <v>0</v>
      </c>
    </row>
    <row r="75" spans="1:6">
      <c r="A75" s="165" t="s">
        <v>146</v>
      </c>
      <c r="B75" s="167">
        <f>F39</f>
        <v>0</v>
      </c>
    </row>
    <row r="76" spans="1:6">
      <c r="A76" s="165" t="s">
        <v>147</v>
      </c>
      <c r="B76" s="167">
        <f>F49</f>
        <v>0</v>
      </c>
    </row>
    <row r="77" spans="1:6">
      <c r="A77" s="165" t="s">
        <v>148</v>
      </c>
      <c r="B77" s="167">
        <f>F69</f>
        <v>0</v>
      </c>
    </row>
    <row r="78" spans="1:6">
      <c r="A78" s="165" t="s">
        <v>149</v>
      </c>
      <c r="B78" s="168"/>
    </row>
    <row r="79" spans="1:6">
      <c r="A79" s="165" t="s">
        <v>160</v>
      </c>
      <c r="B79" s="168"/>
    </row>
    <row r="80" spans="1:6" ht="13">
      <c r="A80" s="133" t="s">
        <v>133</v>
      </c>
      <c r="B80" s="132">
        <f>SUM(B73:B78)</f>
        <v>0</v>
      </c>
    </row>
  </sheetData>
  <mergeCells count="10">
    <mergeCell ref="D32:F32"/>
    <mergeCell ref="D42:F42"/>
    <mergeCell ref="D52:F52"/>
    <mergeCell ref="D62:F62"/>
    <mergeCell ref="B11:B12"/>
    <mergeCell ref="C11:C12"/>
    <mergeCell ref="D12:F12"/>
    <mergeCell ref="B21:B22"/>
    <mergeCell ref="C21:C22"/>
    <mergeCell ref="D22:F22"/>
  </mergeCells>
  <pageMargins left="0.7" right="0.7" top="0.75" bottom="0.75" header="0.3" footer="0.3"/>
  <pageSetup orientation="portrait" r:id="rId1"/>
  <headerFooter alignWithMargins="0"/>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80"/>
  <sheetViews>
    <sheetView workbookViewId="0">
      <selection activeCell="B9" sqref="B9"/>
    </sheetView>
  </sheetViews>
  <sheetFormatPr defaultRowHeight="12.5"/>
  <cols>
    <col min="1" max="1" width="31.453125" style="111" bestFit="1" customWidth="1"/>
    <col min="2" max="2" width="12.81640625" style="111" customWidth="1"/>
    <col min="3" max="3" width="11.81640625" style="111" customWidth="1"/>
    <col min="4" max="4" width="12.81640625" style="111" customWidth="1"/>
    <col min="5" max="5" width="10" style="111" customWidth="1"/>
    <col min="6" max="6" width="12.81640625" style="111" customWidth="1"/>
    <col min="7" max="8" width="9.1796875" style="111"/>
    <col min="9" max="9" width="11.1796875" style="111" bestFit="1" customWidth="1"/>
    <col min="10" max="256" width="9.1796875" style="111"/>
    <col min="257" max="257" width="31.453125" style="111" bestFit="1" customWidth="1"/>
    <col min="258" max="258" width="12.81640625" style="111" customWidth="1"/>
    <col min="259" max="259" width="11.81640625" style="111" customWidth="1"/>
    <col min="260" max="260" width="12.81640625" style="111" customWidth="1"/>
    <col min="261" max="261" width="10" style="111" customWidth="1"/>
    <col min="262" max="262" width="12.81640625" style="111" customWidth="1"/>
    <col min="263" max="512" width="9.1796875" style="111"/>
    <col min="513" max="513" width="31.453125" style="111" bestFit="1" customWidth="1"/>
    <col min="514" max="514" width="12.81640625" style="111" customWidth="1"/>
    <col min="515" max="515" width="11.81640625" style="111" customWidth="1"/>
    <col min="516" max="516" width="12.81640625" style="111" customWidth="1"/>
    <col min="517" max="517" width="10" style="111" customWidth="1"/>
    <col min="518" max="518" width="12.81640625" style="111" customWidth="1"/>
    <col min="519" max="768" width="9.1796875" style="111"/>
    <col min="769" max="769" width="31.453125" style="111" bestFit="1" customWidth="1"/>
    <col min="770" max="770" width="12.81640625" style="111" customWidth="1"/>
    <col min="771" max="771" width="11.81640625" style="111" customWidth="1"/>
    <col min="772" max="772" width="12.81640625" style="111" customWidth="1"/>
    <col min="773" max="773" width="10" style="111" customWidth="1"/>
    <col min="774" max="774" width="12.81640625" style="111" customWidth="1"/>
    <col min="775" max="1024" width="9.1796875" style="111"/>
    <col min="1025" max="1025" width="31.453125" style="111" bestFit="1" customWidth="1"/>
    <col min="1026" max="1026" width="12.81640625" style="111" customWidth="1"/>
    <col min="1027" max="1027" width="11.81640625" style="111" customWidth="1"/>
    <col min="1028" max="1028" width="12.81640625" style="111" customWidth="1"/>
    <col min="1029" max="1029" width="10" style="111" customWidth="1"/>
    <col min="1030" max="1030" width="12.81640625" style="111" customWidth="1"/>
    <col min="1031" max="1280" width="9.1796875" style="111"/>
    <col min="1281" max="1281" width="31.453125" style="111" bestFit="1" customWidth="1"/>
    <col min="1282" max="1282" width="12.81640625" style="111" customWidth="1"/>
    <col min="1283" max="1283" width="11.81640625" style="111" customWidth="1"/>
    <col min="1284" max="1284" width="12.81640625" style="111" customWidth="1"/>
    <col min="1285" max="1285" width="10" style="111" customWidth="1"/>
    <col min="1286" max="1286" width="12.81640625" style="111" customWidth="1"/>
    <col min="1287" max="1536" width="9.1796875" style="111"/>
    <col min="1537" max="1537" width="31.453125" style="111" bestFit="1" customWidth="1"/>
    <col min="1538" max="1538" width="12.81640625" style="111" customWidth="1"/>
    <col min="1539" max="1539" width="11.81640625" style="111" customWidth="1"/>
    <col min="1540" max="1540" width="12.81640625" style="111" customWidth="1"/>
    <col min="1541" max="1541" width="10" style="111" customWidth="1"/>
    <col min="1542" max="1542" width="12.81640625" style="111" customWidth="1"/>
    <col min="1543" max="1792" width="9.1796875" style="111"/>
    <col min="1793" max="1793" width="31.453125" style="111" bestFit="1" customWidth="1"/>
    <col min="1794" max="1794" width="12.81640625" style="111" customWidth="1"/>
    <col min="1795" max="1795" width="11.81640625" style="111" customWidth="1"/>
    <col min="1796" max="1796" width="12.81640625" style="111" customWidth="1"/>
    <col min="1797" max="1797" width="10" style="111" customWidth="1"/>
    <col min="1798" max="1798" width="12.81640625" style="111" customWidth="1"/>
    <col min="1799" max="2048" width="9.1796875" style="111"/>
    <col min="2049" max="2049" width="31.453125" style="111" bestFit="1" customWidth="1"/>
    <col min="2050" max="2050" width="12.81640625" style="111" customWidth="1"/>
    <col min="2051" max="2051" width="11.81640625" style="111" customWidth="1"/>
    <col min="2052" max="2052" width="12.81640625" style="111" customWidth="1"/>
    <col min="2053" max="2053" width="10" style="111" customWidth="1"/>
    <col min="2054" max="2054" width="12.81640625" style="111" customWidth="1"/>
    <col min="2055" max="2304" width="9.1796875" style="111"/>
    <col min="2305" max="2305" width="31.453125" style="111" bestFit="1" customWidth="1"/>
    <col min="2306" max="2306" width="12.81640625" style="111" customWidth="1"/>
    <col min="2307" max="2307" width="11.81640625" style="111" customWidth="1"/>
    <col min="2308" max="2308" width="12.81640625" style="111" customWidth="1"/>
    <col min="2309" max="2309" width="10" style="111" customWidth="1"/>
    <col min="2310" max="2310" width="12.81640625" style="111" customWidth="1"/>
    <col min="2311" max="2560" width="9.1796875" style="111"/>
    <col min="2561" max="2561" width="31.453125" style="111" bestFit="1" customWidth="1"/>
    <col min="2562" max="2562" width="12.81640625" style="111" customWidth="1"/>
    <col min="2563" max="2563" width="11.81640625" style="111" customWidth="1"/>
    <col min="2564" max="2564" width="12.81640625" style="111" customWidth="1"/>
    <col min="2565" max="2565" width="10" style="111" customWidth="1"/>
    <col min="2566" max="2566" width="12.81640625" style="111" customWidth="1"/>
    <col min="2567" max="2816" width="9.1796875" style="111"/>
    <col min="2817" max="2817" width="31.453125" style="111" bestFit="1" customWidth="1"/>
    <col min="2818" max="2818" width="12.81640625" style="111" customWidth="1"/>
    <col min="2819" max="2819" width="11.81640625" style="111" customWidth="1"/>
    <col min="2820" max="2820" width="12.81640625" style="111" customWidth="1"/>
    <col min="2821" max="2821" width="10" style="111" customWidth="1"/>
    <col min="2822" max="2822" width="12.81640625" style="111" customWidth="1"/>
    <col min="2823" max="3072" width="9.1796875" style="111"/>
    <col min="3073" max="3073" width="31.453125" style="111" bestFit="1" customWidth="1"/>
    <col min="3074" max="3074" width="12.81640625" style="111" customWidth="1"/>
    <col min="3075" max="3075" width="11.81640625" style="111" customWidth="1"/>
    <col min="3076" max="3076" width="12.81640625" style="111" customWidth="1"/>
    <col min="3077" max="3077" width="10" style="111" customWidth="1"/>
    <col min="3078" max="3078" width="12.81640625" style="111" customWidth="1"/>
    <col min="3079" max="3328" width="9.1796875" style="111"/>
    <col min="3329" max="3329" width="31.453125" style="111" bestFit="1" customWidth="1"/>
    <col min="3330" max="3330" width="12.81640625" style="111" customWidth="1"/>
    <col min="3331" max="3331" width="11.81640625" style="111" customWidth="1"/>
    <col min="3332" max="3332" width="12.81640625" style="111" customWidth="1"/>
    <col min="3333" max="3333" width="10" style="111" customWidth="1"/>
    <col min="3334" max="3334" width="12.81640625" style="111" customWidth="1"/>
    <col min="3335" max="3584" width="9.1796875" style="111"/>
    <col min="3585" max="3585" width="31.453125" style="111" bestFit="1" customWidth="1"/>
    <col min="3586" max="3586" width="12.81640625" style="111" customWidth="1"/>
    <col min="3587" max="3587" width="11.81640625" style="111" customWidth="1"/>
    <col min="3588" max="3588" width="12.81640625" style="111" customWidth="1"/>
    <col min="3589" max="3589" width="10" style="111" customWidth="1"/>
    <col min="3590" max="3590" width="12.81640625" style="111" customWidth="1"/>
    <col min="3591" max="3840" width="9.1796875" style="111"/>
    <col min="3841" max="3841" width="31.453125" style="111" bestFit="1" customWidth="1"/>
    <col min="3842" max="3842" width="12.81640625" style="111" customWidth="1"/>
    <col min="3843" max="3843" width="11.81640625" style="111" customWidth="1"/>
    <col min="3844" max="3844" width="12.81640625" style="111" customWidth="1"/>
    <col min="3845" max="3845" width="10" style="111" customWidth="1"/>
    <col min="3846" max="3846" width="12.81640625" style="111" customWidth="1"/>
    <col min="3847" max="4096" width="9.1796875" style="111"/>
    <col min="4097" max="4097" width="31.453125" style="111" bestFit="1" customWidth="1"/>
    <col min="4098" max="4098" width="12.81640625" style="111" customWidth="1"/>
    <col min="4099" max="4099" width="11.81640625" style="111" customWidth="1"/>
    <col min="4100" max="4100" width="12.81640625" style="111" customWidth="1"/>
    <col min="4101" max="4101" width="10" style="111" customWidth="1"/>
    <col min="4102" max="4102" width="12.81640625" style="111" customWidth="1"/>
    <col min="4103" max="4352" width="9.1796875" style="111"/>
    <col min="4353" max="4353" width="31.453125" style="111" bestFit="1" customWidth="1"/>
    <col min="4354" max="4354" width="12.81640625" style="111" customWidth="1"/>
    <col min="4355" max="4355" width="11.81640625" style="111" customWidth="1"/>
    <col min="4356" max="4356" width="12.81640625" style="111" customWidth="1"/>
    <col min="4357" max="4357" width="10" style="111" customWidth="1"/>
    <col min="4358" max="4358" width="12.81640625" style="111" customWidth="1"/>
    <col min="4359" max="4608" width="9.1796875" style="111"/>
    <col min="4609" max="4609" width="31.453125" style="111" bestFit="1" customWidth="1"/>
    <col min="4610" max="4610" width="12.81640625" style="111" customWidth="1"/>
    <col min="4611" max="4611" width="11.81640625" style="111" customWidth="1"/>
    <col min="4612" max="4612" width="12.81640625" style="111" customWidth="1"/>
    <col min="4613" max="4613" width="10" style="111" customWidth="1"/>
    <col min="4614" max="4614" width="12.81640625" style="111" customWidth="1"/>
    <col min="4615" max="4864" width="9.1796875" style="111"/>
    <col min="4865" max="4865" width="31.453125" style="111" bestFit="1" customWidth="1"/>
    <col min="4866" max="4866" width="12.81640625" style="111" customWidth="1"/>
    <col min="4867" max="4867" width="11.81640625" style="111" customWidth="1"/>
    <col min="4868" max="4868" width="12.81640625" style="111" customWidth="1"/>
    <col min="4869" max="4869" width="10" style="111" customWidth="1"/>
    <col min="4870" max="4870" width="12.81640625" style="111" customWidth="1"/>
    <col min="4871" max="5120" width="9.1796875" style="111"/>
    <col min="5121" max="5121" width="31.453125" style="111" bestFit="1" customWidth="1"/>
    <col min="5122" max="5122" width="12.81640625" style="111" customWidth="1"/>
    <col min="5123" max="5123" width="11.81640625" style="111" customWidth="1"/>
    <col min="5124" max="5124" width="12.81640625" style="111" customWidth="1"/>
    <col min="5125" max="5125" width="10" style="111" customWidth="1"/>
    <col min="5126" max="5126" width="12.81640625" style="111" customWidth="1"/>
    <col min="5127" max="5376" width="9.1796875" style="111"/>
    <col min="5377" max="5377" width="31.453125" style="111" bestFit="1" customWidth="1"/>
    <col min="5378" max="5378" width="12.81640625" style="111" customWidth="1"/>
    <col min="5379" max="5379" width="11.81640625" style="111" customWidth="1"/>
    <col min="5380" max="5380" width="12.81640625" style="111" customWidth="1"/>
    <col min="5381" max="5381" width="10" style="111" customWidth="1"/>
    <col min="5382" max="5382" width="12.81640625" style="111" customWidth="1"/>
    <col min="5383" max="5632" width="9.1796875" style="111"/>
    <col min="5633" max="5633" width="31.453125" style="111" bestFit="1" customWidth="1"/>
    <col min="5634" max="5634" width="12.81640625" style="111" customWidth="1"/>
    <col min="5635" max="5635" width="11.81640625" style="111" customWidth="1"/>
    <col min="5636" max="5636" width="12.81640625" style="111" customWidth="1"/>
    <col min="5637" max="5637" width="10" style="111" customWidth="1"/>
    <col min="5638" max="5638" width="12.81640625" style="111" customWidth="1"/>
    <col min="5639" max="5888" width="9.1796875" style="111"/>
    <col min="5889" max="5889" width="31.453125" style="111" bestFit="1" customWidth="1"/>
    <col min="5890" max="5890" width="12.81640625" style="111" customWidth="1"/>
    <col min="5891" max="5891" width="11.81640625" style="111" customWidth="1"/>
    <col min="5892" max="5892" width="12.81640625" style="111" customWidth="1"/>
    <col min="5893" max="5893" width="10" style="111" customWidth="1"/>
    <col min="5894" max="5894" width="12.81640625" style="111" customWidth="1"/>
    <col min="5895" max="6144" width="9.1796875" style="111"/>
    <col min="6145" max="6145" width="31.453125" style="111" bestFit="1" customWidth="1"/>
    <col min="6146" max="6146" width="12.81640625" style="111" customWidth="1"/>
    <col min="6147" max="6147" width="11.81640625" style="111" customWidth="1"/>
    <col min="6148" max="6148" width="12.81640625" style="111" customWidth="1"/>
    <col min="6149" max="6149" width="10" style="111" customWidth="1"/>
    <col min="6150" max="6150" width="12.81640625" style="111" customWidth="1"/>
    <col min="6151" max="6400" width="9.1796875" style="111"/>
    <col min="6401" max="6401" width="31.453125" style="111" bestFit="1" customWidth="1"/>
    <col min="6402" max="6402" width="12.81640625" style="111" customWidth="1"/>
    <col min="6403" max="6403" width="11.81640625" style="111" customWidth="1"/>
    <col min="6404" max="6404" width="12.81640625" style="111" customWidth="1"/>
    <col min="6405" max="6405" width="10" style="111" customWidth="1"/>
    <col min="6406" max="6406" width="12.81640625" style="111" customWidth="1"/>
    <col min="6407" max="6656" width="9.1796875" style="111"/>
    <col min="6657" max="6657" width="31.453125" style="111" bestFit="1" customWidth="1"/>
    <col min="6658" max="6658" width="12.81640625" style="111" customWidth="1"/>
    <col min="6659" max="6659" width="11.81640625" style="111" customWidth="1"/>
    <col min="6660" max="6660" width="12.81640625" style="111" customWidth="1"/>
    <col min="6661" max="6661" width="10" style="111" customWidth="1"/>
    <col min="6662" max="6662" width="12.81640625" style="111" customWidth="1"/>
    <col min="6663" max="6912" width="9.1796875" style="111"/>
    <col min="6913" max="6913" width="31.453125" style="111" bestFit="1" customWidth="1"/>
    <col min="6914" max="6914" width="12.81640625" style="111" customWidth="1"/>
    <col min="6915" max="6915" width="11.81640625" style="111" customWidth="1"/>
    <col min="6916" max="6916" width="12.81640625" style="111" customWidth="1"/>
    <col min="6917" max="6917" width="10" style="111" customWidth="1"/>
    <col min="6918" max="6918" width="12.81640625" style="111" customWidth="1"/>
    <col min="6919" max="7168" width="9.1796875" style="111"/>
    <col min="7169" max="7169" width="31.453125" style="111" bestFit="1" customWidth="1"/>
    <col min="7170" max="7170" width="12.81640625" style="111" customWidth="1"/>
    <col min="7171" max="7171" width="11.81640625" style="111" customWidth="1"/>
    <col min="7172" max="7172" width="12.81640625" style="111" customWidth="1"/>
    <col min="7173" max="7173" width="10" style="111" customWidth="1"/>
    <col min="7174" max="7174" width="12.81640625" style="111" customWidth="1"/>
    <col min="7175" max="7424" width="9.1796875" style="111"/>
    <col min="7425" max="7425" width="31.453125" style="111" bestFit="1" customWidth="1"/>
    <col min="7426" max="7426" width="12.81640625" style="111" customWidth="1"/>
    <col min="7427" max="7427" width="11.81640625" style="111" customWidth="1"/>
    <col min="7428" max="7428" width="12.81640625" style="111" customWidth="1"/>
    <col min="7429" max="7429" width="10" style="111" customWidth="1"/>
    <col min="7430" max="7430" width="12.81640625" style="111" customWidth="1"/>
    <col min="7431" max="7680" width="9.1796875" style="111"/>
    <col min="7681" max="7681" width="31.453125" style="111" bestFit="1" customWidth="1"/>
    <col min="7682" max="7682" width="12.81640625" style="111" customWidth="1"/>
    <col min="7683" max="7683" width="11.81640625" style="111" customWidth="1"/>
    <col min="7684" max="7684" width="12.81640625" style="111" customWidth="1"/>
    <col min="7685" max="7685" width="10" style="111" customWidth="1"/>
    <col min="7686" max="7686" width="12.81640625" style="111" customWidth="1"/>
    <col min="7687" max="7936" width="9.1796875" style="111"/>
    <col min="7937" max="7937" width="31.453125" style="111" bestFit="1" customWidth="1"/>
    <col min="7938" max="7938" width="12.81640625" style="111" customWidth="1"/>
    <col min="7939" max="7939" width="11.81640625" style="111" customWidth="1"/>
    <col min="7940" max="7940" width="12.81640625" style="111" customWidth="1"/>
    <col min="7941" max="7941" width="10" style="111" customWidth="1"/>
    <col min="7942" max="7942" width="12.81640625" style="111" customWidth="1"/>
    <col min="7943" max="8192" width="9.1796875" style="111"/>
    <col min="8193" max="8193" width="31.453125" style="111" bestFit="1" customWidth="1"/>
    <col min="8194" max="8194" width="12.81640625" style="111" customWidth="1"/>
    <col min="8195" max="8195" width="11.81640625" style="111" customWidth="1"/>
    <col min="8196" max="8196" width="12.81640625" style="111" customWidth="1"/>
    <col min="8197" max="8197" width="10" style="111" customWidth="1"/>
    <col min="8198" max="8198" width="12.81640625" style="111" customWidth="1"/>
    <col min="8199" max="8448" width="9.1796875" style="111"/>
    <col min="8449" max="8449" width="31.453125" style="111" bestFit="1" customWidth="1"/>
    <col min="8450" max="8450" width="12.81640625" style="111" customWidth="1"/>
    <col min="8451" max="8451" width="11.81640625" style="111" customWidth="1"/>
    <col min="8452" max="8452" width="12.81640625" style="111" customWidth="1"/>
    <col min="8453" max="8453" width="10" style="111" customWidth="1"/>
    <col min="8454" max="8454" width="12.81640625" style="111" customWidth="1"/>
    <col min="8455" max="8704" width="9.1796875" style="111"/>
    <col min="8705" max="8705" width="31.453125" style="111" bestFit="1" customWidth="1"/>
    <col min="8706" max="8706" width="12.81640625" style="111" customWidth="1"/>
    <col min="8707" max="8707" width="11.81640625" style="111" customWidth="1"/>
    <col min="8708" max="8708" width="12.81640625" style="111" customWidth="1"/>
    <col min="8709" max="8709" width="10" style="111" customWidth="1"/>
    <col min="8710" max="8710" width="12.81640625" style="111" customWidth="1"/>
    <col min="8711" max="8960" width="9.1796875" style="111"/>
    <col min="8961" max="8961" width="31.453125" style="111" bestFit="1" customWidth="1"/>
    <col min="8962" max="8962" width="12.81640625" style="111" customWidth="1"/>
    <col min="8963" max="8963" width="11.81640625" style="111" customWidth="1"/>
    <col min="8964" max="8964" width="12.81640625" style="111" customWidth="1"/>
    <col min="8965" max="8965" width="10" style="111" customWidth="1"/>
    <col min="8966" max="8966" width="12.81640625" style="111" customWidth="1"/>
    <col min="8967" max="9216" width="9.1796875" style="111"/>
    <col min="9217" max="9217" width="31.453125" style="111" bestFit="1" customWidth="1"/>
    <col min="9218" max="9218" width="12.81640625" style="111" customWidth="1"/>
    <col min="9219" max="9219" width="11.81640625" style="111" customWidth="1"/>
    <col min="9220" max="9220" width="12.81640625" style="111" customWidth="1"/>
    <col min="9221" max="9221" width="10" style="111" customWidth="1"/>
    <col min="9222" max="9222" width="12.81640625" style="111" customWidth="1"/>
    <col min="9223" max="9472" width="9.1796875" style="111"/>
    <col min="9473" max="9473" width="31.453125" style="111" bestFit="1" customWidth="1"/>
    <col min="9474" max="9474" width="12.81640625" style="111" customWidth="1"/>
    <col min="9475" max="9475" width="11.81640625" style="111" customWidth="1"/>
    <col min="9476" max="9476" width="12.81640625" style="111" customWidth="1"/>
    <col min="9477" max="9477" width="10" style="111" customWidth="1"/>
    <col min="9478" max="9478" width="12.81640625" style="111" customWidth="1"/>
    <col min="9479" max="9728" width="9.1796875" style="111"/>
    <col min="9729" max="9729" width="31.453125" style="111" bestFit="1" customWidth="1"/>
    <col min="9730" max="9730" width="12.81640625" style="111" customWidth="1"/>
    <col min="9731" max="9731" width="11.81640625" style="111" customWidth="1"/>
    <col min="9732" max="9732" width="12.81640625" style="111" customWidth="1"/>
    <col min="9733" max="9733" width="10" style="111" customWidth="1"/>
    <col min="9734" max="9734" width="12.81640625" style="111" customWidth="1"/>
    <col min="9735" max="9984" width="9.1796875" style="111"/>
    <col min="9985" max="9985" width="31.453125" style="111" bestFit="1" customWidth="1"/>
    <col min="9986" max="9986" width="12.81640625" style="111" customWidth="1"/>
    <col min="9987" max="9987" width="11.81640625" style="111" customWidth="1"/>
    <col min="9988" max="9988" width="12.81640625" style="111" customWidth="1"/>
    <col min="9989" max="9989" width="10" style="111" customWidth="1"/>
    <col min="9990" max="9990" width="12.81640625" style="111" customWidth="1"/>
    <col min="9991" max="10240" width="9.1796875" style="111"/>
    <col min="10241" max="10241" width="31.453125" style="111" bestFit="1" customWidth="1"/>
    <col min="10242" max="10242" width="12.81640625" style="111" customWidth="1"/>
    <col min="10243" max="10243" width="11.81640625" style="111" customWidth="1"/>
    <col min="10244" max="10244" width="12.81640625" style="111" customWidth="1"/>
    <col min="10245" max="10245" width="10" style="111" customWidth="1"/>
    <col min="10246" max="10246" width="12.81640625" style="111" customWidth="1"/>
    <col min="10247" max="10496" width="9.1796875" style="111"/>
    <col min="10497" max="10497" width="31.453125" style="111" bestFit="1" customWidth="1"/>
    <col min="10498" max="10498" width="12.81640625" style="111" customWidth="1"/>
    <col min="10499" max="10499" width="11.81640625" style="111" customWidth="1"/>
    <col min="10500" max="10500" width="12.81640625" style="111" customWidth="1"/>
    <col min="10501" max="10501" width="10" style="111" customWidth="1"/>
    <col min="10502" max="10502" width="12.81640625" style="111" customWidth="1"/>
    <col min="10503" max="10752" width="9.1796875" style="111"/>
    <col min="10753" max="10753" width="31.453125" style="111" bestFit="1" customWidth="1"/>
    <col min="10754" max="10754" width="12.81640625" style="111" customWidth="1"/>
    <col min="10755" max="10755" width="11.81640625" style="111" customWidth="1"/>
    <col min="10756" max="10756" width="12.81640625" style="111" customWidth="1"/>
    <col min="10757" max="10757" width="10" style="111" customWidth="1"/>
    <col min="10758" max="10758" width="12.81640625" style="111" customWidth="1"/>
    <col min="10759" max="11008" width="9.1796875" style="111"/>
    <col min="11009" max="11009" width="31.453125" style="111" bestFit="1" customWidth="1"/>
    <col min="11010" max="11010" width="12.81640625" style="111" customWidth="1"/>
    <col min="11011" max="11011" width="11.81640625" style="111" customWidth="1"/>
    <col min="11012" max="11012" width="12.81640625" style="111" customWidth="1"/>
    <col min="11013" max="11013" width="10" style="111" customWidth="1"/>
    <col min="11014" max="11014" width="12.81640625" style="111" customWidth="1"/>
    <col min="11015" max="11264" width="9.1796875" style="111"/>
    <col min="11265" max="11265" width="31.453125" style="111" bestFit="1" customWidth="1"/>
    <col min="11266" max="11266" width="12.81640625" style="111" customWidth="1"/>
    <col min="11267" max="11267" width="11.81640625" style="111" customWidth="1"/>
    <col min="11268" max="11268" width="12.81640625" style="111" customWidth="1"/>
    <col min="11269" max="11269" width="10" style="111" customWidth="1"/>
    <col min="11270" max="11270" width="12.81640625" style="111" customWidth="1"/>
    <col min="11271" max="11520" width="9.1796875" style="111"/>
    <col min="11521" max="11521" width="31.453125" style="111" bestFit="1" customWidth="1"/>
    <col min="11522" max="11522" width="12.81640625" style="111" customWidth="1"/>
    <col min="11523" max="11523" width="11.81640625" style="111" customWidth="1"/>
    <col min="11524" max="11524" width="12.81640625" style="111" customWidth="1"/>
    <col min="11525" max="11525" width="10" style="111" customWidth="1"/>
    <col min="11526" max="11526" width="12.81640625" style="111" customWidth="1"/>
    <col min="11527" max="11776" width="9.1796875" style="111"/>
    <col min="11777" max="11777" width="31.453125" style="111" bestFit="1" customWidth="1"/>
    <col min="11778" max="11778" width="12.81640625" style="111" customWidth="1"/>
    <col min="11779" max="11779" width="11.81640625" style="111" customWidth="1"/>
    <col min="11780" max="11780" width="12.81640625" style="111" customWidth="1"/>
    <col min="11781" max="11781" width="10" style="111" customWidth="1"/>
    <col min="11782" max="11782" width="12.81640625" style="111" customWidth="1"/>
    <col min="11783" max="12032" width="9.1796875" style="111"/>
    <col min="12033" max="12033" width="31.453125" style="111" bestFit="1" customWidth="1"/>
    <col min="12034" max="12034" width="12.81640625" style="111" customWidth="1"/>
    <col min="12035" max="12035" width="11.81640625" style="111" customWidth="1"/>
    <col min="12036" max="12036" width="12.81640625" style="111" customWidth="1"/>
    <col min="12037" max="12037" width="10" style="111" customWidth="1"/>
    <col min="12038" max="12038" width="12.81640625" style="111" customWidth="1"/>
    <col min="12039" max="12288" width="9.1796875" style="111"/>
    <col min="12289" max="12289" width="31.453125" style="111" bestFit="1" customWidth="1"/>
    <col min="12290" max="12290" width="12.81640625" style="111" customWidth="1"/>
    <col min="12291" max="12291" width="11.81640625" style="111" customWidth="1"/>
    <col min="12292" max="12292" width="12.81640625" style="111" customWidth="1"/>
    <col min="12293" max="12293" width="10" style="111" customWidth="1"/>
    <col min="12294" max="12294" width="12.81640625" style="111" customWidth="1"/>
    <col min="12295" max="12544" width="9.1796875" style="111"/>
    <col min="12545" max="12545" width="31.453125" style="111" bestFit="1" customWidth="1"/>
    <col min="12546" max="12546" width="12.81640625" style="111" customWidth="1"/>
    <col min="12547" max="12547" width="11.81640625" style="111" customWidth="1"/>
    <col min="12548" max="12548" width="12.81640625" style="111" customWidth="1"/>
    <col min="12549" max="12549" width="10" style="111" customWidth="1"/>
    <col min="12550" max="12550" width="12.81640625" style="111" customWidth="1"/>
    <col min="12551" max="12800" width="9.1796875" style="111"/>
    <col min="12801" max="12801" width="31.453125" style="111" bestFit="1" customWidth="1"/>
    <col min="12802" max="12802" width="12.81640625" style="111" customWidth="1"/>
    <col min="12803" max="12803" width="11.81640625" style="111" customWidth="1"/>
    <col min="12804" max="12804" width="12.81640625" style="111" customWidth="1"/>
    <col min="12805" max="12805" width="10" style="111" customWidth="1"/>
    <col min="12806" max="12806" width="12.81640625" style="111" customWidth="1"/>
    <col min="12807" max="13056" width="9.1796875" style="111"/>
    <col min="13057" max="13057" width="31.453125" style="111" bestFit="1" customWidth="1"/>
    <col min="13058" max="13058" width="12.81640625" style="111" customWidth="1"/>
    <col min="13059" max="13059" width="11.81640625" style="111" customWidth="1"/>
    <col min="13060" max="13060" width="12.81640625" style="111" customWidth="1"/>
    <col min="13061" max="13061" width="10" style="111" customWidth="1"/>
    <col min="13062" max="13062" width="12.81640625" style="111" customWidth="1"/>
    <col min="13063" max="13312" width="9.1796875" style="111"/>
    <col min="13313" max="13313" width="31.453125" style="111" bestFit="1" customWidth="1"/>
    <col min="13314" max="13314" width="12.81640625" style="111" customWidth="1"/>
    <col min="13315" max="13315" width="11.81640625" style="111" customWidth="1"/>
    <col min="13316" max="13316" width="12.81640625" style="111" customWidth="1"/>
    <col min="13317" max="13317" width="10" style="111" customWidth="1"/>
    <col min="13318" max="13318" width="12.81640625" style="111" customWidth="1"/>
    <col min="13319" max="13568" width="9.1796875" style="111"/>
    <col min="13569" max="13569" width="31.453125" style="111" bestFit="1" customWidth="1"/>
    <col min="13570" max="13570" width="12.81640625" style="111" customWidth="1"/>
    <col min="13571" max="13571" width="11.81640625" style="111" customWidth="1"/>
    <col min="13572" max="13572" width="12.81640625" style="111" customWidth="1"/>
    <col min="13573" max="13573" width="10" style="111" customWidth="1"/>
    <col min="13574" max="13574" width="12.81640625" style="111" customWidth="1"/>
    <col min="13575" max="13824" width="9.1796875" style="111"/>
    <col min="13825" max="13825" width="31.453125" style="111" bestFit="1" customWidth="1"/>
    <col min="13826" max="13826" width="12.81640625" style="111" customWidth="1"/>
    <col min="13827" max="13827" width="11.81640625" style="111" customWidth="1"/>
    <col min="13828" max="13828" width="12.81640625" style="111" customWidth="1"/>
    <col min="13829" max="13829" width="10" style="111" customWidth="1"/>
    <col min="13830" max="13830" width="12.81640625" style="111" customWidth="1"/>
    <col min="13831" max="14080" width="9.1796875" style="111"/>
    <col min="14081" max="14081" width="31.453125" style="111" bestFit="1" customWidth="1"/>
    <col min="14082" max="14082" width="12.81640625" style="111" customWidth="1"/>
    <col min="14083" max="14083" width="11.81640625" style="111" customWidth="1"/>
    <col min="14084" max="14084" width="12.81640625" style="111" customWidth="1"/>
    <col min="14085" max="14085" width="10" style="111" customWidth="1"/>
    <col min="14086" max="14086" width="12.81640625" style="111" customWidth="1"/>
    <col min="14087" max="14336" width="9.1796875" style="111"/>
    <col min="14337" max="14337" width="31.453125" style="111" bestFit="1" customWidth="1"/>
    <col min="14338" max="14338" width="12.81640625" style="111" customWidth="1"/>
    <col min="14339" max="14339" width="11.81640625" style="111" customWidth="1"/>
    <col min="14340" max="14340" width="12.81640625" style="111" customWidth="1"/>
    <col min="14341" max="14341" width="10" style="111" customWidth="1"/>
    <col min="14342" max="14342" width="12.81640625" style="111" customWidth="1"/>
    <col min="14343" max="14592" width="9.1796875" style="111"/>
    <col min="14593" max="14593" width="31.453125" style="111" bestFit="1" customWidth="1"/>
    <col min="14594" max="14594" width="12.81640625" style="111" customWidth="1"/>
    <col min="14595" max="14595" width="11.81640625" style="111" customWidth="1"/>
    <col min="14596" max="14596" width="12.81640625" style="111" customWidth="1"/>
    <col min="14597" max="14597" width="10" style="111" customWidth="1"/>
    <col min="14598" max="14598" width="12.81640625" style="111" customWidth="1"/>
    <col min="14599" max="14848" width="9.1796875" style="111"/>
    <col min="14849" max="14849" width="31.453125" style="111" bestFit="1" customWidth="1"/>
    <col min="14850" max="14850" width="12.81640625" style="111" customWidth="1"/>
    <col min="14851" max="14851" width="11.81640625" style="111" customWidth="1"/>
    <col min="14852" max="14852" width="12.81640625" style="111" customWidth="1"/>
    <col min="14853" max="14853" width="10" style="111" customWidth="1"/>
    <col min="14854" max="14854" width="12.81640625" style="111" customWidth="1"/>
    <col min="14855" max="15104" width="9.1796875" style="111"/>
    <col min="15105" max="15105" width="31.453125" style="111" bestFit="1" customWidth="1"/>
    <col min="15106" max="15106" width="12.81640625" style="111" customWidth="1"/>
    <col min="15107" max="15107" width="11.81640625" style="111" customWidth="1"/>
    <col min="15108" max="15108" width="12.81640625" style="111" customWidth="1"/>
    <col min="15109" max="15109" width="10" style="111" customWidth="1"/>
    <col min="15110" max="15110" width="12.81640625" style="111" customWidth="1"/>
    <col min="15111" max="15360" width="9.1796875" style="111"/>
    <col min="15361" max="15361" width="31.453125" style="111" bestFit="1" customWidth="1"/>
    <col min="15362" max="15362" width="12.81640625" style="111" customWidth="1"/>
    <col min="15363" max="15363" width="11.81640625" style="111" customWidth="1"/>
    <col min="15364" max="15364" width="12.81640625" style="111" customWidth="1"/>
    <col min="15365" max="15365" width="10" style="111" customWidth="1"/>
    <col min="15366" max="15366" width="12.81640625" style="111" customWidth="1"/>
    <col min="15367" max="15616" width="9.1796875" style="111"/>
    <col min="15617" max="15617" width="31.453125" style="111" bestFit="1" customWidth="1"/>
    <col min="15618" max="15618" width="12.81640625" style="111" customWidth="1"/>
    <col min="15619" max="15619" width="11.81640625" style="111" customWidth="1"/>
    <col min="15620" max="15620" width="12.81640625" style="111" customWidth="1"/>
    <col min="15621" max="15621" width="10" style="111" customWidth="1"/>
    <col min="15622" max="15622" width="12.81640625" style="111" customWidth="1"/>
    <col min="15623" max="15872" width="9.1796875" style="111"/>
    <col min="15873" max="15873" width="31.453125" style="111" bestFit="1" customWidth="1"/>
    <col min="15874" max="15874" width="12.81640625" style="111" customWidth="1"/>
    <col min="15875" max="15875" width="11.81640625" style="111" customWidth="1"/>
    <col min="15876" max="15876" width="12.81640625" style="111" customWidth="1"/>
    <col min="15877" max="15877" width="10" style="111" customWidth="1"/>
    <col min="15878" max="15878" width="12.81640625" style="111" customWidth="1"/>
    <col min="15879" max="16128" width="9.1796875" style="111"/>
    <col min="16129" max="16129" width="31.453125" style="111" bestFit="1" customWidth="1"/>
    <col min="16130" max="16130" width="12.81640625" style="111" customWidth="1"/>
    <col min="16131" max="16131" width="11.81640625" style="111" customWidth="1"/>
    <col min="16132" max="16132" width="12.81640625" style="111" customWidth="1"/>
    <col min="16133" max="16133" width="10" style="111" customWidth="1"/>
    <col min="16134" max="16134" width="12.81640625" style="111" customWidth="1"/>
    <col min="16135" max="16384" width="9.1796875" style="111"/>
  </cols>
  <sheetData>
    <row r="1" spans="1:9" ht="13">
      <c r="A1" s="124" t="s">
        <v>161</v>
      </c>
      <c r="B1" s="125" t="s">
        <v>107</v>
      </c>
      <c r="C1" s="125" t="s">
        <v>128</v>
      </c>
      <c r="D1" s="125" t="s">
        <v>159</v>
      </c>
    </row>
    <row r="2" spans="1:9">
      <c r="A2" s="126" t="s">
        <v>108</v>
      </c>
      <c r="B2" s="127">
        <f>Summary!M13</f>
        <v>104688526.15422076</v>
      </c>
      <c r="C2" s="128"/>
      <c r="D2" s="129"/>
    </row>
    <row r="3" spans="1:9">
      <c r="A3" s="126" t="s">
        <v>129</v>
      </c>
      <c r="B3" s="127">
        <f>Summary!M17</f>
        <v>58782610.726187877</v>
      </c>
      <c r="C3" s="128"/>
      <c r="D3" s="129"/>
    </row>
    <row r="4" spans="1:9">
      <c r="A4" s="126" t="s">
        <v>130</v>
      </c>
      <c r="B4" s="127">
        <f>Summary!M21</f>
        <v>114521128.4638157</v>
      </c>
      <c r="C4" s="130">
        <f>Summary!M22</f>
        <v>278374.18831233855</v>
      </c>
      <c r="D4" s="129"/>
    </row>
    <row r="5" spans="1:9">
      <c r="A5" s="126" t="s">
        <v>109</v>
      </c>
      <c r="B5" s="127">
        <f>Summary!M31</f>
        <v>1154724.2041490464</v>
      </c>
      <c r="C5" s="130">
        <f>Summary!M32</f>
        <v>3182.8403066540436</v>
      </c>
      <c r="D5" s="129"/>
    </row>
    <row r="6" spans="1:9">
      <c r="A6" s="126" t="s">
        <v>131</v>
      </c>
      <c r="B6" s="127">
        <f>Summary!M26</f>
        <v>42775.349450549482</v>
      </c>
      <c r="C6" s="130">
        <f>Summary!M27</f>
        <v>119.48677026939222</v>
      </c>
      <c r="D6" s="129"/>
    </row>
    <row r="7" spans="1:9">
      <c r="A7" s="126" t="s">
        <v>132</v>
      </c>
      <c r="B7" s="127">
        <f>Summary!M36</f>
        <v>166068</v>
      </c>
      <c r="C7" s="128"/>
      <c r="D7" s="129"/>
    </row>
    <row r="8" spans="1:9" ht="13">
      <c r="A8" s="131" t="s">
        <v>133</v>
      </c>
      <c r="B8" s="132">
        <f>SUM(B2:B7)</f>
        <v>279355832.89782393</v>
      </c>
      <c r="C8" s="132">
        <f>SUM(C2:C7)</f>
        <v>281676.515389262</v>
      </c>
      <c r="D8" s="132"/>
      <c r="I8" s="117"/>
    </row>
    <row r="9" spans="1:9">
      <c r="I9" s="117"/>
    </row>
    <row r="11" spans="1:9" ht="13">
      <c r="A11" s="124" t="s">
        <v>134</v>
      </c>
      <c r="B11" s="434" t="s">
        <v>162</v>
      </c>
      <c r="C11" s="436" t="s">
        <v>163</v>
      </c>
      <c r="D11" s="133"/>
      <c r="E11" s="134"/>
      <c r="F11" s="135"/>
    </row>
    <row r="12" spans="1:9" ht="13">
      <c r="A12" s="136" t="s">
        <v>135</v>
      </c>
      <c r="B12" s="435"/>
      <c r="C12" s="437"/>
      <c r="D12" s="438">
        <v>2019</v>
      </c>
      <c r="E12" s="439"/>
      <c r="F12" s="440"/>
    </row>
    <row r="13" spans="1:9">
      <c r="A13" s="137" t="s">
        <v>108</v>
      </c>
      <c r="B13" s="127">
        <f t="shared" ref="B13:B18" si="0">B2*D2</f>
        <v>0</v>
      </c>
      <c r="C13" s="138"/>
      <c r="D13" s="139">
        <f t="shared" ref="D13:D18" si="1">B13*C13</f>
        <v>0</v>
      </c>
      <c r="E13" s="140"/>
      <c r="F13" s="141">
        <f t="shared" ref="F13:F18" si="2">D13*E13</f>
        <v>0</v>
      </c>
    </row>
    <row r="14" spans="1:9">
      <c r="A14" s="137" t="s">
        <v>129</v>
      </c>
      <c r="B14" s="127">
        <f t="shared" si="0"/>
        <v>0</v>
      </c>
      <c r="C14" s="138"/>
      <c r="D14" s="139">
        <f t="shared" si="1"/>
        <v>0</v>
      </c>
      <c r="E14" s="140"/>
      <c r="F14" s="141">
        <f t="shared" si="2"/>
        <v>0</v>
      </c>
    </row>
    <row r="15" spans="1:9">
      <c r="A15" s="137" t="s">
        <v>130</v>
      </c>
      <c r="B15" s="127">
        <f t="shared" si="0"/>
        <v>0</v>
      </c>
      <c r="C15" s="138"/>
      <c r="D15" s="139">
        <f t="shared" si="1"/>
        <v>0</v>
      </c>
      <c r="E15" s="140"/>
      <c r="F15" s="141">
        <f t="shared" si="2"/>
        <v>0</v>
      </c>
    </row>
    <row r="16" spans="1:9">
      <c r="A16" s="137" t="s">
        <v>109</v>
      </c>
      <c r="B16" s="127">
        <f t="shared" si="0"/>
        <v>0</v>
      </c>
      <c r="C16" s="138"/>
      <c r="D16" s="139">
        <f t="shared" si="1"/>
        <v>0</v>
      </c>
      <c r="E16" s="140"/>
      <c r="F16" s="141">
        <f t="shared" si="2"/>
        <v>0</v>
      </c>
    </row>
    <row r="17" spans="1:6">
      <c r="A17" s="137" t="s">
        <v>131</v>
      </c>
      <c r="B17" s="127">
        <f t="shared" si="0"/>
        <v>0</v>
      </c>
      <c r="C17" s="138"/>
      <c r="D17" s="139">
        <f t="shared" si="1"/>
        <v>0</v>
      </c>
      <c r="E17" s="140"/>
      <c r="F17" s="141">
        <f t="shared" si="2"/>
        <v>0</v>
      </c>
    </row>
    <row r="18" spans="1:6">
      <c r="A18" s="137" t="s">
        <v>132</v>
      </c>
      <c r="B18" s="127">
        <f t="shared" si="0"/>
        <v>0</v>
      </c>
      <c r="C18" s="138"/>
      <c r="D18" s="139">
        <f t="shared" si="1"/>
        <v>0</v>
      </c>
      <c r="E18" s="140"/>
      <c r="F18" s="141">
        <f t="shared" si="2"/>
        <v>0</v>
      </c>
    </row>
    <row r="19" spans="1:6" ht="13">
      <c r="A19" s="131" t="s">
        <v>133</v>
      </c>
      <c r="B19" s="132">
        <f>SUM(B13:B18)</f>
        <v>0</v>
      </c>
      <c r="C19" s="136"/>
      <c r="D19" s="132">
        <f>SUM(D13:D18)</f>
        <v>0</v>
      </c>
      <c r="E19" s="142"/>
      <c r="F19" s="143">
        <f>SUM(F13:F18)</f>
        <v>0</v>
      </c>
    </row>
    <row r="20" spans="1:6" ht="13">
      <c r="A20" s="144"/>
      <c r="B20" s="145"/>
      <c r="C20" s="146"/>
      <c r="D20" s="145"/>
      <c r="E20" s="147"/>
      <c r="F20" s="148"/>
    </row>
    <row r="21" spans="1:6" ht="13">
      <c r="A21" s="124" t="s">
        <v>136</v>
      </c>
      <c r="B21" s="434" t="s">
        <v>162</v>
      </c>
      <c r="C21" s="436" t="s">
        <v>163</v>
      </c>
      <c r="D21" s="133"/>
      <c r="E21" s="134"/>
      <c r="F21" s="135"/>
    </row>
    <row r="22" spans="1:6" ht="13">
      <c r="A22" s="136" t="s">
        <v>137</v>
      </c>
      <c r="B22" s="435"/>
      <c r="C22" s="437"/>
      <c r="D22" s="438">
        <v>2019</v>
      </c>
      <c r="E22" s="439"/>
      <c r="F22" s="440"/>
    </row>
    <row r="23" spans="1:6">
      <c r="A23" s="137" t="s">
        <v>108</v>
      </c>
      <c r="B23" s="127">
        <f t="shared" ref="B23:B28" si="3">B2-B13</f>
        <v>104688526.15422076</v>
      </c>
      <c r="C23" s="128">
        <f>C13</f>
        <v>0</v>
      </c>
      <c r="D23" s="139">
        <f t="shared" ref="D23:D28" si="4">B23*C23</f>
        <v>0</v>
      </c>
      <c r="E23" s="140"/>
      <c r="F23" s="141">
        <f t="shared" ref="F23:F28" si="5">D23*E23</f>
        <v>0</v>
      </c>
    </row>
    <row r="24" spans="1:6">
      <c r="A24" s="137" t="s">
        <v>129</v>
      </c>
      <c r="B24" s="127">
        <f t="shared" si="3"/>
        <v>58782610.726187877</v>
      </c>
      <c r="C24" s="128">
        <f>C23</f>
        <v>0</v>
      </c>
      <c r="D24" s="139">
        <f t="shared" si="4"/>
        <v>0</v>
      </c>
      <c r="E24" s="140"/>
      <c r="F24" s="141">
        <f t="shared" si="5"/>
        <v>0</v>
      </c>
    </row>
    <row r="25" spans="1:6">
      <c r="A25" s="137" t="s">
        <v>130</v>
      </c>
      <c r="B25" s="127">
        <f t="shared" si="3"/>
        <v>114521128.4638157</v>
      </c>
      <c r="C25" s="128">
        <f>C24</f>
        <v>0</v>
      </c>
      <c r="D25" s="139">
        <f t="shared" si="4"/>
        <v>0</v>
      </c>
      <c r="E25" s="140"/>
      <c r="F25" s="141">
        <f t="shared" si="5"/>
        <v>0</v>
      </c>
    </row>
    <row r="26" spans="1:6">
      <c r="A26" s="137" t="s">
        <v>109</v>
      </c>
      <c r="B26" s="127">
        <f t="shared" si="3"/>
        <v>1154724.2041490464</v>
      </c>
      <c r="C26" s="128">
        <f>C25</f>
        <v>0</v>
      </c>
      <c r="D26" s="139">
        <f t="shared" si="4"/>
        <v>0</v>
      </c>
      <c r="E26" s="140"/>
      <c r="F26" s="141">
        <f t="shared" si="5"/>
        <v>0</v>
      </c>
    </row>
    <row r="27" spans="1:6">
      <c r="A27" s="137" t="s">
        <v>131</v>
      </c>
      <c r="B27" s="127">
        <f t="shared" si="3"/>
        <v>42775.349450549482</v>
      </c>
      <c r="C27" s="128">
        <f>C26</f>
        <v>0</v>
      </c>
      <c r="D27" s="139">
        <f t="shared" si="4"/>
        <v>0</v>
      </c>
      <c r="E27" s="140"/>
      <c r="F27" s="141">
        <f t="shared" si="5"/>
        <v>0</v>
      </c>
    </row>
    <row r="28" spans="1:6">
      <c r="A28" s="137" t="s">
        <v>132</v>
      </c>
      <c r="B28" s="127">
        <f t="shared" si="3"/>
        <v>166068</v>
      </c>
      <c r="C28" s="128">
        <f>C27</f>
        <v>0</v>
      </c>
      <c r="D28" s="139">
        <f t="shared" si="4"/>
        <v>0</v>
      </c>
      <c r="E28" s="140"/>
      <c r="F28" s="141">
        <f t="shared" si="5"/>
        <v>0</v>
      </c>
    </row>
    <row r="29" spans="1:6" ht="13">
      <c r="A29" s="131" t="s">
        <v>133</v>
      </c>
      <c r="B29" s="132">
        <f>SUM(B23:B28)</f>
        <v>279355832.89782393</v>
      </c>
      <c r="C29" s="136"/>
      <c r="D29" s="132">
        <f>SUM(D23:D28)</f>
        <v>0</v>
      </c>
      <c r="E29" s="142"/>
      <c r="F29" s="143">
        <f>SUM(F23:F28)</f>
        <v>0</v>
      </c>
    </row>
    <row r="31" spans="1:6" ht="13">
      <c r="A31" s="149" t="s">
        <v>138</v>
      </c>
      <c r="B31" s="150"/>
      <c r="C31" s="151" t="s">
        <v>139</v>
      </c>
      <c r="D31" s="152"/>
      <c r="E31" s="153"/>
      <c r="F31" s="150"/>
    </row>
    <row r="32" spans="1:6" ht="13">
      <c r="A32" s="136" t="s">
        <v>137</v>
      </c>
      <c r="B32" s="182"/>
      <c r="C32" s="155" t="s">
        <v>140</v>
      </c>
      <c r="D32" s="429">
        <v>2019</v>
      </c>
      <c r="E32" s="430"/>
      <c r="F32" s="431"/>
    </row>
    <row r="33" spans="1:8">
      <c r="A33" s="156" t="s">
        <v>108</v>
      </c>
      <c r="B33" s="139"/>
      <c r="C33" s="157" t="s">
        <v>107</v>
      </c>
      <c r="D33" s="139">
        <f>D13+D23</f>
        <v>0</v>
      </c>
      <c r="E33" s="158"/>
      <c r="F33" s="141">
        <f t="shared" ref="F33:F38" si="6">D33*E33</f>
        <v>0</v>
      </c>
    </row>
    <row r="34" spans="1:8">
      <c r="A34" s="156" t="s">
        <v>129</v>
      </c>
      <c r="B34" s="139"/>
      <c r="C34" s="157" t="s">
        <v>128</v>
      </c>
      <c r="D34" s="139">
        <f>D14+D24</f>
        <v>0</v>
      </c>
      <c r="E34" s="158"/>
      <c r="F34" s="141">
        <f t="shared" si="6"/>
        <v>0</v>
      </c>
    </row>
    <row r="35" spans="1:8">
      <c r="A35" s="156" t="s">
        <v>130</v>
      </c>
      <c r="B35" s="139"/>
      <c r="C35" s="157" t="s">
        <v>128</v>
      </c>
      <c r="D35" s="139">
        <f>C4</f>
        <v>278374.18831233855</v>
      </c>
      <c r="E35" s="158"/>
      <c r="F35" s="141">
        <f t="shared" si="6"/>
        <v>0</v>
      </c>
    </row>
    <row r="36" spans="1:8">
      <c r="A36" s="156" t="s">
        <v>109</v>
      </c>
      <c r="B36" s="139"/>
      <c r="C36" s="157" t="s">
        <v>107</v>
      </c>
      <c r="D36" s="139">
        <f>C5</f>
        <v>3182.8403066540436</v>
      </c>
      <c r="E36" s="158"/>
      <c r="F36" s="141">
        <f t="shared" si="6"/>
        <v>0</v>
      </c>
      <c r="H36" s="116"/>
    </row>
    <row r="37" spans="1:8">
      <c r="A37" s="156" t="s">
        <v>131</v>
      </c>
      <c r="B37" s="139"/>
      <c r="C37" s="157" t="s">
        <v>128</v>
      </c>
      <c r="D37" s="139">
        <f>C6</f>
        <v>119.48677026939222</v>
      </c>
      <c r="E37" s="158"/>
      <c r="F37" s="141">
        <f t="shared" si="6"/>
        <v>0</v>
      </c>
    </row>
    <row r="38" spans="1:8">
      <c r="A38" s="156" t="s">
        <v>132</v>
      </c>
      <c r="B38" s="139"/>
      <c r="C38" s="157" t="s">
        <v>128</v>
      </c>
      <c r="D38" s="139">
        <f>D18+D28</f>
        <v>0</v>
      </c>
      <c r="E38" s="158"/>
      <c r="F38" s="141">
        <f t="shared" si="6"/>
        <v>0</v>
      </c>
    </row>
    <row r="39" spans="1:8" ht="13">
      <c r="A39" s="131" t="s">
        <v>133</v>
      </c>
      <c r="B39" s="132"/>
      <c r="C39" s="136"/>
      <c r="D39" s="132"/>
      <c r="E39" s="142"/>
      <c r="F39" s="159">
        <f>SUM(F33:F38)</f>
        <v>0</v>
      </c>
    </row>
    <row r="41" spans="1:8" ht="13">
      <c r="A41" s="149" t="s">
        <v>141</v>
      </c>
      <c r="B41" s="150"/>
      <c r="C41" s="160" t="s">
        <v>139</v>
      </c>
      <c r="D41" s="152"/>
      <c r="E41" s="153"/>
      <c r="F41" s="150"/>
    </row>
    <row r="42" spans="1:8" ht="13">
      <c r="A42" s="136" t="s">
        <v>137</v>
      </c>
      <c r="B42" s="182"/>
      <c r="C42" s="161" t="s">
        <v>140</v>
      </c>
      <c r="D42" s="429">
        <v>2019</v>
      </c>
      <c r="E42" s="430"/>
      <c r="F42" s="431"/>
    </row>
    <row r="43" spans="1:8">
      <c r="A43" s="156" t="s">
        <v>108</v>
      </c>
      <c r="B43" s="139"/>
      <c r="C43" s="157" t="s">
        <v>107</v>
      </c>
      <c r="D43" s="139">
        <f t="shared" ref="D43:D48" si="7">D33</f>
        <v>0</v>
      </c>
      <c r="E43" s="158"/>
      <c r="F43" s="141">
        <f t="shared" ref="F43:F48" si="8">D43*E43</f>
        <v>0</v>
      </c>
    </row>
    <row r="44" spans="1:8">
      <c r="A44" s="156" t="s">
        <v>129</v>
      </c>
      <c r="B44" s="139"/>
      <c r="C44" s="157" t="s">
        <v>128</v>
      </c>
      <c r="D44" s="139">
        <f t="shared" si="7"/>
        <v>0</v>
      </c>
      <c r="E44" s="158"/>
      <c r="F44" s="141">
        <f t="shared" si="8"/>
        <v>0</v>
      </c>
    </row>
    <row r="45" spans="1:8">
      <c r="A45" s="156" t="s">
        <v>130</v>
      </c>
      <c r="B45" s="139"/>
      <c r="C45" s="157" t="s">
        <v>128</v>
      </c>
      <c r="D45" s="139">
        <f t="shared" si="7"/>
        <v>278374.18831233855</v>
      </c>
      <c r="E45" s="158"/>
      <c r="F45" s="141">
        <f t="shared" si="8"/>
        <v>0</v>
      </c>
    </row>
    <row r="46" spans="1:8">
      <c r="A46" s="156" t="s">
        <v>109</v>
      </c>
      <c r="B46" s="139"/>
      <c r="C46" s="157" t="s">
        <v>107</v>
      </c>
      <c r="D46" s="139">
        <f t="shared" si="7"/>
        <v>3182.8403066540436</v>
      </c>
      <c r="E46" s="158"/>
      <c r="F46" s="141">
        <f t="shared" si="8"/>
        <v>0</v>
      </c>
    </row>
    <row r="47" spans="1:8">
      <c r="A47" s="156" t="s">
        <v>131</v>
      </c>
      <c r="B47" s="139"/>
      <c r="C47" s="157" t="s">
        <v>128</v>
      </c>
      <c r="D47" s="139">
        <f t="shared" si="7"/>
        <v>119.48677026939222</v>
      </c>
      <c r="E47" s="158"/>
      <c r="F47" s="141">
        <f t="shared" si="8"/>
        <v>0</v>
      </c>
    </row>
    <row r="48" spans="1:8">
      <c r="A48" s="156" t="s">
        <v>132</v>
      </c>
      <c r="B48" s="139"/>
      <c r="C48" s="157" t="s">
        <v>128</v>
      </c>
      <c r="D48" s="139">
        <f t="shared" si="7"/>
        <v>0</v>
      </c>
      <c r="E48" s="158"/>
      <c r="F48" s="141">
        <f t="shared" si="8"/>
        <v>0</v>
      </c>
    </row>
    <row r="49" spans="1:6" ht="13">
      <c r="A49" s="131" t="s">
        <v>133</v>
      </c>
      <c r="B49" s="132"/>
      <c r="C49" s="136"/>
      <c r="D49" s="132"/>
      <c r="E49" s="142"/>
      <c r="F49" s="159">
        <f>SUM(F43:F48)</f>
        <v>0</v>
      </c>
    </row>
    <row r="51" spans="1:6" ht="13">
      <c r="A51" s="149" t="s">
        <v>142</v>
      </c>
      <c r="B51" s="150"/>
      <c r="C51" s="160"/>
      <c r="D51" s="152"/>
      <c r="E51" s="153"/>
      <c r="F51" s="150"/>
    </row>
    <row r="52" spans="1:6" ht="13">
      <c r="A52" s="136" t="s">
        <v>137</v>
      </c>
      <c r="B52" s="182"/>
      <c r="C52" s="161"/>
      <c r="D52" s="429">
        <v>2019</v>
      </c>
      <c r="E52" s="430"/>
      <c r="F52" s="432"/>
    </row>
    <row r="53" spans="1:6">
      <c r="A53" s="156" t="s">
        <v>108</v>
      </c>
      <c r="B53" s="139"/>
      <c r="C53" s="157"/>
      <c r="D53" s="139">
        <f t="shared" ref="D53:D58" si="9">D13+D23</f>
        <v>0</v>
      </c>
      <c r="E53" s="158"/>
      <c r="F53" s="141">
        <f t="shared" ref="F53:F58" si="10">D53*E53</f>
        <v>0</v>
      </c>
    </row>
    <row r="54" spans="1:6">
      <c r="A54" s="156" t="s">
        <v>129</v>
      </c>
      <c r="B54" s="139"/>
      <c r="C54" s="157"/>
      <c r="D54" s="139">
        <f t="shared" si="9"/>
        <v>0</v>
      </c>
      <c r="E54" s="158"/>
      <c r="F54" s="141">
        <f t="shared" si="10"/>
        <v>0</v>
      </c>
    </row>
    <row r="55" spans="1:6">
      <c r="A55" s="156" t="s">
        <v>130</v>
      </c>
      <c r="B55" s="139"/>
      <c r="C55" s="157"/>
      <c r="D55" s="139">
        <f t="shared" si="9"/>
        <v>0</v>
      </c>
      <c r="E55" s="158"/>
      <c r="F55" s="141">
        <f t="shared" si="10"/>
        <v>0</v>
      </c>
    </row>
    <row r="56" spans="1:6">
      <c r="A56" s="156" t="s">
        <v>109</v>
      </c>
      <c r="B56" s="139"/>
      <c r="C56" s="157"/>
      <c r="D56" s="139">
        <f t="shared" si="9"/>
        <v>0</v>
      </c>
      <c r="E56" s="158"/>
      <c r="F56" s="141">
        <f t="shared" si="10"/>
        <v>0</v>
      </c>
    </row>
    <row r="57" spans="1:6">
      <c r="A57" s="156" t="s">
        <v>131</v>
      </c>
      <c r="B57" s="139"/>
      <c r="C57" s="157"/>
      <c r="D57" s="139">
        <f t="shared" si="9"/>
        <v>0</v>
      </c>
      <c r="E57" s="158"/>
      <c r="F57" s="141">
        <f t="shared" si="10"/>
        <v>0</v>
      </c>
    </row>
    <row r="58" spans="1:6">
      <c r="A58" s="156" t="s">
        <v>132</v>
      </c>
      <c r="B58" s="139"/>
      <c r="C58" s="157"/>
      <c r="D58" s="139">
        <f t="shared" si="9"/>
        <v>0</v>
      </c>
      <c r="E58" s="158"/>
      <c r="F58" s="141">
        <f t="shared" si="10"/>
        <v>0</v>
      </c>
    </row>
    <row r="59" spans="1:6" ht="13">
      <c r="A59" s="131" t="s">
        <v>133</v>
      </c>
      <c r="B59" s="132"/>
      <c r="C59" s="136"/>
      <c r="D59" s="132">
        <f>SUM(D53:D58)</f>
        <v>0</v>
      </c>
      <c r="E59" s="142"/>
      <c r="F59" s="159">
        <f>SUM(F53:F58)</f>
        <v>0</v>
      </c>
    </row>
    <row r="61" spans="1:6" ht="13">
      <c r="A61" s="149" t="s">
        <v>143</v>
      </c>
      <c r="B61" s="150"/>
      <c r="C61" s="160"/>
      <c r="D61" s="152"/>
      <c r="E61" s="153"/>
      <c r="F61" s="150"/>
    </row>
    <row r="62" spans="1:6" ht="13">
      <c r="A62" s="136" t="s">
        <v>137</v>
      </c>
      <c r="B62" s="182"/>
      <c r="C62" s="161"/>
      <c r="D62" s="433">
        <v>2019</v>
      </c>
      <c r="E62" s="430"/>
      <c r="F62" s="431"/>
    </row>
    <row r="63" spans="1:6">
      <c r="A63" s="156" t="s">
        <v>108</v>
      </c>
      <c r="B63" s="139"/>
      <c r="C63" s="157"/>
      <c r="D63" s="139">
        <f t="shared" ref="D63:D68" si="11">D53</f>
        <v>0</v>
      </c>
      <c r="E63" s="158"/>
      <c r="F63" s="141">
        <f t="shared" ref="F63:F68" si="12">D63*E63</f>
        <v>0</v>
      </c>
    </row>
    <row r="64" spans="1:6">
      <c r="A64" s="156" t="s">
        <v>129</v>
      </c>
      <c r="B64" s="139"/>
      <c r="C64" s="157"/>
      <c r="D64" s="139">
        <f t="shared" si="11"/>
        <v>0</v>
      </c>
      <c r="E64" s="158"/>
      <c r="F64" s="141">
        <f t="shared" si="12"/>
        <v>0</v>
      </c>
    </row>
    <row r="65" spans="1:6">
      <c r="A65" s="156" t="s">
        <v>130</v>
      </c>
      <c r="B65" s="139"/>
      <c r="C65" s="157"/>
      <c r="D65" s="139">
        <f t="shared" si="11"/>
        <v>0</v>
      </c>
      <c r="E65" s="158"/>
      <c r="F65" s="141">
        <f t="shared" si="12"/>
        <v>0</v>
      </c>
    </row>
    <row r="66" spans="1:6">
      <c r="A66" s="156" t="s">
        <v>109</v>
      </c>
      <c r="B66" s="139"/>
      <c r="C66" s="157"/>
      <c r="D66" s="139">
        <f t="shared" si="11"/>
        <v>0</v>
      </c>
      <c r="E66" s="158"/>
      <c r="F66" s="141">
        <f t="shared" si="12"/>
        <v>0</v>
      </c>
    </row>
    <row r="67" spans="1:6">
      <c r="A67" s="156" t="s">
        <v>131</v>
      </c>
      <c r="B67" s="139"/>
      <c r="C67" s="157"/>
      <c r="D67" s="139">
        <f t="shared" si="11"/>
        <v>0</v>
      </c>
      <c r="E67" s="158"/>
      <c r="F67" s="141">
        <f t="shared" si="12"/>
        <v>0</v>
      </c>
    </row>
    <row r="68" spans="1:6">
      <c r="A68" s="156" t="s">
        <v>132</v>
      </c>
      <c r="B68" s="139"/>
      <c r="C68" s="157"/>
      <c r="D68" s="139">
        <f t="shared" si="11"/>
        <v>0</v>
      </c>
      <c r="E68" s="158"/>
      <c r="F68" s="141">
        <f t="shared" si="12"/>
        <v>0</v>
      </c>
    </row>
    <row r="69" spans="1:6" ht="13">
      <c r="A69" s="131" t="s">
        <v>133</v>
      </c>
      <c r="B69" s="132"/>
      <c r="C69" s="136"/>
      <c r="D69" s="132">
        <f>SUM(D63:D68)</f>
        <v>0</v>
      </c>
      <c r="E69" s="142"/>
      <c r="F69" s="159">
        <f>SUM(F63:F68)</f>
        <v>0</v>
      </c>
    </row>
    <row r="71" spans="1:6" ht="13">
      <c r="A71" s="162"/>
      <c r="B71" s="163">
        <v>2019</v>
      </c>
    </row>
    <row r="72" spans="1:6">
      <c r="A72" s="162"/>
      <c r="B72" s="164"/>
    </row>
    <row r="73" spans="1:6">
      <c r="A73" s="165" t="s">
        <v>144</v>
      </c>
      <c r="B73" s="166">
        <f>F19+F29</f>
        <v>0</v>
      </c>
    </row>
    <row r="74" spans="1:6">
      <c r="A74" s="165" t="s">
        <v>145</v>
      </c>
      <c r="B74" s="167">
        <f>F59</f>
        <v>0</v>
      </c>
    </row>
    <row r="75" spans="1:6">
      <c r="A75" s="165" t="s">
        <v>146</v>
      </c>
      <c r="B75" s="167">
        <f>F39</f>
        <v>0</v>
      </c>
    </row>
    <row r="76" spans="1:6">
      <c r="A76" s="165" t="s">
        <v>147</v>
      </c>
      <c r="B76" s="167">
        <f>F49</f>
        <v>0</v>
      </c>
    </row>
    <row r="77" spans="1:6">
      <c r="A77" s="165" t="s">
        <v>148</v>
      </c>
      <c r="B77" s="167">
        <f>F69</f>
        <v>0</v>
      </c>
    </row>
    <row r="78" spans="1:6">
      <c r="A78" s="165" t="s">
        <v>149</v>
      </c>
      <c r="B78" s="168"/>
    </row>
    <row r="79" spans="1:6">
      <c r="A79" s="165" t="s">
        <v>160</v>
      </c>
      <c r="B79" s="168"/>
    </row>
    <row r="80" spans="1:6" ht="13">
      <c r="A80" s="133" t="s">
        <v>133</v>
      </c>
      <c r="B80" s="132">
        <f>SUM(B73:B78)</f>
        <v>0</v>
      </c>
    </row>
  </sheetData>
  <mergeCells count="10">
    <mergeCell ref="D32:F32"/>
    <mergeCell ref="D42:F42"/>
    <mergeCell ref="D52:F52"/>
    <mergeCell ref="D62:F62"/>
    <mergeCell ref="B11:B12"/>
    <mergeCell ref="C11:C12"/>
    <mergeCell ref="D12:F12"/>
    <mergeCell ref="B21:B22"/>
    <mergeCell ref="C21:C22"/>
    <mergeCell ref="D22:F22"/>
  </mergeCells>
  <pageMargins left="0.7" right="0.7" top="0.75" bottom="0.75" header="0.3" footer="0.3"/>
  <pageSetup orientation="portrait"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54"/>
  <sheetViews>
    <sheetView workbookViewId="0">
      <pane xSplit="1" ySplit="3" topLeftCell="B4" activePane="bottomRight" state="frozen"/>
      <selection pane="topRight" activeCell="B1" sqref="B1"/>
      <selection pane="bottomLeft" activeCell="A4" sqref="A4"/>
      <selection pane="bottomRight" activeCell="G12" sqref="G12"/>
    </sheetView>
  </sheetViews>
  <sheetFormatPr defaultRowHeight="12.5"/>
  <cols>
    <col min="1" max="1" width="32.81640625" customWidth="1"/>
    <col min="2" max="2" width="12.81640625" style="1" bestFit="1" customWidth="1"/>
    <col min="3" max="5" width="12.81640625" style="1" customWidth="1"/>
    <col min="6" max="10" width="12.81640625" style="110" customWidth="1"/>
    <col min="11" max="11" width="13" style="24" customWidth="1"/>
    <col min="12" max="12" width="13" style="1" customWidth="1"/>
    <col min="13" max="13" width="12.81640625" customWidth="1"/>
  </cols>
  <sheetData>
    <row r="1" spans="1:13" ht="15.5">
      <c r="A1" s="44" t="s">
        <v>156</v>
      </c>
    </row>
    <row r="2" spans="1:13">
      <c r="E2" s="6"/>
      <c r="F2" s="6"/>
      <c r="G2" s="6"/>
      <c r="H2" s="6"/>
      <c r="I2" s="6"/>
      <c r="J2" s="6"/>
      <c r="K2" s="6"/>
      <c r="L2" s="98"/>
    </row>
    <row r="3" spans="1:13" ht="39">
      <c r="B3" s="46" t="s">
        <v>59</v>
      </c>
      <c r="C3" s="46" t="s">
        <v>62</v>
      </c>
      <c r="D3" s="46" t="s">
        <v>67</v>
      </c>
      <c r="E3" s="46" t="s">
        <v>71</v>
      </c>
      <c r="F3" s="46" t="s">
        <v>122</v>
      </c>
      <c r="G3" s="46" t="s">
        <v>123</v>
      </c>
      <c r="H3" s="46" t="s">
        <v>124</v>
      </c>
      <c r="I3" s="46" t="s">
        <v>125</v>
      </c>
      <c r="J3" s="46" t="s">
        <v>126</v>
      </c>
      <c r="K3" s="46" t="s">
        <v>155</v>
      </c>
      <c r="L3" s="46" t="s">
        <v>127</v>
      </c>
      <c r="M3" s="58" t="s">
        <v>154</v>
      </c>
    </row>
    <row r="4" spans="1:13" ht="13">
      <c r="A4" s="20" t="s">
        <v>52</v>
      </c>
      <c r="B4" s="30">
        <f>'Purchased Power Model '!B151</f>
        <v>326411407.022681</v>
      </c>
      <c r="C4" s="30">
        <f>'Purchased Power Model '!B152</f>
        <v>318733350.66887528</v>
      </c>
      <c r="D4" s="30">
        <f>'Purchased Power Model '!B153</f>
        <v>311592501.22999996</v>
      </c>
      <c r="E4" s="30">
        <f>'Purchased Power Model '!B154</f>
        <v>312740386.70999998</v>
      </c>
      <c r="F4" s="30">
        <f>'Purchased Power Model '!B155</f>
        <v>309445216.88000005</v>
      </c>
      <c r="G4" s="30">
        <f>'Purchased Power Model '!B156</f>
        <v>315512631.28999996</v>
      </c>
      <c r="H4" s="30">
        <f>'Purchased Power Model '!B157</f>
        <v>319149657</v>
      </c>
      <c r="I4" s="30">
        <f>'Purchased Power Model '!B158</f>
        <v>308961454</v>
      </c>
      <c r="J4" s="30">
        <f>'Rate Class Energy Model'!B15</f>
        <v>302232068</v>
      </c>
      <c r="K4" s="30">
        <f>'Rate Class Energy Model'!B16</f>
        <v>297287399</v>
      </c>
    </row>
    <row r="5" spans="1:13" ht="13">
      <c r="A5" s="20" t="s">
        <v>53</v>
      </c>
      <c r="B5" s="30">
        <f>'Rate Class Energy Model'!C7</f>
        <v>323310399.68448436</v>
      </c>
      <c r="C5" s="30">
        <f>'Rate Class Energy Model'!C8</f>
        <v>318072144.9707039</v>
      </c>
      <c r="D5" s="30">
        <f>'Rate Class Energy Model'!C9</f>
        <v>314109287.96190065</v>
      </c>
      <c r="E5" s="30">
        <f>'Rate Class Energy Model'!C10</f>
        <v>312681991.19873762</v>
      </c>
      <c r="F5" s="6">
        <f>'Rate Class Energy Model'!C11</f>
        <v>310972360.0762741</v>
      </c>
      <c r="G5" s="6">
        <f>'Rate Class Energy Model'!C12</f>
        <v>312063888.01504695</v>
      </c>
      <c r="H5" s="6">
        <f>'Rate Class Energy Model'!C13</f>
        <v>315256865.74267906</v>
      </c>
      <c r="I5" s="6">
        <f>'Rate Class Energy Model'!C14</f>
        <v>310181325.00870436</v>
      </c>
      <c r="J5" s="6">
        <f>'Rate Class Energy Model'!C15</f>
        <v>305377241.82675278</v>
      </c>
      <c r="K5" s="6">
        <f>'Rate Class Energy Model'!C16</f>
        <v>300040567.3162716</v>
      </c>
      <c r="L5" s="6">
        <f>'Rate Class Energy Model'!C17</f>
        <v>303681258.80928487</v>
      </c>
      <c r="M5" s="171">
        <f>'Rate Class Energy Model'!C18</f>
        <v>303754462.5616833</v>
      </c>
    </row>
    <row r="6" spans="1:13" ht="13">
      <c r="A6" s="20" t="s">
        <v>9</v>
      </c>
      <c r="B6" s="45">
        <f t="shared" ref="B6:K6" si="0">(B5-B4)/B4</f>
        <v>-9.5003032108530415E-3</v>
      </c>
      <c r="C6" s="45">
        <f t="shared" si="0"/>
        <v>-2.0744791744692214E-3</v>
      </c>
      <c r="D6" s="45">
        <f t="shared" si="0"/>
        <v>8.0771736224901722E-3</v>
      </c>
      <c r="E6" s="45">
        <f t="shared" si="0"/>
        <v>-1.8672200247838992E-4</v>
      </c>
      <c r="F6" s="45">
        <f t="shared" si="0"/>
        <v>4.9351003440012906E-3</v>
      </c>
      <c r="G6" s="45">
        <f t="shared" si="0"/>
        <v>-1.0930602875873876E-2</v>
      </c>
      <c r="H6" s="45">
        <f t="shared" si="0"/>
        <v>-1.2197385057258391E-2</v>
      </c>
      <c r="I6" s="45">
        <f t="shared" si="0"/>
        <v>3.9482951446246249E-3</v>
      </c>
      <c r="J6" s="45">
        <f t="shared" si="0"/>
        <v>1.0406486140156318E-2</v>
      </c>
      <c r="K6" s="45">
        <f t="shared" si="0"/>
        <v>9.2609654009304411E-3</v>
      </c>
    </row>
    <row r="7" spans="1:13" ht="13">
      <c r="A7" s="20"/>
      <c r="B7" s="42"/>
      <c r="C7" s="42"/>
      <c r="D7" s="42"/>
      <c r="E7" s="42"/>
      <c r="I7" s="42"/>
      <c r="J7" s="42"/>
      <c r="K7" s="59"/>
    </row>
    <row r="8" spans="1:13" ht="13">
      <c r="A8" s="20" t="s">
        <v>55</v>
      </c>
      <c r="B8" s="30">
        <f>'Rate Class Energy Model'!G7</f>
        <v>308395574.41958809</v>
      </c>
      <c r="C8" s="30">
        <f>'Rate Class Energy Model'!G8</f>
        <v>298927028.43155861</v>
      </c>
      <c r="D8" s="30">
        <f>'Rate Class Energy Model'!G9</f>
        <v>290638429.17956167</v>
      </c>
      <c r="E8" s="30">
        <f>'Rate Class Energy Model'!G10</f>
        <v>290464652.19830436</v>
      </c>
      <c r="F8" s="30">
        <f>'Rate Class Energy Model'!G11</f>
        <v>288106900.02753538</v>
      </c>
      <c r="G8" s="30">
        <f>'Rate Class Energy Model'!G12</f>
        <v>293263621.05207425</v>
      </c>
      <c r="H8" s="30">
        <f>'Rate Class Energy Model'!G13</f>
        <v>297398397.24340039</v>
      </c>
      <c r="I8" s="30">
        <f>'Rate Class Energy Model'!G14</f>
        <v>288752254.73999995</v>
      </c>
      <c r="J8" s="30">
        <f>'Rate Class Energy Model'!G15</f>
        <v>280505070.49164295</v>
      </c>
      <c r="K8" s="30">
        <f>'Rate Class Energy Model'!G16</f>
        <v>278833243.44205451</v>
      </c>
      <c r="L8" s="60">
        <f>'Rate Class Energy Model'!N57</f>
        <v>281828948.00140458</v>
      </c>
      <c r="M8" s="60">
        <f>'Rate Class Energy Model'!N58</f>
        <v>279355832.89782393</v>
      </c>
    </row>
    <row r="9" spans="1:13" ht="13">
      <c r="A9" s="20"/>
      <c r="C9" s="24"/>
      <c r="D9" s="24"/>
    </row>
    <row r="10" spans="1:13" ht="15.5">
      <c r="A10" s="44" t="s">
        <v>54</v>
      </c>
    </row>
    <row r="11" spans="1:13" ht="13">
      <c r="A11" s="43" t="str">
        <f>'Rate Class Energy Model'!H2</f>
        <v xml:space="preserve">Residential </v>
      </c>
    </row>
    <row r="12" spans="1:13">
      <c r="A12" t="s">
        <v>47</v>
      </c>
      <c r="B12" s="6">
        <f>'Rate Class Customer Model'!B3</f>
        <v>10232.5</v>
      </c>
      <c r="C12" s="6">
        <f>'Rate Class Customer Model'!B4</f>
        <v>10399.583333333334</v>
      </c>
      <c r="D12" s="6">
        <f>'Rate Class Customer Model'!B5</f>
        <v>10504.916666666666</v>
      </c>
      <c r="E12" s="6">
        <f>'Rate Class Customer Model'!B6</f>
        <v>10679.25</v>
      </c>
      <c r="F12" s="6">
        <f>'Rate Class Customer Model'!B7</f>
        <v>10800.5</v>
      </c>
      <c r="G12" s="6">
        <f>'Rate Class Customer Model'!B8</f>
        <v>10889.666666666666</v>
      </c>
      <c r="H12" s="6">
        <f>'Rate Class Customer Model'!B9</f>
        <v>10964.083333333334</v>
      </c>
      <c r="I12" s="6">
        <f>'Rate Class Customer Model'!B10</f>
        <v>11020.916666666666</v>
      </c>
      <c r="J12" s="6">
        <f>'Rate Class Customer Model'!B11</f>
        <v>11078.416666666666</v>
      </c>
      <c r="K12" s="6">
        <f>'Rate Class Customer Model'!B12</f>
        <v>11168.75</v>
      </c>
      <c r="L12" s="6">
        <f>'Rate Class Customer Model'!B13</f>
        <v>11208</v>
      </c>
      <c r="M12" s="171">
        <f>'Rate Class Customer Model'!B14</f>
        <v>11208</v>
      </c>
    </row>
    <row r="13" spans="1:13">
      <c r="A13" t="s">
        <v>48</v>
      </c>
      <c r="B13" s="6">
        <f>'Rate Class Energy Model'!H7</f>
        <v>115598926.71887398</v>
      </c>
      <c r="C13" s="6">
        <f>'Rate Class Energy Model'!H8</f>
        <v>114949768.99114111</v>
      </c>
      <c r="D13" s="6">
        <f>'Rate Class Energy Model'!H9</f>
        <v>111140547.82213493</v>
      </c>
      <c r="E13" s="6">
        <f>'Rate Class Energy Model'!H10</f>
        <v>110139623.46165061</v>
      </c>
      <c r="F13" s="6">
        <f>'Rate Class Energy Model'!H11</f>
        <v>107717982.53613377</v>
      </c>
      <c r="G13" s="6">
        <f>'Rate Class Energy Model'!H12</f>
        <v>113520549.72461653</v>
      </c>
      <c r="H13" s="6">
        <f>'Rate Class Energy Model'!H13</f>
        <v>114433382.22499122</v>
      </c>
      <c r="I13" s="6">
        <f>'Rate Class Energy Model'!H14</f>
        <v>108243956.44</v>
      </c>
      <c r="J13" s="6">
        <f>'Rate Class Energy Model'!H15</f>
        <v>104348161.31</v>
      </c>
      <c r="K13" s="181">
        <f>'Rate Class Energy Model'!H16</f>
        <v>103129632.00000001</v>
      </c>
      <c r="L13" s="6">
        <f>'Rate Class Energy Model'!H57</f>
        <v>105412758.65379637</v>
      </c>
      <c r="M13" s="171">
        <f>'Rate Class Energy Model'!H58</f>
        <v>104688526.15422076</v>
      </c>
    </row>
    <row r="14" spans="1:13">
      <c r="B14" s="51"/>
      <c r="C14" s="24"/>
      <c r="D14" s="24"/>
    </row>
    <row r="15" spans="1:13" ht="13">
      <c r="A15" s="43" t="str">
        <f>'Rate Class Energy Model'!I2</f>
        <v>General Service &lt; 50 kW</v>
      </c>
    </row>
    <row r="16" spans="1:13">
      <c r="A16" t="s">
        <v>47</v>
      </c>
      <c r="B16" s="6">
        <f>'Rate Class Customer Model'!C3</f>
        <v>2045.4166666666667</v>
      </c>
      <c r="C16" s="6">
        <f>'Rate Class Customer Model'!C4</f>
        <v>2046.1666666666667</v>
      </c>
      <c r="D16" s="6">
        <f>'Rate Class Customer Model'!C5</f>
        <v>2048.3333333333335</v>
      </c>
      <c r="E16" s="6">
        <f>'Rate Class Customer Model'!C6</f>
        <v>2067.1666666666665</v>
      </c>
      <c r="F16" s="6">
        <f>'Rate Class Customer Model'!C7</f>
        <v>2067.1666666666665</v>
      </c>
      <c r="G16" s="6">
        <f>'Rate Class Customer Model'!C8</f>
        <v>2074.8333333333335</v>
      </c>
      <c r="H16" s="6">
        <f>'Rate Class Customer Model'!C9</f>
        <v>2106</v>
      </c>
      <c r="I16" s="6">
        <f>'Rate Class Customer Model'!C10</f>
        <v>2132.5833333333335</v>
      </c>
      <c r="J16" s="6">
        <f>'Rate Class Customer Model'!C11</f>
        <v>2137.6666666666665</v>
      </c>
      <c r="K16" s="6">
        <f>'Rate Class Customer Model'!C12</f>
        <v>2144.4166666666665</v>
      </c>
      <c r="L16" s="6">
        <f>'Rate Class Customer Model'!C13</f>
        <v>2148</v>
      </c>
      <c r="M16" s="171">
        <f>'Rate Class Customer Model'!C14</f>
        <v>2148</v>
      </c>
    </row>
    <row r="17" spans="1:13">
      <c r="A17" t="s">
        <v>48</v>
      </c>
      <c r="B17" s="6">
        <f>'Rate Class Energy Model'!I7</f>
        <v>62516619.849234834</v>
      </c>
      <c r="C17" s="6">
        <f>'Rate Class Energy Model'!I8</f>
        <v>59701648.212038539</v>
      </c>
      <c r="D17" s="6">
        <f>'Rate Class Energy Model'!I9</f>
        <v>58565208.650670692</v>
      </c>
      <c r="E17" s="6">
        <f>'Rate Class Energy Model'!I10</f>
        <v>58834929.519793175</v>
      </c>
      <c r="F17" s="6">
        <f>'Rate Class Energy Model'!I11</f>
        <v>57494464.880298831</v>
      </c>
      <c r="G17" s="6">
        <f>'Rate Class Energy Model'!I12</f>
        <v>57852243.801948376</v>
      </c>
      <c r="H17" s="6">
        <f>'Rate Class Energy Model'!I13</f>
        <v>58443482.099599421</v>
      </c>
      <c r="I17" s="6">
        <f>'Rate Class Energy Model'!I14</f>
        <v>58492111.439999998</v>
      </c>
      <c r="J17" s="6">
        <f>'Rate Class Energy Model'!I15</f>
        <v>58168701.330000006</v>
      </c>
      <c r="K17" s="181">
        <f>'Rate Class Energy Model'!I16</f>
        <v>57585352</v>
      </c>
      <c r="L17" s="6">
        <f>'Rate Class Energy Model'!I57</f>
        <v>58910419.30617138</v>
      </c>
      <c r="M17" s="171">
        <f>'Rate Class Energy Model'!I58</f>
        <v>58782610.726187877</v>
      </c>
    </row>
    <row r="18" spans="1:13">
      <c r="B18" s="51"/>
      <c r="C18" s="24"/>
      <c r="D18" s="24"/>
      <c r="I18" s="24"/>
    </row>
    <row r="19" spans="1:13" ht="13">
      <c r="A19" s="43" t="str">
        <f>'Rate Class Energy Model'!J2</f>
        <v>General Service 50 to 4,999 kW</v>
      </c>
      <c r="L19" s="6"/>
    </row>
    <row r="20" spans="1:13">
      <c r="A20" t="s">
        <v>47</v>
      </c>
      <c r="B20" s="6">
        <f>'Rate Class Customer Model'!D3</f>
        <v>164.58333333333334</v>
      </c>
      <c r="C20" s="6">
        <f>'Rate Class Customer Model'!D4</f>
        <v>166.33333333333334</v>
      </c>
      <c r="D20" s="6">
        <f>'Rate Class Customer Model'!D5</f>
        <v>165.91666666666666</v>
      </c>
      <c r="E20" s="28">
        <f>'Rate Class Customer Model'!D6</f>
        <v>165.16666666666666</v>
      </c>
      <c r="F20" s="28">
        <f>'Rate Class Customer Model'!D7</f>
        <v>167.08333333333334</v>
      </c>
      <c r="G20" s="28">
        <f>'Rate Class Customer Model'!D8</f>
        <v>171.33333333333334</v>
      </c>
      <c r="H20" s="28">
        <f>'Rate Class Customer Model'!D9</f>
        <v>172</v>
      </c>
      <c r="I20" s="28">
        <f>'Rate Class Customer Model'!D10</f>
        <v>155.83333333333334</v>
      </c>
      <c r="J20" s="28">
        <f>'Rate Class Customer Model'!D11</f>
        <v>149.33333333333334</v>
      </c>
      <c r="K20" s="28">
        <f>'Rate Class Customer Model'!D12</f>
        <v>137.91666666666666</v>
      </c>
      <c r="L20" s="28">
        <f>'Rate Class Customer Model'!D13</f>
        <v>136</v>
      </c>
      <c r="M20" s="28">
        <f>'Rate Class Customer Model'!D14</f>
        <v>136</v>
      </c>
    </row>
    <row r="21" spans="1:13">
      <c r="A21" t="s">
        <v>48</v>
      </c>
      <c r="B21" s="6">
        <f>'Rate Class Energy Model'!J7</f>
        <v>127215657.84507839</v>
      </c>
      <c r="C21" s="6">
        <f>'Rate Class Energy Model'!J8</f>
        <v>121258614.71604007</v>
      </c>
      <c r="D21" s="6">
        <f>'Rate Class Energy Model'!J9</f>
        <v>117895987.59248064</v>
      </c>
      <c r="E21" s="6">
        <f>'Rate Class Energy Model'!J10</f>
        <v>118512672.21826127</v>
      </c>
      <c r="F21" s="6">
        <f>'Rate Class Energy Model'!J11</f>
        <v>120128918.53521234</v>
      </c>
      <c r="G21" s="6">
        <f>'Rate Class Energy Model'!J12</f>
        <v>119216710.25768617</v>
      </c>
      <c r="H21" s="6">
        <f>'Rate Class Energy Model'!J13</f>
        <v>121885729.22737581</v>
      </c>
      <c r="I21" s="6">
        <f>'Rate Class Energy Model'!J14</f>
        <v>119763837.52000001</v>
      </c>
      <c r="J21" s="6">
        <f>'Rate Class Energy Model'!J15</f>
        <v>116637108.60000002</v>
      </c>
      <c r="K21" s="181">
        <f>'Rate Class Energy Model'!J16</f>
        <v>116753503.84363943</v>
      </c>
      <c r="L21" s="6">
        <f>'Rate Class Energy Model'!J57</f>
        <v>116142202.48783723</v>
      </c>
      <c r="M21" s="171">
        <f>'Rate Class Energy Model'!J58</f>
        <v>114521128.4638157</v>
      </c>
    </row>
    <row r="22" spans="1:13">
      <c r="A22" t="s">
        <v>49</v>
      </c>
      <c r="B22" s="6">
        <f>'Rate Class Load Model'!B2</f>
        <v>316143.86</v>
      </c>
      <c r="C22" s="6">
        <f>'Rate Class Load Model'!B3</f>
        <v>299390.46000000002</v>
      </c>
      <c r="D22" s="28">
        <f>'Rate Class Load Model'!B4</f>
        <v>284691.97136406577</v>
      </c>
      <c r="E22" s="28">
        <f>'Rate Class Load Model'!B5</f>
        <v>289456.33</v>
      </c>
      <c r="F22" s="28">
        <f>'Rate Class Load Model'!B6</f>
        <v>292338.75999999995</v>
      </c>
      <c r="G22" s="28">
        <f>'Rate Class Load Model'!B7</f>
        <v>293432.70999999996</v>
      </c>
      <c r="H22" s="28">
        <f>'Rate Class Load Model'!B8</f>
        <v>288260.6999999999</v>
      </c>
      <c r="I22" s="28">
        <f>'Rate Class Load Model'!B9</f>
        <v>288082.36000000004</v>
      </c>
      <c r="J22" s="28">
        <f>'Rate Class Load Model'!B10</f>
        <v>283796.43</v>
      </c>
      <c r="K22" s="28">
        <f>'Rate Class Load Model'!B11</f>
        <v>279963</v>
      </c>
      <c r="L22" s="28">
        <f>'Rate Class Load Model'!B12</f>
        <v>282314.64167395374</v>
      </c>
      <c r="M22" s="28">
        <f>'Rate Class Load Model'!B13</f>
        <v>278374.18831233855</v>
      </c>
    </row>
    <row r="23" spans="1:13">
      <c r="B23" s="51"/>
      <c r="C23" s="24"/>
      <c r="D23" s="24"/>
      <c r="H23" s="24"/>
      <c r="I23" s="24"/>
    </row>
    <row r="24" spans="1:13" ht="13">
      <c r="A24" s="43" t="str">
        <f>'Rate Class Energy Model'!K2</f>
        <v>Sentinel Lights</v>
      </c>
    </row>
    <row r="25" spans="1:13">
      <c r="A25" t="s">
        <v>63</v>
      </c>
      <c r="B25" s="6">
        <f>'Rate Class Customer Model'!E3</f>
        <v>56.75</v>
      </c>
      <c r="C25" s="6">
        <f>'Rate Class Customer Model'!E4</f>
        <v>56.916666666666664</v>
      </c>
      <c r="D25" s="28">
        <f>'Rate Class Customer Model'!E5</f>
        <v>56.083333333333336</v>
      </c>
      <c r="E25" s="28">
        <f>'Rate Class Customer Model'!E6</f>
        <v>55.666666666666664</v>
      </c>
      <c r="F25" s="28">
        <f>'Rate Class Customer Model'!E7</f>
        <v>56.833333333333336</v>
      </c>
      <c r="G25" s="28">
        <f>'Rate Class Customer Model'!E8</f>
        <v>59</v>
      </c>
      <c r="H25" s="28">
        <f>'Rate Class Customer Model'!E9</f>
        <v>56.666666666666664</v>
      </c>
      <c r="I25" s="28">
        <f>'Rate Class Customer Model'!E10</f>
        <v>53</v>
      </c>
      <c r="J25" s="28">
        <f>'Rate Class Customer Model'!E11</f>
        <v>52.333333333333336</v>
      </c>
      <c r="K25" s="28">
        <f>'Rate Class Customer Model'!E12</f>
        <v>45.5</v>
      </c>
      <c r="L25" s="28">
        <f>'Rate Class Customer Model'!E13</f>
        <v>44</v>
      </c>
      <c r="M25" s="28">
        <f>'Rate Class Customer Model'!E14</f>
        <v>44</v>
      </c>
    </row>
    <row r="26" spans="1:13">
      <c r="A26" t="s">
        <v>48</v>
      </c>
      <c r="B26" s="6">
        <f>'Rate Class Energy Model'!K7</f>
        <v>55047.351951634228</v>
      </c>
      <c r="C26" s="6">
        <f>'Rate Class Energy Model'!K8</f>
        <v>53346.640054789335</v>
      </c>
      <c r="D26" s="6">
        <f>'Rate Class Energy Model'!K9</f>
        <v>52931.663200453433</v>
      </c>
      <c r="E26" s="6">
        <f>'Rate Class Energy Model'!K10</f>
        <v>52659.977712015148</v>
      </c>
      <c r="F26" s="6">
        <f>'Rate Class Energy Model'!K11</f>
        <v>51557.59368304193</v>
      </c>
      <c r="G26" s="6">
        <f>'Rate Class Energy Model'!K12</f>
        <v>51381.522777315215</v>
      </c>
      <c r="H26" s="6">
        <f>'Rate Class Energy Model'!K13</f>
        <v>50003.862623739493</v>
      </c>
      <c r="I26" s="6">
        <f>'Rate Class Energy Model'!K14</f>
        <v>49108.440000000039</v>
      </c>
      <c r="J26" s="6">
        <f>'Rate Class Energy Model'!K15</f>
        <v>48745.79000000003</v>
      </c>
      <c r="K26" s="181">
        <f>'Rate Class Energy Model'!K16</f>
        <v>44233.600000000035</v>
      </c>
      <c r="L26" s="6">
        <f>'Rate Class Energy Model'!K57</f>
        <v>42775.349450549482</v>
      </c>
      <c r="M26" s="171">
        <f>'Rate Class Energy Model'!K58</f>
        <v>42775.349450549482</v>
      </c>
    </row>
    <row r="27" spans="1:13">
      <c r="A27" t="s">
        <v>49</v>
      </c>
      <c r="B27" s="6">
        <f>'Rate Class Load Model'!C2</f>
        <v>141.07184746299953</v>
      </c>
      <c r="C27" s="6">
        <f>'Rate Class Load Model'!C3</f>
        <v>142.5732616487455</v>
      </c>
      <c r="D27" s="28">
        <f>'Rate Class Load Model'!C4</f>
        <v>151.72469216182736</v>
      </c>
      <c r="E27" s="28">
        <f>'Rate Class Load Model'!C5</f>
        <v>152.74858268602978</v>
      </c>
      <c r="F27" s="28">
        <f>'Rate Class Load Model'!C6</f>
        <v>149.81522222222219</v>
      </c>
      <c r="G27" s="28">
        <f>'Rate Class Load Model'!C7</f>
        <v>149.73916666666665</v>
      </c>
      <c r="H27" s="28">
        <f>'Rate Class Load Model'!C8</f>
        <v>138.89961839927633</v>
      </c>
      <c r="I27" s="28">
        <f>'Rate Class Load Model'!C9</f>
        <v>136.41233333333338</v>
      </c>
      <c r="J27" s="28">
        <f>'Rate Class Load Model'!C10</f>
        <v>135.40497222222223</v>
      </c>
      <c r="K27" s="28">
        <f>'Rate Class Load Model'!C11</f>
        <v>122.87111111111111</v>
      </c>
      <c r="L27" s="28">
        <f>'Rate Class Load Model'!C12</f>
        <v>119.48677026939222</v>
      </c>
      <c r="M27" s="28">
        <f>'Rate Class Load Model'!C13</f>
        <v>119.48677026939222</v>
      </c>
    </row>
    <row r="28" spans="1:13">
      <c r="B28" s="6"/>
      <c r="C28" s="6"/>
      <c r="D28" s="6"/>
    </row>
    <row r="29" spans="1:13" ht="13">
      <c r="A29" s="43" t="str">
        <f>'Rate Class Energy Model'!L2</f>
        <v>Street Lights</v>
      </c>
      <c r="L29" s="6"/>
    </row>
    <row r="30" spans="1:13">
      <c r="A30" t="s">
        <v>63</v>
      </c>
      <c r="B30" s="6">
        <f>'Rate Class Customer Model'!F3</f>
        <v>3167</v>
      </c>
      <c r="C30" s="6">
        <f>'Rate Class Customer Model'!F4</f>
        <v>3191</v>
      </c>
      <c r="D30" s="28">
        <f>'Rate Class Customer Model'!F5</f>
        <v>3191</v>
      </c>
      <c r="E30" s="28">
        <f>'Rate Class Customer Model'!F6</f>
        <v>3134</v>
      </c>
      <c r="F30" s="28">
        <f>'Rate Class Customer Model'!F7</f>
        <v>2957.8333333333335</v>
      </c>
      <c r="G30" s="28">
        <f>'Rate Class Customer Model'!F8</f>
        <v>2843.25</v>
      </c>
      <c r="H30" s="28">
        <f>'Rate Class Customer Model'!F9</f>
        <v>2843.6666666666665</v>
      </c>
      <c r="I30" s="28">
        <f>'Rate Class Customer Model'!F10</f>
        <v>2766.0833333333335</v>
      </c>
      <c r="J30" s="28">
        <f>'Rate Class Customer Model'!F11</f>
        <v>2679.1666666666665</v>
      </c>
      <c r="K30" s="28">
        <f>'Rate Class Customer Model'!F12</f>
        <v>2848.3333333333335</v>
      </c>
      <c r="L30" s="28">
        <f>'Rate Class Customer Model'!F13</f>
        <v>2849</v>
      </c>
      <c r="M30" s="28">
        <f>'Rate Class Customer Model'!F14</f>
        <v>2849</v>
      </c>
    </row>
    <row r="31" spans="1:13">
      <c r="A31" t="s">
        <v>48</v>
      </c>
      <c r="B31" s="6">
        <f>'Rate Class Energy Model'!L7</f>
        <v>2743016.3718118267</v>
      </c>
      <c r="C31" s="6">
        <f>'Rate Class Energy Model'!L8</f>
        <v>2737942.8624598519</v>
      </c>
      <c r="D31" s="6">
        <f>'Rate Class Energy Model'!L9</f>
        <v>2785830.7799999993</v>
      </c>
      <c r="E31" s="6">
        <f>'Rate Class Energy Model'!L10</f>
        <v>2734864.312377525</v>
      </c>
      <c r="F31" s="6">
        <f>'Rate Class Energy Model'!L11</f>
        <v>2531984.3700786382</v>
      </c>
      <c r="G31" s="6">
        <f>'Rate Class Energy Model'!L12</f>
        <v>2441055.6506799893</v>
      </c>
      <c r="H31" s="6">
        <f>'Rate Class Energy Model'!L13</f>
        <v>2405634.7619215474</v>
      </c>
      <c r="I31" s="6">
        <f>'Rate Class Energy Model'!L14</f>
        <v>2029684.9000000004</v>
      </c>
      <c r="J31" s="6">
        <f>'Rate Class Energy Model'!L15</f>
        <v>1136285.4616429303</v>
      </c>
      <c r="K31" s="181">
        <f>'Rate Class Energy Model'!L16</f>
        <v>1154453.9984150699</v>
      </c>
      <c r="L31" s="6">
        <f>'Rate Class Energy Model'!L57</f>
        <v>1154724.2041490464</v>
      </c>
      <c r="M31" s="171">
        <f>'Rate Class Energy Model'!L58</f>
        <v>1154724.2041490464</v>
      </c>
    </row>
    <row r="32" spans="1:13">
      <c r="A32" t="s">
        <v>49</v>
      </c>
      <c r="B32" s="6">
        <f>'Rate Class Load Model'!D2</f>
        <v>7535.03</v>
      </c>
      <c r="C32" s="6">
        <f>'Rate Class Load Model'!D3</f>
        <v>7499.17</v>
      </c>
      <c r="D32" s="28">
        <f>'Rate Class Load Model'!D4</f>
        <v>7492.4199999999992</v>
      </c>
      <c r="E32" s="28">
        <f>'Rate Class Load Model'!D5</f>
        <v>7492.6399999999994</v>
      </c>
      <c r="F32" s="28">
        <f>'Rate Class Load Model'!D6</f>
        <v>6949.3700000000008</v>
      </c>
      <c r="G32" s="28">
        <f>'Rate Class Load Model'!D7</f>
        <v>6704.31</v>
      </c>
      <c r="H32" s="28">
        <f>'Rate Class Load Model'!D8</f>
        <v>6610.2200000000012</v>
      </c>
      <c r="I32" s="28">
        <f>'Rate Class Load Model'!D9</f>
        <v>5922.15</v>
      </c>
      <c r="J32" s="28">
        <f>'Rate Class Load Model'!D10</f>
        <v>3094.0399999999995</v>
      </c>
      <c r="K32" s="28">
        <f>'Rate Class Load Model'!D11</f>
        <v>3196.56</v>
      </c>
      <c r="L32" s="28">
        <f>'Rate Class Load Model'!D12</f>
        <v>3182.8403066540436</v>
      </c>
      <c r="M32" s="28">
        <f>'Rate Class Load Model'!D13</f>
        <v>3182.8403066540436</v>
      </c>
    </row>
    <row r="34" spans="1:13" ht="13">
      <c r="A34" s="43" t="str">
        <f>'Rate Class Energy Model'!M2</f>
        <v xml:space="preserve">Unmetered Scattered Loads </v>
      </c>
    </row>
    <row r="35" spans="1:13">
      <c r="A35" t="s">
        <v>63</v>
      </c>
      <c r="B35" s="6">
        <f>'Rate Class Customer Model'!G3</f>
        <v>66.416666666666671</v>
      </c>
      <c r="C35" s="6">
        <f>'Rate Class Customer Model'!G4</f>
        <v>61.916666666666664</v>
      </c>
      <c r="D35" s="28">
        <f>'Rate Class Customer Model'!G5</f>
        <v>59.166666666666664</v>
      </c>
      <c r="E35" s="28">
        <f>'Rate Class Customer Model'!G6</f>
        <v>57.5</v>
      </c>
      <c r="F35" s="28">
        <f>'Rate Class Customer Model'!G7</f>
        <v>56</v>
      </c>
      <c r="G35" s="28">
        <f>'Rate Class Customer Model'!G8</f>
        <v>56.25</v>
      </c>
      <c r="H35" s="28">
        <f>'Rate Class Customer Model'!G9</f>
        <v>54.75</v>
      </c>
      <c r="I35" s="28">
        <f>'Rate Class Customer Model'!G10</f>
        <v>52.166666666666664</v>
      </c>
      <c r="J35" s="28">
        <f>'Rate Class Customer Model'!G11</f>
        <v>51</v>
      </c>
      <c r="K35" s="28">
        <f>'Rate Class Customer Model'!G12</f>
        <v>51</v>
      </c>
      <c r="L35" s="28">
        <f>'Rate Class Customer Model'!G13</f>
        <v>51</v>
      </c>
      <c r="M35" s="28">
        <f>'Rate Class Customer Model'!G14</f>
        <v>51</v>
      </c>
    </row>
    <row r="36" spans="1:13">
      <c r="A36" t="s">
        <v>48</v>
      </c>
      <c r="B36" s="6">
        <f>'Rate Class Energy Model'!M7</f>
        <v>266306.28263744566</v>
      </c>
      <c r="C36" s="6">
        <f>'Rate Class Energy Model'!M8</f>
        <v>225707.00982429617</v>
      </c>
      <c r="D36" s="6">
        <f>'Rate Class Energy Model'!M9</f>
        <v>197922.67107500471</v>
      </c>
      <c r="E36" s="6">
        <f>'Rate Class Energy Model'!M10</f>
        <v>189902.70850976688</v>
      </c>
      <c r="F36" s="6">
        <f>'Rate Class Energy Model'!M11</f>
        <v>181992.1121287815</v>
      </c>
      <c r="G36" s="6">
        <f>'Rate Class Energy Model'!M12</f>
        <v>181680.0943658062</v>
      </c>
      <c r="H36" s="6">
        <f>'Rate Class Energy Model'!M13</f>
        <v>180165.06688870379</v>
      </c>
      <c r="I36" s="6">
        <f>'Rate Class Energy Model'!M14</f>
        <v>173556</v>
      </c>
      <c r="J36" s="6">
        <f>'Rate Class Energy Model'!M15</f>
        <v>166068</v>
      </c>
      <c r="K36" s="181">
        <f>'Rate Class Energy Model'!M16</f>
        <v>166068</v>
      </c>
      <c r="L36" s="6">
        <f>'Rate Class Energy Model'!M57</f>
        <v>166068</v>
      </c>
      <c r="M36" s="171">
        <f>'Rate Class Energy Model'!M58</f>
        <v>166068</v>
      </c>
    </row>
    <row r="38" spans="1:13" ht="13">
      <c r="A38" s="43" t="s">
        <v>64</v>
      </c>
      <c r="B38" s="6"/>
      <c r="C38" s="6"/>
      <c r="D38" s="6"/>
      <c r="E38" s="6"/>
      <c r="I38" s="6"/>
      <c r="J38" s="6"/>
      <c r="K38" s="28"/>
    </row>
    <row r="39" spans="1:13">
      <c r="A39" t="s">
        <v>51</v>
      </c>
      <c r="B39" s="6">
        <f t="shared" ref="B39:E39" si="1">B35+B30+B12+B16+B20+B25</f>
        <v>15732.666666666666</v>
      </c>
      <c r="C39" s="6">
        <f t="shared" si="1"/>
        <v>15921.916666666666</v>
      </c>
      <c r="D39" s="6">
        <f t="shared" si="1"/>
        <v>16025.416666666666</v>
      </c>
      <c r="E39" s="6">
        <f t="shared" si="1"/>
        <v>16158.749999999998</v>
      </c>
      <c r="F39" s="6">
        <f t="shared" ref="F39:G39" si="2">F35+F30+F12+F16+F20+F25</f>
        <v>16105.416666666668</v>
      </c>
      <c r="G39" s="6">
        <f t="shared" si="2"/>
        <v>16094.333333333334</v>
      </c>
      <c r="H39" s="181">
        <f t="shared" ref="H39:M39" si="3">H35+H30+H12+H16+H20+H25</f>
        <v>16197.166666666666</v>
      </c>
      <c r="I39" s="181">
        <f t="shared" si="3"/>
        <v>16180.583333333334</v>
      </c>
      <c r="J39" s="181">
        <f t="shared" si="3"/>
        <v>16147.916666666666</v>
      </c>
      <c r="K39" s="181">
        <f t="shared" si="3"/>
        <v>16395.916666666664</v>
      </c>
      <c r="L39" s="181">
        <f t="shared" si="3"/>
        <v>16436</v>
      </c>
      <c r="M39" s="181">
        <f t="shared" si="3"/>
        <v>16436</v>
      </c>
    </row>
    <row r="40" spans="1:13">
      <c r="A40" t="s">
        <v>48</v>
      </c>
      <c r="B40" s="6">
        <f t="shared" ref="B40:D40" si="4">B13+B17+B21+B26+B31+B36</f>
        <v>308395574.41958809</v>
      </c>
      <c r="C40" s="6">
        <f t="shared" si="4"/>
        <v>298927028.43155861</v>
      </c>
      <c r="D40" s="6">
        <f t="shared" si="4"/>
        <v>290638429.17956167</v>
      </c>
      <c r="E40" s="6">
        <f>E13+E17+E21+E26+E31+E36</f>
        <v>290464652.19830436</v>
      </c>
      <c r="F40" s="6">
        <f t="shared" ref="F40:G40" si="5">F13+F17+F21+F26+F31+F36</f>
        <v>288106900.02753538</v>
      </c>
      <c r="G40" s="6">
        <f t="shared" si="5"/>
        <v>293263621.05207425</v>
      </c>
      <c r="H40" s="181">
        <f t="shared" ref="H40:M40" si="6">H13+H17+H21+H26+H31+H36</f>
        <v>297398397.24340039</v>
      </c>
      <c r="I40" s="181">
        <f t="shared" si="6"/>
        <v>288752254.73999995</v>
      </c>
      <c r="J40" s="181">
        <f t="shared" si="6"/>
        <v>280505070.49164295</v>
      </c>
      <c r="K40" s="181">
        <f t="shared" si="6"/>
        <v>278833243.44205451</v>
      </c>
      <c r="L40" s="181">
        <f t="shared" si="6"/>
        <v>281828948.00140458</v>
      </c>
      <c r="M40" s="181">
        <f t="shared" si="6"/>
        <v>279355832.89782393</v>
      </c>
    </row>
    <row r="41" spans="1:13">
      <c r="A41" t="s">
        <v>50</v>
      </c>
      <c r="B41" s="6">
        <f t="shared" ref="B41:D41" si="7">B32+B27+B22</f>
        <v>323819.96184746298</v>
      </c>
      <c r="C41" s="6">
        <f t="shared" si="7"/>
        <v>307032.20326164877</v>
      </c>
      <c r="D41" s="6">
        <f t="shared" si="7"/>
        <v>292336.11605622759</v>
      </c>
      <c r="E41" s="6">
        <f>E32+E27+E22</f>
        <v>297101.71858268604</v>
      </c>
      <c r="F41" s="6">
        <f t="shared" ref="F41:G41" si="8">F32+F27+F22</f>
        <v>299437.94522222219</v>
      </c>
      <c r="G41" s="6">
        <f t="shared" si="8"/>
        <v>300286.75916666666</v>
      </c>
      <c r="H41" s="181">
        <f t="shared" ref="H41:M41" si="9">H32+H27+H22</f>
        <v>295009.8196183992</v>
      </c>
      <c r="I41" s="181">
        <f t="shared" si="9"/>
        <v>294140.92233333335</v>
      </c>
      <c r="J41" s="181">
        <f t="shared" si="9"/>
        <v>287025.8749722222</v>
      </c>
      <c r="K41" s="181">
        <f t="shared" si="9"/>
        <v>283282.43111111113</v>
      </c>
      <c r="L41" s="181">
        <f t="shared" si="9"/>
        <v>285616.96875087719</v>
      </c>
      <c r="M41" s="181">
        <f t="shared" si="9"/>
        <v>281676.515389262</v>
      </c>
    </row>
    <row r="43" spans="1:13" ht="13">
      <c r="A43" s="43" t="s">
        <v>65</v>
      </c>
      <c r="L43" s="6"/>
    </row>
    <row r="44" spans="1:13">
      <c r="A44" t="s">
        <v>51</v>
      </c>
      <c r="B44" s="6">
        <f>'Rate Class Customer Model'!H3</f>
        <v>15732.666666666666</v>
      </c>
      <c r="C44" s="6">
        <f>'Rate Class Customer Model'!H4</f>
        <v>15921.916666666666</v>
      </c>
      <c r="D44" s="6">
        <f>'Rate Class Customer Model'!H5</f>
        <v>16025.416666666666</v>
      </c>
      <c r="E44" s="6">
        <f>'Rate Class Customer Model'!H6</f>
        <v>16158.749999999998</v>
      </c>
      <c r="F44" s="6">
        <f>'Rate Class Customer Model'!H7</f>
        <v>16105.416666666668</v>
      </c>
      <c r="G44" s="6">
        <f>'Rate Class Customer Model'!H8</f>
        <v>16094.333333333334</v>
      </c>
      <c r="H44" s="6">
        <f>'Rate Class Customer Model'!H9</f>
        <v>16197.166666666666</v>
      </c>
      <c r="I44" s="6">
        <f>'Rate Class Customer Model'!H10</f>
        <v>16180.583333333334</v>
      </c>
      <c r="J44" s="6">
        <f>'Rate Class Customer Model'!H11</f>
        <v>16147.916666666666</v>
      </c>
      <c r="K44" s="6">
        <f>'Rate Class Customer Model'!H12</f>
        <v>16395.916666666664</v>
      </c>
      <c r="L44" s="6">
        <f>'Rate Class Customer Model'!H13</f>
        <v>16436</v>
      </c>
      <c r="M44" s="171">
        <f>'Rate Class Customer Model'!H14</f>
        <v>16436</v>
      </c>
    </row>
    <row r="45" spans="1:13">
      <c r="A45" t="s">
        <v>48</v>
      </c>
      <c r="B45" s="6">
        <f>'Rate Class Energy Model'!G7</f>
        <v>308395574.41958809</v>
      </c>
      <c r="C45" s="6">
        <f>'Rate Class Energy Model'!G8</f>
        <v>298927028.43155861</v>
      </c>
      <c r="D45" s="6">
        <f>'Rate Class Energy Model'!G9</f>
        <v>290638429.17956167</v>
      </c>
      <c r="E45" s="6">
        <f>'Rate Class Energy Model'!G10</f>
        <v>290464652.19830436</v>
      </c>
      <c r="F45" s="6">
        <f>'Rate Class Energy Model'!G11</f>
        <v>288106900.02753538</v>
      </c>
      <c r="G45" s="6">
        <f>'Rate Class Energy Model'!G12</f>
        <v>293263621.05207425</v>
      </c>
      <c r="H45" s="6">
        <f>'Rate Class Energy Model'!G13</f>
        <v>297398397.24340039</v>
      </c>
      <c r="I45" s="6">
        <f>'Rate Class Energy Model'!G14</f>
        <v>288752254.73999995</v>
      </c>
      <c r="J45" s="6">
        <f>'Rate Class Energy Model'!G15</f>
        <v>280505070.49164295</v>
      </c>
      <c r="K45" s="181">
        <f>'Rate Class Energy Model'!G16</f>
        <v>278833243.44205451</v>
      </c>
      <c r="L45" s="6">
        <f>'Rate Class Energy Model'!N57</f>
        <v>281828948.00140458</v>
      </c>
      <c r="M45" s="171">
        <f>'Rate Class Energy Model'!N58</f>
        <v>279355832.89782393</v>
      </c>
    </row>
    <row r="46" spans="1:13">
      <c r="A46" t="s">
        <v>50</v>
      </c>
      <c r="B46" s="6">
        <f>'Rate Class Load Model'!E2</f>
        <v>323819.96184746304</v>
      </c>
      <c r="C46" s="6">
        <f>'Rate Class Load Model'!E3</f>
        <v>307032.20326164877</v>
      </c>
      <c r="D46" s="28">
        <f>'Rate Class Load Model'!E4</f>
        <v>292336.11605622759</v>
      </c>
      <c r="E46" s="28">
        <f>'Rate Class Load Model'!E5</f>
        <v>297101.71858268604</v>
      </c>
      <c r="F46" s="28">
        <f>'Rate Class Load Model'!E6</f>
        <v>299437.94522222219</v>
      </c>
      <c r="G46" s="28">
        <f>'Rate Class Load Model'!E7</f>
        <v>300286.75916666666</v>
      </c>
      <c r="H46" s="28">
        <f>'Rate Class Load Model'!E8</f>
        <v>295009.81961839914</v>
      </c>
      <c r="I46" s="28">
        <f>'Rate Class Load Model'!E9</f>
        <v>294140.92233333341</v>
      </c>
      <c r="J46" s="28">
        <f>'Rate Class Load Model'!E10</f>
        <v>287025.8749722222</v>
      </c>
      <c r="K46" s="28">
        <f>'Rate Class Load Model'!E11</f>
        <v>283282.43111111113</v>
      </c>
      <c r="L46" s="28">
        <f>'Rate Class Load Model'!E12</f>
        <v>285616.96875087719</v>
      </c>
      <c r="M46" s="28">
        <f>'Rate Class Load Model'!E13</f>
        <v>281676.515389262</v>
      </c>
    </row>
    <row r="48" spans="1:13" ht="13">
      <c r="A48" s="43" t="s">
        <v>66</v>
      </c>
      <c r="B48" s="6"/>
      <c r="C48" s="6"/>
      <c r="D48" s="6"/>
      <c r="E48" s="6"/>
      <c r="H48" s="6"/>
      <c r="K48" s="6"/>
      <c r="L48" s="6"/>
    </row>
    <row r="49" spans="1:13">
      <c r="A49" t="s">
        <v>51</v>
      </c>
      <c r="B49" s="6">
        <f t="shared" ref="B49" si="10">B39-B44</f>
        <v>0</v>
      </c>
      <c r="C49" s="6">
        <f t="shared" ref="C49:G49" si="11">C39-C44</f>
        <v>0</v>
      </c>
      <c r="D49" s="6">
        <f t="shared" si="11"/>
        <v>0</v>
      </c>
      <c r="E49" s="6">
        <f t="shared" si="11"/>
        <v>0</v>
      </c>
      <c r="F49" s="6">
        <f t="shared" si="11"/>
        <v>0</v>
      </c>
      <c r="G49" s="6">
        <f t="shared" si="11"/>
        <v>0</v>
      </c>
      <c r="H49" s="181">
        <f t="shared" ref="H49:M49" si="12">H39-H44</f>
        <v>0</v>
      </c>
      <c r="I49" s="181">
        <f t="shared" si="12"/>
        <v>0</v>
      </c>
      <c r="J49" s="181">
        <f t="shared" si="12"/>
        <v>0</v>
      </c>
      <c r="K49" s="181">
        <f t="shared" si="12"/>
        <v>0</v>
      </c>
      <c r="L49" s="181">
        <f t="shared" si="12"/>
        <v>0</v>
      </c>
      <c r="M49" s="181">
        <f t="shared" si="12"/>
        <v>0</v>
      </c>
    </row>
    <row r="50" spans="1:13">
      <c r="A50" t="s">
        <v>48</v>
      </c>
      <c r="B50" s="6">
        <f t="shared" ref="B50:B51" si="13">B40-B45</f>
        <v>0</v>
      </c>
      <c r="C50" s="6">
        <f t="shared" ref="C50:G50" si="14">C40-C45</f>
        <v>0</v>
      </c>
      <c r="D50" s="6">
        <f t="shared" si="14"/>
        <v>0</v>
      </c>
      <c r="E50" s="6">
        <f t="shared" si="14"/>
        <v>0</v>
      </c>
      <c r="F50" s="6">
        <f t="shared" si="14"/>
        <v>0</v>
      </c>
      <c r="G50" s="6">
        <f t="shared" si="14"/>
        <v>0</v>
      </c>
      <c r="H50" s="181">
        <f t="shared" ref="H50:M50" si="15">H40-H45</f>
        <v>0</v>
      </c>
      <c r="I50" s="181">
        <f t="shared" si="15"/>
        <v>0</v>
      </c>
      <c r="J50" s="181">
        <f t="shared" si="15"/>
        <v>0</v>
      </c>
      <c r="K50" s="181">
        <f t="shared" si="15"/>
        <v>0</v>
      </c>
      <c r="L50" s="181">
        <f t="shared" si="15"/>
        <v>0</v>
      </c>
      <c r="M50" s="181">
        <f t="shared" si="15"/>
        <v>0</v>
      </c>
    </row>
    <row r="51" spans="1:13">
      <c r="A51" t="s">
        <v>50</v>
      </c>
      <c r="B51" s="6">
        <f t="shared" si="13"/>
        <v>0</v>
      </c>
      <c r="C51" s="6">
        <f t="shared" ref="C51:G51" si="16">C41-C46</f>
        <v>0</v>
      </c>
      <c r="D51" s="6">
        <f t="shared" si="16"/>
        <v>0</v>
      </c>
      <c r="E51" s="6">
        <f t="shared" si="16"/>
        <v>0</v>
      </c>
      <c r="F51" s="6">
        <f t="shared" si="16"/>
        <v>0</v>
      </c>
      <c r="G51" s="6">
        <f t="shared" si="16"/>
        <v>0</v>
      </c>
      <c r="H51" s="181">
        <f t="shared" ref="H51:M51" si="17">H41-H46</f>
        <v>0</v>
      </c>
      <c r="I51" s="181">
        <f t="shared" si="17"/>
        <v>0</v>
      </c>
      <c r="J51" s="181">
        <f t="shared" si="17"/>
        <v>0</v>
      </c>
      <c r="K51" s="181">
        <f t="shared" si="17"/>
        <v>0</v>
      </c>
      <c r="L51" s="181">
        <f t="shared" si="17"/>
        <v>0</v>
      </c>
      <c r="M51" s="181">
        <f t="shared" si="17"/>
        <v>0</v>
      </c>
    </row>
    <row r="53" spans="1:13">
      <c r="K53"/>
      <c r="L53"/>
    </row>
    <row r="54" spans="1:13">
      <c r="K54"/>
      <c r="L54"/>
    </row>
  </sheetData>
  <phoneticPr fontId="0" type="noConversion"/>
  <pageMargins left="0.16" right="0.22" top="0.73" bottom="0.74" header="0.5" footer="0.5"/>
  <pageSetup scale="68" orientation="landscape"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5"/>
  <sheetViews>
    <sheetView workbookViewId="0">
      <selection activeCell="B4" sqref="B4"/>
    </sheetView>
  </sheetViews>
  <sheetFormatPr defaultRowHeight="12.5"/>
  <cols>
    <col min="1" max="1" width="23.1796875" customWidth="1"/>
    <col min="2" max="2" width="18.81640625" customWidth="1"/>
    <col min="4" max="4" width="2.453125" customWidth="1"/>
    <col min="5" max="5" width="25.81640625" bestFit="1" customWidth="1"/>
    <col min="6" max="6" width="13.1796875" customWidth="1"/>
    <col min="8" max="8" width="2.81640625" customWidth="1"/>
    <col min="9" max="9" width="25.81640625" bestFit="1" customWidth="1"/>
    <col min="10" max="10" width="17.1796875" bestFit="1" customWidth="1"/>
    <col min="12" max="12" width="3.453125" customWidth="1"/>
    <col min="13" max="13" width="25.81640625" bestFit="1" customWidth="1"/>
    <col min="14" max="14" width="11.453125" bestFit="1" customWidth="1"/>
    <col min="15" max="15" width="8" customWidth="1"/>
  </cols>
  <sheetData>
    <row r="1" spans="1:8" ht="15.5">
      <c r="A1" s="119" t="str">
        <f>Summary!A1</f>
        <v>Lakeland Power Load Forecast for 2019 Rate Application</v>
      </c>
      <c r="B1" s="119"/>
      <c r="C1" s="119"/>
      <c r="D1" s="119"/>
      <c r="E1" s="119"/>
      <c r="F1" s="119"/>
      <c r="G1" s="119"/>
      <c r="H1" s="119"/>
    </row>
    <row r="3" spans="1:8" ht="13">
      <c r="B3" s="89" t="s">
        <v>112</v>
      </c>
      <c r="E3" s="89" t="s">
        <v>61</v>
      </c>
    </row>
    <row r="4" spans="1:8">
      <c r="A4" s="37" t="s">
        <v>22</v>
      </c>
      <c r="B4" s="92">
        <f>'Purchased Power Model '!V6</f>
        <v>0.9504347983436644</v>
      </c>
      <c r="E4" s="93">
        <f>'Residential - Not Used'!P6</f>
        <v>0.96795684816018068</v>
      </c>
    </row>
    <row r="5" spans="1:8" ht="13" thickBot="1">
      <c r="A5" s="37" t="s">
        <v>23</v>
      </c>
      <c r="B5" s="92">
        <f>'Purchased Power Model '!V7</f>
        <v>0.94871079132953096</v>
      </c>
      <c r="E5" s="93">
        <f>'Residential - Not Used'!P7</f>
        <v>0.96655144676369742</v>
      </c>
    </row>
    <row r="6" spans="1:8" ht="13">
      <c r="A6" s="55"/>
      <c r="B6" s="55" t="s">
        <v>35</v>
      </c>
      <c r="C6" s="55" t="s">
        <v>36</v>
      </c>
      <c r="E6" s="55"/>
      <c r="F6" s="55" t="s">
        <v>35</v>
      </c>
      <c r="G6" s="55" t="s">
        <v>36</v>
      </c>
    </row>
    <row r="7" spans="1:8">
      <c r="A7" s="37" t="str">
        <f>'Purchased Power Model '!U18</f>
        <v>Intercept</v>
      </c>
      <c r="B7" s="63">
        <f>'Purchased Power Model '!V18</f>
        <v>845967.48474658618</v>
      </c>
      <c r="C7" s="90">
        <f>'Purchased Power Model '!X18</f>
        <v>0.28193672661040375</v>
      </c>
      <c r="E7" s="37" t="str">
        <f>'Residential - Not Used'!O18</f>
        <v>Intercept</v>
      </c>
      <c r="F7" s="63">
        <f>'Residential - Not Used'!P18</f>
        <v>-1187320.2290671945</v>
      </c>
      <c r="G7" s="90">
        <f>'Residential - Not Used'!R18</f>
        <v>-0.69119775250561166</v>
      </c>
    </row>
    <row r="8" spans="1:8">
      <c r="A8" s="37" t="str">
        <f>'Purchased Power Model '!U19</f>
        <v>Heating Degree Days</v>
      </c>
      <c r="B8" s="63">
        <f>'Purchased Power Model '!V19</f>
        <v>13885.164333270823</v>
      </c>
      <c r="C8" s="90">
        <f>'Purchased Power Model '!X19</f>
        <v>35.922976854808944</v>
      </c>
      <c r="E8" s="37" t="str">
        <f>'Residential - Not Used'!O19</f>
        <v>Heating Degree Days</v>
      </c>
      <c r="F8" s="63">
        <f>'Residential - Not Used'!P19</f>
        <v>9403.3794521515811</v>
      </c>
      <c r="G8" s="90">
        <f>'Residential - Not Used'!R19</f>
        <v>42.441978183893156</v>
      </c>
    </row>
    <row r="9" spans="1:8">
      <c r="A9" s="37" t="str">
        <f>'Purchased Power Model '!U20</f>
        <v>Cooling Degree Days</v>
      </c>
      <c r="B9" s="63">
        <f>'Purchased Power Model '!V20</f>
        <v>44145.546527656501</v>
      </c>
      <c r="C9" s="90">
        <f>'Purchased Power Model '!X20</f>
        <v>7.4714420578516805</v>
      </c>
      <c r="E9" s="37" t="str">
        <f>'Residential - Not Used'!O20</f>
        <v>Cooling Degree Days</v>
      </c>
      <c r="F9" s="63">
        <f>'Residential - Not Used'!P20</f>
        <v>14349.761531288575</v>
      </c>
      <c r="G9" s="90">
        <f>'Residential - Not Used'!R20</f>
        <v>4.2407560242812554</v>
      </c>
    </row>
    <row r="10" spans="1:8">
      <c r="A10" s="37" t="str">
        <f>'Purchased Power Model '!U21</f>
        <v>Number of Days in Month</v>
      </c>
      <c r="B10" s="63">
        <f>'Purchased Power Model '!V21</f>
        <v>682501.45944321866</v>
      </c>
      <c r="C10" s="90">
        <f>'Purchased Power Model '!X21</f>
        <v>6.9033818069576922</v>
      </c>
      <c r="E10" s="37" t="str">
        <f>'Residential - Not Used'!O21</f>
        <v>Number of Days in Month</v>
      </c>
      <c r="F10" s="63">
        <f>'Residential - Not Used'!P21</f>
        <v>244886.0604402282</v>
      </c>
      <c r="G10" s="90">
        <f>'Residential - Not Used'!R21</f>
        <v>4.3278607981961432</v>
      </c>
    </row>
    <row r="11" spans="1:8">
      <c r="A11" s="37" t="str">
        <f>'Purchased Power Model '!U22</f>
        <v>Spring Fall Flag</v>
      </c>
      <c r="B11" s="63">
        <f>'Purchased Power Model '!V22</f>
        <v>-1315744.4274627932</v>
      </c>
      <c r="C11" s="90">
        <f>'Purchased Power Model '!X22</f>
        <v>-7.0691492556726541</v>
      </c>
      <c r="E11" s="37" t="str">
        <f>'Residential - Not Used'!O22</f>
        <v>Spring Fall Flag</v>
      </c>
      <c r="F11" s="63">
        <f>'Residential - Not Used'!P22</f>
        <v>-653701.68689517677</v>
      </c>
      <c r="G11" s="90">
        <f>'Residential - Not Used'!R22</f>
        <v>-6.1366283234583552</v>
      </c>
    </row>
    <row r="12" spans="1:8" ht="13" thickBot="1">
      <c r="A12" s="54">
        <f>'Purchased Power Model '!U23</f>
        <v>0</v>
      </c>
      <c r="B12" s="79">
        <f>'Purchased Power Model '!V23</f>
        <v>0</v>
      </c>
      <c r="C12" s="79">
        <f>'Purchased Power Model '!X23</f>
        <v>0</v>
      </c>
      <c r="E12" s="54" t="str">
        <f>'Residential - Not Used'!O23</f>
        <v>CDM Activity</v>
      </c>
      <c r="F12" s="79">
        <f>'Residential - Not Used'!P23</f>
        <v>-0.70730439481986496</v>
      </c>
      <c r="G12" s="79">
        <f>'Residential - Not Used'!R23</f>
        <v>-5.685527376907995</v>
      </c>
    </row>
    <row r="15" spans="1:8" ht="13">
      <c r="B15" s="89" t="s">
        <v>113</v>
      </c>
      <c r="E15" s="89" t="s">
        <v>114</v>
      </c>
    </row>
    <row r="16" spans="1:8">
      <c r="A16" s="37" t="s">
        <v>22</v>
      </c>
      <c r="B16" s="93">
        <f>'GS &lt; 50 kW - Not Used'!P6</f>
        <v>0.90112040484394151</v>
      </c>
      <c r="E16" s="93">
        <f>'GS &gt; 50 kW - Not Used'!P6</f>
        <v>0.55142555619878786</v>
      </c>
    </row>
    <row r="17" spans="1:7" ht="13" thickBot="1">
      <c r="A17" s="37" t="s">
        <v>23</v>
      </c>
      <c r="B17" s="93">
        <f>'GS &lt; 50 kW - Not Used'!P7</f>
        <v>0.89768111457764388</v>
      </c>
      <c r="C17" s="94"/>
      <c r="E17" s="93">
        <f>'GS &gt; 50 kW - Not Used'!P7</f>
        <v>0.52760744413854654</v>
      </c>
    </row>
    <row r="18" spans="1:7" ht="13">
      <c r="A18" s="55"/>
      <c r="B18" s="55" t="s">
        <v>35</v>
      </c>
      <c r="C18" s="55" t="s">
        <v>36</v>
      </c>
      <c r="E18" s="55"/>
      <c r="F18" s="55" t="s">
        <v>35</v>
      </c>
      <c r="G18" s="55" t="s">
        <v>36</v>
      </c>
    </row>
    <row r="19" spans="1:7">
      <c r="A19" s="37" t="str">
        <f>'GS &lt; 50 kW - Not Used'!O18</f>
        <v>Intercept</v>
      </c>
      <c r="B19" s="63">
        <f>'GS &lt; 50 kW - Not Used'!P18</f>
        <v>472669.68689589394</v>
      </c>
      <c r="C19" s="90">
        <f>'GS &lt; 50 kW - Not Used'!R18</f>
        <v>0.60302947959999142</v>
      </c>
      <c r="E19" s="37" t="str">
        <f>'GS &gt; 50 kW - Not Used'!O18</f>
        <v>Intercept</v>
      </c>
      <c r="F19" s="63">
        <f>'GS &gt; 50 kW - Not Used'!P18</f>
        <v>-627596.74496388156</v>
      </c>
      <c r="G19" s="61">
        <f>'GS &gt; 50 kW - Not Used'!R18</f>
        <v>-0.25453871894376556</v>
      </c>
    </row>
    <row r="20" spans="1:7">
      <c r="A20" s="37" t="str">
        <f>'GS &lt; 50 kW - Not Used'!O19</f>
        <v>Heating Degree Days</v>
      </c>
      <c r="B20" s="63">
        <f>'GS &lt; 50 kW - Not Used'!P19</f>
        <v>2474.46730200907</v>
      </c>
      <c r="C20" s="90">
        <f>'GS &lt; 50 kW - Not Used'!R19</f>
        <v>24.506755842989989</v>
      </c>
      <c r="E20" s="37" t="str">
        <f>'GS &gt; 50 kW - Not Used'!O19</f>
        <v>Heating Degree Days</v>
      </c>
      <c r="F20" s="63">
        <f>'GS &gt; 50 kW - Not Used'!P19</f>
        <v>946.71942440465398</v>
      </c>
      <c r="G20" s="61">
        <f>'GS &gt; 50 kW - Not Used'!R19</f>
        <v>6.4342582088325946</v>
      </c>
    </row>
    <row r="21" spans="1:7">
      <c r="A21" s="37" t="str">
        <f>'GS &lt; 50 kW - Not Used'!O20</f>
        <v>Cooling Degree Days</v>
      </c>
      <c r="B21" s="63">
        <f>'GS &lt; 50 kW - Not Used'!P20</f>
        <v>11527.06390065893</v>
      </c>
      <c r="C21" s="90">
        <f>'GS &lt; 50 kW - Not Used'!R20</f>
        <v>7.46825341083815</v>
      </c>
      <c r="E21" s="37" t="str">
        <f>'GS &gt; 50 kW - Not Used'!O20</f>
        <v>Cooling Degree Days</v>
      </c>
      <c r="F21" s="63">
        <f>'GS &gt; 50 kW - Not Used'!P20</f>
        <v>16357.69196033425</v>
      </c>
      <c r="G21" s="61">
        <f>'GS &gt; 50 kW - Not Used'!R20</f>
        <v>7.9286676428680041</v>
      </c>
    </row>
    <row r="22" spans="1:7">
      <c r="A22" s="37" t="str">
        <f>'GS &lt; 50 kW - Not Used'!O21</f>
        <v>Number of Days in Month</v>
      </c>
      <c r="B22" s="63">
        <f>'GS &lt; 50 kW - Not Used'!P21</f>
        <v>116824.91031909466</v>
      </c>
      <c r="C22" s="90">
        <f>'GS &lt; 50 kW - Not Used'!R21</f>
        <v>4.523520635399513</v>
      </c>
      <c r="E22" s="37" t="str">
        <f>'GS &gt; 50 kW - Not Used'!O21</f>
        <v>Number of Days in Month</v>
      </c>
      <c r="F22" s="63">
        <f>'GS &gt; 50 kW - Not Used'!P21</f>
        <v>156452.259446707</v>
      </c>
      <c r="G22" s="61">
        <f>'GS &gt; 50 kW - Not Used'!R21</f>
        <v>3.7855870134642609</v>
      </c>
    </row>
    <row r="23" spans="1:7" ht="13" thickBot="1">
      <c r="A23" s="54" t="str">
        <f>'GS &lt; 50 kW - Not Used'!O22</f>
        <v>Spring Fall Flag</v>
      </c>
      <c r="B23" s="64">
        <f>'GS &lt; 50 kW - Not Used'!P22</f>
        <v>-363615.08544108563</v>
      </c>
      <c r="C23" s="79">
        <f>'GS &lt; 50 kW - Not Used'!R22</f>
        <v>-7.4786001666351032</v>
      </c>
      <c r="E23" s="37" t="str">
        <f>'GS &gt; 50 kW - Not Used'!O22</f>
        <v>CDM Activity</v>
      </c>
      <c r="F23" s="63">
        <f>'GS &gt; 50 kW - Not Used'!P22</f>
        <v>-1.6113291696015466</v>
      </c>
      <c r="G23" s="61">
        <f>'GS &gt; 50 kW - Not Used'!R22</f>
        <v>-4.73673369655189</v>
      </c>
    </row>
    <row r="24" spans="1:7">
      <c r="E24" s="37" t="str">
        <f>'GS &gt; 50 kW - Not Used'!O23</f>
        <v>Unemployment (x 1,000)</v>
      </c>
      <c r="F24" s="63">
        <f>'GS &gt; 50 kW - Not Used'!P23</f>
        <v>-43151.286155966118</v>
      </c>
      <c r="G24" s="61">
        <f>'GS &gt; 50 kW - Not Used'!R23</f>
        <v>-3.5544125806092719</v>
      </c>
    </row>
    <row r="25" spans="1:7" ht="13" thickBot="1">
      <c r="E25" s="54" t="str">
        <f>'GS &gt; 50 kW - Not Used'!O24</f>
        <v>Ontario Real GDP Monthly %</v>
      </c>
      <c r="F25" s="64">
        <f>'GS &gt; 50 kW - Not Used'!P24</f>
        <v>46739.173928759257</v>
      </c>
      <c r="G25" s="62">
        <f>'GS &gt; 50 kW - Not Used'!R24</f>
        <v>3.0126943891529225</v>
      </c>
    </row>
  </sheetData>
  <phoneticPr fontId="9" type="noConversion"/>
  <pageMargins left="0.75" right="0.75" top="1" bottom="1" header="0.5" footer="0.5"/>
  <pageSetup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241"/>
  <sheetViews>
    <sheetView topLeftCell="G149" workbookViewId="0">
      <selection activeCell="I150" sqref="I150:Q167"/>
    </sheetView>
  </sheetViews>
  <sheetFormatPr defaultRowHeight="12.5"/>
  <cols>
    <col min="1" max="1" width="15.81640625" customWidth="1"/>
    <col min="2" max="2" width="18" style="28" customWidth="1"/>
    <col min="3" max="4" width="15.81640625" style="24" customWidth="1"/>
    <col min="5" max="6" width="18" style="28" customWidth="1"/>
    <col min="7" max="7" width="11.81640625" style="100" customWidth="1"/>
    <col min="8" max="8" width="13.453125" style="100" customWidth="1"/>
    <col min="9" max="9" width="12.453125" style="1" bestFit="1" customWidth="1"/>
    <col min="10" max="10" width="12.453125" style="1" customWidth="1"/>
    <col min="11" max="11" width="15.81640625" style="24" hidden="1" customWidth="1"/>
    <col min="12" max="13" width="15.81640625" style="36" hidden="1" customWidth="1"/>
    <col min="14" max="14" width="15.81640625" style="24" hidden="1" customWidth="1"/>
    <col min="15" max="16" width="15.81640625" style="36" hidden="1" customWidth="1"/>
    <col min="17" max="17" width="15.81640625" style="1" customWidth="1"/>
    <col min="18" max="19" width="15.81640625" style="283" customWidth="1"/>
    <col min="20" max="20" width="17" style="1" customWidth="1"/>
    <col min="21" max="21" width="34.453125" style="1" bestFit="1" customWidth="1"/>
    <col min="22" max="22" width="25.81640625" bestFit="1" customWidth="1"/>
    <col min="23" max="25" width="18" customWidth="1"/>
    <col min="26" max="26" width="17.1796875" customWidth="1"/>
    <col min="27" max="28" width="15.81640625" customWidth="1"/>
    <col min="29" max="29" width="15" customWidth="1"/>
    <col min="30" max="30" width="22.453125" bestFit="1" customWidth="1"/>
  </cols>
  <sheetData>
    <row r="1" spans="1:35" ht="15.5">
      <c r="A1" s="44" t="str">
        <f>Summary!A1</f>
        <v>Lakeland Power Load Forecast for 2019 Rate Application</v>
      </c>
      <c r="L1" s="104"/>
      <c r="M1" s="104"/>
      <c r="N1" s="104"/>
      <c r="O1" s="104"/>
      <c r="P1" s="104"/>
      <c r="Q1"/>
      <c r="R1"/>
      <c r="S1"/>
    </row>
    <row r="2" spans="1:35" ht="42" customHeight="1">
      <c r="A2" s="96"/>
      <c r="B2" s="308" t="s">
        <v>0</v>
      </c>
      <c r="C2" s="311" t="s">
        <v>70</v>
      </c>
      <c r="D2" s="311" t="s">
        <v>346</v>
      </c>
      <c r="E2" s="308" t="s">
        <v>348</v>
      </c>
      <c r="F2" s="385" t="s">
        <v>349</v>
      </c>
      <c r="G2" s="309" t="s">
        <v>3</v>
      </c>
      <c r="H2" s="309" t="s">
        <v>4</v>
      </c>
      <c r="I2" s="310" t="s">
        <v>5</v>
      </c>
      <c r="J2" s="310" t="s">
        <v>19</v>
      </c>
      <c r="K2" s="311" t="s">
        <v>347</v>
      </c>
      <c r="L2" s="312" t="s">
        <v>117</v>
      </c>
      <c r="M2" s="312" t="s">
        <v>6</v>
      </c>
      <c r="N2" s="311" t="s">
        <v>72</v>
      </c>
      <c r="O2" s="312" t="s">
        <v>116</v>
      </c>
      <c r="P2" s="312" t="s">
        <v>115</v>
      </c>
      <c r="Q2" s="310" t="s">
        <v>11</v>
      </c>
      <c r="R2" s="12" t="s">
        <v>12</v>
      </c>
      <c r="S2" s="12" t="s">
        <v>261</v>
      </c>
      <c r="T2" s="12" t="s">
        <v>262</v>
      </c>
      <c r="U2" t="s">
        <v>120</v>
      </c>
    </row>
    <row r="3" spans="1:35" s="15" customFormat="1" ht="13" thickBot="1">
      <c r="A3" s="313">
        <v>39448</v>
      </c>
      <c r="B3" s="314">
        <f>'[14]Data Input'!B77+'[16]PSP less Loss factor'!B86</f>
        <v>33081269.249729559</v>
      </c>
      <c r="C3" s="317">
        <f>'CDM Activity'!F46</f>
        <v>172834.94840596907</v>
      </c>
      <c r="D3" s="383">
        <f>'Rate Class Energy Model'!F7</f>
        <v>1.0584179349428064</v>
      </c>
      <c r="E3" s="314">
        <f>C3*D3</f>
        <v>182931.60917779227</v>
      </c>
      <c r="F3" s="314">
        <f>B3+E3</f>
        <v>33264200.858907349</v>
      </c>
      <c r="G3" s="315">
        <f>'Weather Analysis'!R8</f>
        <v>753.1</v>
      </c>
      <c r="H3" s="315">
        <f>'Weather Analysis'!R28</f>
        <v>0</v>
      </c>
      <c r="I3" s="316">
        <v>31</v>
      </c>
      <c r="J3" s="316">
        <v>0</v>
      </c>
      <c r="K3" s="317">
        <v>1</v>
      </c>
      <c r="L3" s="318">
        <v>14.1</v>
      </c>
      <c r="M3" s="319">
        <f>'[18]Annual conv to Monthly'!B231</f>
        <v>139.96642175819056</v>
      </c>
      <c r="N3" s="317">
        <f>'[14]Data Input'!AJ77+'[16]PSP less Loss factor'!AA86</f>
        <v>3259</v>
      </c>
      <c r="O3" s="318">
        <v>172.6</v>
      </c>
      <c r="P3" s="318">
        <v>311.2</v>
      </c>
      <c r="Q3" s="316">
        <f>$V$18+G3*$V$19+H3*$V$20+I3*$V$21+J3*$V$22</f>
        <v>32460429.986872621</v>
      </c>
      <c r="R3" s="50">
        <f t="shared" ref="R3:R34" si="0">Q3-B3</f>
        <v>-620839.26285693794</v>
      </c>
      <c r="S3" s="291">
        <f t="shared" ref="S3:S34" si="1">R3/B3</f>
        <v>-1.8767093190114322E-2</v>
      </c>
      <c r="T3" s="292">
        <f t="shared" ref="T3:T66" si="2">ABS(S3)</f>
        <v>1.8767093190114322E-2</v>
      </c>
      <c r="U3"/>
      <c r="V3"/>
      <c r="W3"/>
      <c r="X3"/>
      <c r="Y3"/>
      <c r="Z3"/>
      <c r="AA3"/>
      <c r="AB3"/>
      <c r="AC3"/>
      <c r="AD3"/>
      <c r="AE3"/>
      <c r="AF3"/>
      <c r="AG3"/>
      <c r="AH3"/>
      <c r="AI3"/>
    </row>
    <row r="4" spans="1:35" ht="13">
      <c r="A4" s="313">
        <v>39479</v>
      </c>
      <c r="B4" s="314">
        <f>'[14]Data Input'!B78+'[16]PSP less Loss factor'!B87</f>
        <v>32015006.763418756</v>
      </c>
      <c r="C4" s="317">
        <f>'CDM Activity'!F47</f>
        <v>172254.38904178893</v>
      </c>
      <c r="D4" s="384">
        <f>D3</f>
        <v>1.0584179349428064</v>
      </c>
      <c r="E4" s="314">
        <f t="shared" ref="E4:E67" si="3">C4*D4</f>
        <v>182317.13473444502</v>
      </c>
      <c r="F4" s="314">
        <f t="shared" ref="F4:F67" si="4">B4+E4</f>
        <v>32197323.898153201</v>
      </c>
      <c r="G4" s="315">
        <f>'Weather Analysis'!R9</f>
        <v>815.6</v>
      </c>
      <c r="H4" s="315">
        <f>'Weather Analysis'!R29</f>
        <v>0</v>
      </c>
      <c r="I4" s="316">
        <v>29</v>
      </c>
      <c r="J4" s="316">
        <v>0</v>
      </c>
      <c r="K4" s="317">
        <v>2</v>
      </c>
      <c r="L4" s="318">
        <v>15.2</v>
      </c>
      <c r="M4" s="319">
        <f>'[18]Annual conv to Monthly'!B232</f>
        <v>139.86101141442734</v>
      </c>
      <c r="N4" s="317">
        <f>'[14]Data Input'!AJ78+'[16]PSP less Loss factor'!AA87</f>
        <v>3260</v>
      </c>
      <c r="O4" s="318">
        <v>171.6</v>
      </c>
      <c r="P4" s="318">
        <v>311.3</v>
      </c>
      <c r="Q4" s="316">
        <f t="shared" ref="Q4:Q67" si="5">$V$18+G4*$V$19+H4*$V$20+I4*$V$21+J4*$V$22</f>
        <v>31963249.838815607</v>
      </c>
      <c r="R4" s="50">
        <f t="shared" si="0"/>
        <v>-51756.924603149295</v>
      </c>
      <c r="S4" s="291">
        <f t="shared" si="1"/>
        <v>-1.6166457494642234E-3</v>
      </c>
      <c r="T4" s="292">
        <f t="shared" si="2"/>
        <v>1.6166457494642234E-3</v>
      </c>
      <c r="U4" s="112" t="s">
        <v>20</v>
      </c>
      <c r="V4" s="112"/>
      <c r="W4" s="111"/>
      <c r="X4" s="111"/>
      <c r="Y4" s="111"/>
      <c r="Z4" s="111"/>
    </row>
    <row r="5" spans="1:35">
      <c r="A5" s="313">
        <v>39508</v>
      </c>
      <c r="B5" s="314">
        <f>'[14]Data Input'!B79+'[16]PSP less Loss factor'!B88</f>
        <v>31531548.233905546</v>
      </c>
      <c r="C5" s="317">
        <f>'CDM Activity'!F48</f>
        <v>171673.8296776088</v>
      </c>
      <c r="D5" s="384">
        <f t="shared" ref="D5:D14" si="6">D4</f>
        <v>1.0584179349428064</v>
      </c>
      <c r="E5" s="314">
        <f t="shared" si="3"/>
        <v>181702.66029109777</v>
      </c>
      <c r="F5" s="314">
        <f t="shared" si="4"/>
        <v>31713250.894196644</v>
      </c>
      <c r="G5" s="315">
        <f>'Weather Analysis'!R10</f>
        <v>760.5</v>
      </c>
      <c r="H5" s="315">
        <f>'Weather Analysis'!R30</f>
        <v>0</v>
      </c>
      <c r="I5" s="316">
        <v>31</v>
      </c>
      <c r="J5" s="316">
        <v>1</v>
      </c>
      <c r="K5" s="317">
        <v>3</v>
      </c>
      <c r="L5" s="318">
        <v>17.3</v>
      </c>
      <c r="M5" s="319">
        <f>'[18]Annual conv to Monthly'!B233</f>
        <v>139.75568045642274</v>
      </c>
      <c r="N5" s="317">
        <f>'[14]Data Input'!AJ79+'[16]PSP less Loss factor'!AA88</f>
        <v>3252</v>
      </c>
      <c r="O5" s="318">
        <v>170.6</v>
      </c>
      <c r="P5" s="318">
        <v>311.39999999999998</v>
      </c>
      <c r="Q5" s="316">
        <f t="shared" si="5"/>
        <v>31247435.775476031</v>
      </c>
      <c r="R5" s="50">
        <f t="shared" si="0"/>
        <v>-284112.45842951536</v>
      </c>
      <c r="S5" s="291">
        <f t="shared" si="1"/>
        <v>-9.0104189087680826E-3</v>
      </c>
      <c r="T5" s="292">
        <f t="shared" si="2"/>
        <v>9.0104189087680826E-3</v>
      </c>
      <c r="U5" s="113" t="s">
        <v>21</v>
      </c>
      <c r="V5" s="91">
        <v>0.97490245580963864</v>
      </c>
      <c r="W5" s="111"/>
      <c r="X5" s="111"/>
      <c r="Y5" s="111"/>
      <c r="Z5" s="111"/>
    </row>
    <row r="6" spans="1:35">
      <c r="A6" s="313">
        <v>39539</v>
      </c>
      <c r="B6" s="314">
        <f>'[14]Data Input'!B80+'[16]PSP less Loss factor'!B89</f>
        <v>24908639.262199</v>
      </c>
      <c r="C6" s="317">
        <f>'CDM Activity'!F49</f>
        <v>171093.27031342866</v>
      </c>
      <c r="D6" s="384">
        <f t="shared" si="6"/>
        <v>1.0584179349428064</v>
      </c>
      <c r="E6" s="314">
        <f t="shared" si="3"/>
        <v>181088.18584775052</v>
      </c>
      <c r="F6" s="314">
        <f t="shared" si="4"/>
        <v>25089727.448046751</v>
      </c>
      <c r="G6" s="315">
        <f>'Weather Analysis'!R11</f>
        <v>348.6</v>
      </c>
      <c r="H6" s="315">
        <f>'Weather Analysis'!R31</f>
        <v>0</v>
      </c>
      <c r="I6" s="316">
        <v>30</v>
      </c>
      <c r="J6" s="316">
        <v>1</v>
      </c>
      <c r="K6" s="317">
        <v>4</v>
      </c>
      <c r="L6" s="318">
        <v>17.100000000000001</v>
      </c>
      <c r="M6" s="319">
        <f>'[18]Annual conv to Monthly'!B234</f>
        <v>139.65042882439042</v>
      </c>
      <c r="N6" s="317">
        <f>'[14]Data Input'!AJ80+'[16]PSP less Loss factor'!AA89</f>
        <v>3257</v>
      </c>
      <c r="O6" s="318">
        <v>170.4</v>
      </c>
      <c r="P6" s="318">
        <v>311.5</v>
      </c>
      <c r="Q6" s="316">
        <f t="shared" si="5"/>
        <v>24845635.12715856</v>
      </c>
      <c r="R6" s="50">
        <f t="shared" si="0"/>
        <v>-63004.135040439665</v>
      </c>
      <c r="S6" s="291">
        <f t="shared" si="1"/>
        <v>-2.5294089483263687E-3</v>
      </c>
      <c r="T6" s="292">
        <f t="shared" si="2"/>
        <v>2.5294089483263687E-3</v>
      </c>
      <c r="U6" s="113" t="s">
        <v>22</v>
      </c>
      <c r="V6" s="91">
        <v>0.9504347983436644</v>
      </c>
      <c r="W6" s="111"/>
      <c r="X6" s="111"/>
      <c r="Y6" s="111"/>
      <c r="Z6" s="111"/>
    </row>
    <row r="7" spans="1:35">
      <c r="A7" s="313">
        <v>39569</v>
      </c>
      <c r="B7" s="314">
        <f>'[14]Data Input'!B81+'[16]PSP less Loss factor'!B90</f>
        <v>23465991.651181944</v>
      </c>
      <c r="C7" s="317">
        <f>'CDM Activity'!F50</f>
        <v>170512.71094924852</v>
      </c>
      <c r="D7" s="384">
        <f t="shared" si="6"/>
        <v>1.0584179349428064</v>
      </c>
      <c r="E7" s="314">
        <f t="shared" si="3"/>
        <v>180473.71140440326</v>
      </c>
      <c r="F7" s="314">
        <f t="shared" si="4"/>
        <v>23646465.362586346</v>
      </c>
      <c r="G7" s="315">
        <f>'Weather Analysis'!R12</f>
        <v>277.3</v>
      </c>
      <c r="H7" s="315">
        <f>'Weather Analysis'!R32</f>
        <v>0</v>
      </c>
      <c r="I7" s="316">
        <v>31</v>
      </c>
      <c r="J7" s="316">
        <v>1</v>
      </c>
      <c r="K7" s="317">
        <v>5</v>
      </c>
      <c r="L7" s="318">
        <v>15.9</v>
      </c>
      <c r="M7" s="319">
        <f>'[18]Annual conv to Monthly'!B235</f>
        <v>139.54525645858905</v>
      </c>
      <c r="N7" s="317">
        <f>'[14]Data Input'!AJ81+'[16]PSP less Loss factor'!AA90</f>
        <v>3274</v>
      </c>
      <c r="O7" s="318">
        <v>175.5</v>
      </c>
      <c r="P7" s="318">
        <v>311.60000000000002</v>
      </c>
      <c r="Q7" s="316">
        <f t="shared" si="5"/>
        <v>24538124.369639568</v>
      </c>
      <c r="R7" s="50">
        <f t="shared" si="0"/>
        <v>1072132.7184576243</v>
      </c>
      <c r="S7" s="291">
        <f t="shared" si="1"/>
        <v>4.5688788029702665E-2</v>
      </c>
      <c r="T7" s="292">
        <f t="shared" si="2"/>
        <v>4.5688788029702665E-2</v>
      </c>
      <c r="U7" s="113" t="s">
        <v>23</v>
      </c>
      <c r="V7" s="91">
        <v>0.94871079132953096</v>
      </c>
      <c r="W7" s="111"/>
      <c r="X7" s="111"/>
      <c r="Y7" s="111"/>
      <c r="Z7" s="111"/>
    </row>
    <row r="8" spans="1:35">
      <c r="A8" s="313">
        <v>39600</v>
      </c>
      <c r="B8" s="314">
        <f>'[14]Data Input'!B82+'[16]PSP less Loss factor'!B91</f>
        <v>22918971.119040713</v>
      </c>
      <c r="C8" s="317">
        <f>'CDM Activity'!F51</f>
        <v>169932.15158506838</v>
      </c>
      <c r="D8" s="384">
        <f t="shared" si="6"/>
        <v>1.0584179349428064</v>
      </c>
      <c r="E8" s="314">
        <f t="shared" si="3"/>
        <v>179859.23696105604</v>
      </c>
      <c r="F8" s="314">
        <f t="shared" si="4"/>
        <v>23098830.356001768</v>
      </c>
      <c r="G8" s="315">
        <f>'Weather Analysis'!R13</f>
        <v>48.4</v>
      </c>
      <c r="H8" s="315">
        <f>'Weather Analysis'!R33</f>
        <v>36.4</v>
      </c>
      <c r="I8" s="316">
        <v>30</v>
      </c>
      <c r="J8" s="316">
        <v>0</v>
      </c>
      <c r="K8" s="317">
        <v>6</v>
      </c>
      <c r="L8" s="318">
        <v>13.4</v>
      </c>
      <c r="M8" s="319">
        <f>'[18]Annual conv to Monthly'!B236</f>
        <v>139.44016329932234</v>
      </c>
      <c r="N8" s="317">
        <f>'[14]Data Input'!AJ82+'[16]PSP less Loss factor'!AA91</f>
        <v>3246</v>
      </c>
      <c r="O8" s="318">
        <v>184.4</v>
      </c>
      <c r="P8" s="318">
        <v>311.8</v>
      </c>
      <c r="Q8" s="316">
        <f t="shared" si="5"/>
        <v>23599951.115380149</v>
      </c>
      <c r="R8" s="50">
        <f t="shared" si="0"/>
        <v>680979.99633943662</v>
      </c>
      <c r="S8" s="291">
        <f t="shared" si="1"/>
        <v>2.9712502921812638E-2</v>
      </c>
      <c r="T8" s="292">
        <f t="shared" si="2"/>
        <v>2.9712502921812638E-2</v>
      </c>
      <c r="U8" s="113" t="s">
        <v>24</v>
      </c>
      <c r="V8" s="118">
        <v>840853.3289629654</v>
      </c>
      <c r="W8" s="111"/>
      <c r="X8" s="111"/>
      <c r="Y8" s="111"/>
      <c r="Z8" s="111"/>
    </row>
    <row r="9" spans="1:35" ht="13" thickBot="1">
      <c r="A9" s="313">
        <v>39630</v>
      </c>
      <c r="B9" s="314">
        <f>'[14]Data Input'!B83+'[16]PSP less Loss factor'!B92</f>
        <v>24654654.234536804</v>
      </c>
      <c r="C9" s="317">
        <f>'CDM Activity'!F52</f>
        <v>169351.59222088824</v>
      </c>
      <c r="D9" s="384">
        <f t="shared" si="6"/>
        <v>1.0584179349428064</v>
      </c>
      <c r="E9" s="314">
        <f t="shared" si="3"/>
        <v>179244.76251770879</v>
      </c>
      <c r="F9" s="314">
        <f t="shared" si="4"/>
        <v>24833898.997054514</v>
      </c>
      <c r="G9" s="315">
        <f>'Weather Analysis'!R14</f>
        <v>13.9</v>
      </c>
      <c r="H9" s="315">
        <f>'Weather Analysis'!R34</f>
        <v>54.1</v>
      </c>
      <c r="I9" s="316">
        <v>31</v>
      </c>
      <c r="J9" s="316">
        <v>0</v>
      </c>
      <c r="K9" s="317">
        <v>7</v>
      </c>
      <c r="L9" s="318">
        <v>11.1</v>
      </c>
      <c r="M9" s="319">
        <f>'[18]Annual conv to Monthly'!B237</f>
        <v>139.3351492869389</v>
      </c>
      <c r="N9" s="317">
        <f>'[14]Data Input'!AJ83+'[16]PSP less Loss factor'!AA92</f>
        <v>3265</v>
      </c>
      <c r="O9" s="318">
        <v>190.4</v>
      </c>
      <c r="P9" s="318">
        <v>312</v>
      </c>
      <c r="Q9" s="316">
        <f t="shared" si="5"/>
        <v>24584790.578865044</v>
      </c>
      <c r="R9" s="50">
        <f t="shared" si="0"/>
        <v>-69863.65567176044</v>
      </c>
      <c r="S9" s="291">
        <f t="shared" si="1"/>
        <v>-2.83369034532611E-3</v>
      </c>
      <c r="T9" s="292">
        <f t="shared" si="2"/>
        <v>2.83369034532611E-3</v>
      </c>
      <c r="U9" s="114" t="s">
        <v>25</v>
      </c>
      <c r="V9" s="114">
        <v>120</v>
      </c>
      <c r="W9" s="111"/>
      <c r="X9" s="111"/>
      <c r="Y9" s="111"/>
      <c r="Z9" s="111"/>
    </row>
    <row r="10" spans="1:35">
      <c r="A10" s="313">
        <v>39661</v>
      </c>
      <c r="B10" s="314">
        <f>'[14]Data Input'!B84+'[16]PSP less Loss factor'!B93</f>
        <v>24056920.737527069</v>
      </c>
      <c r="C10" s="317">
        <f>'CDM Activity'!F53</f>
        <v>168771.0328567081</v>
      </c>
      <c r="D10" s="384">
        <f t="shared" si="6"/>
        <v>1.0584179349428064</v>
      </c>
      <c r="E10" s="314">
        <f t="shared" si="3"/>
        <v>178630.28807436154</v>
      </c>
      <c r="F10" s="314">
        <f t="shared" si="4"/>
        <v>24235551.025601432</v>
      </c>
      <c r="G10" s="315">
        <f>'Weather Analysis'!R15</f>
        <v>39.4</v>
      </c>
      <c r="H10" s="315">
        <f>'Weather Analysis'!R35</f>
        <v>26</v>
      </c>
      <c r="I10" s="316">
        <v>31</v>
      </c>
      <c r="J10" s="316">
        <v>0</v>
      </c>
      <c r="K10" s="317">
        <v>8</v>
      </c>
      <c r="L10" s="318">
        <v>11.2</v>
      </c>
      <c r="M10" s="319">
        <f>'[18]Annual conv to Monthly'!B238</f>
        <v>139.23021436183228</v>
      </c>
      <c r="N10" s="317">
        <f>'[14]Data Input'!AJ84+'[16]PSP less Loss factor'!AA93</f>
        <v>3300</v>
      </c>
      <c r="O10" s="318">
        <v>190.6</v>
      </c>
      <c r="P10" s="318">
        <v>312.2</v>
      </c>
      <c r="Q10" s="316">
        <f t="shared" si="5"/>
        <v>23698372.411936305</v>
      </c>
      <c r="R10" s="50">
        <f t="shared" si="0"/>
        <v>-358548.32559076324</v>
      </c>
      <c r="S10" s="291">
        <f t="shared" si="1"/>
        <v>-1.4904165396008209E-2</v>
      </c>
      <c r="T10" s="292">
        <f t="shared" si="2"/>
        <v>1.4904165396008209E-2</v>
      </c>
      <c r="U10" s="111"/>
      <c r="V10" s="111"/>
      <c r="W10" s="111"/>
      <c r="X10" s="111"/>
      <c r="Y10" s="111"/>
      <c r="Z10" s="111"/>
    </row>
    <row r="11" spans="1:35" ht="13" thickBot="1">
      <c r="A11" s="313">
        <v>39692</v>
      </c>
      <c r="B11" s="314">
        <f>'[14]Data Input'!B85+'[16]PSP less Loss factor'!B94</f>
        <v>22764184.01276195</v>
      </c>
      <c r="C11" s="317">
        <f>'CDM Activity'!F54</f>
        <v>168190.47349252796</v>
      </c>
      <c r="D11" s="384">
        <f t="shared" si="6"/>
        <v>1.0584179349428064</v>
      </c>
      <c r="E11" s="314">
        <f t="shared" si="3"/>
        <v>178015.81363101429</v>
      </c>
      <c r="F11" s="314">
        <f t="shared" si="4"/>
        <v>22942199.826392964</v>
      </c>
      <c r="G11" s="315">
        <f>'Weather Analysis'!R16</f>
        <v>132.69999999999999</v>
      </c>
      <c r="H11" s="315">
        <f>'Weather Analysis'!R36</f>
        <v>5.0999999999999996</v>
      </c>
      <c r="I11" s="316">
        <v>30</v>
      </c>
      <c r="J11" s="316">
        <v>1</v>
      </c>
      <c r="K11" s="317">
        <v>9</v>
      </c>
      <c r="L11" s="318">
        <v>9.6999999999999993</v>
      </c>
      <c r="M11" s="319">
        <f>'[18]Annual conv to Monthly'!B239</f>
        <v>139.12535846444095</v>
      </c>
      <c r="N11" s="317">
        <f>'[14]Data Input'!AJ85+'[16]PSP less Loss factor'!AA94</f>
        <v>3286</v>
      </c>
      <c r="O11" s="318">
        <v>188.3</v>
      </c>
      <c r="P11" s="318">
        <v>312.3</v>
      </c>
      <c r="Q11" s="316">
        <f t="shared" si="5"/>
        <v>22072970.434896439</v>
      </c>
      <c r="R11" s="50">
        <f t="shared" si="0"/>
        <v>-691213.57786551118</v>
      </c>
      <c r="S11" s="291">
        <f t="shared" si="1"/>
        <v>-3.0364083222926254E-2</v>
      </c>
      <c r="T11" s="292">
        <f t="shared" si="2"/>
        <v>3.0364083222926254E-2</v>
      </c>
      <c r="U11" s="111" t="s">
        <v>26</v>
      </c>
      <c r="V11" s="111"/>
      <c r="W11" s="111"/>
      <c r="X11" s="111"/>
      <c r="Y11" s="111"/>
      <c r="Z11" s="111"/>
    </row>
    <row r="12" spans="1:35" ht="13">
      <c r="A12" s="313">
        <v>39722</v>
      </c>
      <c r="B12" s="314">
        <f>'[14]Data Input'!B86+'[16]PSP less Loss factor'!B95</f>
        <v>25605181.733395096</v>
      </c>
      <c r="C12" s="317">
        <f>'CDM Activity'!F55</f>
        <v>167609.91412834782</v>
      </c>
      <c r="D12" s="384">
        <f t="shared" si="6"/>
        <v>1.0584179349428064</v>
      </c>
      <c r="E12" s="314">
        <f t="shared" si="3"/>
        <v>177401.33918766704</v>
      </c>
      <c r="F12" s="314">
        <f t="shared" si="4"/>
        <v>25782583.072582763</v>
      </c>
      <c r="G12" s="315">
        <f>'Weather Analysis'!R17</f>
        <v>372.5</v>
      </c>
      <c r="H12" s="315">
        <f>'Weather Analysis'!R37</f>
        <v>0</v>
      </c>
      <c r="I12" s="316">
        <v>31</v>
      </c>
      <c r="J12" s="316">
        <v>1</v>
      </c>
      <c r="K12" s="317">
        <v>10</v>
      </c>
      <c r="L12" s="318">
        <v>10.199999999999999</v>
      </c>
      <c r="M12" s="319">
        <f>'[18]Annual conv to Monthly'!B240</f>
        <v>139.02058153524823</v>
      </c>
      <c r="N12" s="317">
        <f>'[14]Data Input'!AJ86+'[16]PSP less Loss factor'!AA95</f>
        <v>3314</v>
      </c>
      <c r="O12" s="318">
        <v>187.3</v>
      </c>
      <c r="P12" s="318">
        <v>312.39999999999998</v>
      </c>
      <c r="Q12" s="316">
        <f t="shared" si="5"/>
        <v>25859992.014166951</v>
      </c>
      <c r="R12" s="50">
        <f t="shared" si="0"/>
        <v>254810.28077185526</v>
      </c>
      <c r="S12" s="291">
        <f t="shared" si="1"/>
        <v>9.9515122925108376E-3</v>
      </c>
      <c r="T12" s="292">
        <f t="shared" si="2"/>
        <v>9.9515122925108376E-3</v>
      </c>
      <c r="U12" s="115"/>
      <c r="V12" s="115" t="s">
        <v>30</v>
      </c>
      <c r="W12" s="115" t="s">
        <v>31</v>
      </c>
      <c r="X12" s="115" t="s">
        <v>32</v>
      </c>
      <c r="Y12" s="115" t="s">
        <v>33</v>
      </c>
      <c r="Z12" s="115" t="s">
        <v>34</v>
      </c>
    </row>
    <row r="13" spans="1:35">
      <c r="A13" s="313">
        <v>39753</v>
      </c>
      <c r="B13" s="314">
        <f>'[14]Data Input'!B87+'[16]PSP less Loss factor'!B96</f>
        <v>28069431.084584422</v>
      </c>
      <c r="C13" s="317">
        <f>'CDM Activity'!F56</f>
        <v>167029.35476416769</v>
      </c>
      <c r="D13" s="384">
        <f t="shared" si="6"/>
        <v>1.0584179349428064</v>
      </c>
      <c r="E13" s="314">
        <f t="shared" si="3"/>
        <v>176786.86474431978</v>
      </c>
      <c r="F13" s="314">
        <f t="shared" si="4"/>
        <v>28246217.949328743</v>
      </c>
      <c r="G13" s="315">
        <f>'Weather Analysis'!R18</f>
        <v>555.9</v>
      </c>
      <c r="H13" s="315">
        <f>'Weather Analysis'!R38</f>
        <v>0</v>
      </c>
      <c r="I13" s="316">
        <v>30</v>
      </c>
      <c r="J13" s="316">
        <v>1</v>
      </c>
      <c r="K13" s="317">
        <v>11</v>
      </c>
      <c r="L13" s="318">
        <v>9.4</v>
      </c>
      <c r="M13" s="319">
        <f>'[18]Annual conv to Monthly'!B241</f>
        <v>138.91588351478222</v>
      </c>
      <c r="N13" s="317">
        <f>'[14]Data Input'!AJ87+'[16]PSP less Loss factor'!AA96</f>
        <v>3314</v>
      </c>
      <c r="O13" s="318">
        <v>183.5</v>
      </c>
      <c r="P13" s="318">
        <v>312.5</v>
      </c>
      <c r="Q13" s="316">
        <f t="shared" si="5"/>
        <v>27724029.693445601</v>
      </c>
      <c r="R13" s="50">
        <f t="shared" si="0"/>
        <v>-345401.39113882184</v>
      </c>
      <c r="S13" s="291">
        <f t="shared" si="1"/>
        <v>-1.2305250865184596E-2</v>
      </c>
      <c r="T13" s="292">
        <f t="shared" si="2"/>
        <v>1.2305250865184596E-2</v>
      </c>
      <c r="U13" s="113" t="s">
        <v>27</v>
      </c>
      <c r="V13" s="113">
        <v>4</v>
      </c>
      <c r="W13" s="113">
        <v>1559135239310116.7</v>
      </c>
      <c r="X13" s="113">
        <v>389783809827529.19</v>
      </c>
      <c r="Y13" s="113">
        <v>551.29404378984327</v>
      </c>
      <c r="Z13" s="113">
        <v>5.2255935737718099E-74</v>
      </c>
    </row>
    <row r="14" spans="1:35" s="33" customFormat="1">
      <c r="A14" s="313">
        <v>39783</v>
      </c>
      <c r="B14" s="314">
        <f>'[14]Data Input'!B88+'[16]PSP less Loss factor'!B97</f>
        <v>33339608.940400124</v>
      </c>
      <c r="C14" s="317">
        <f>'CDM Activity'!F57</f>
        <v>166448.79539998755</v>
      </c>
      <c r="D14" s="384">
        <f t="shared" si="6"/>
        <v>1.0584179349428064</v>
      </c>
      <c r="E14" s="314">
        <f t="shared" si="3"/>
        <v>176172.39030097253</v>
      </c>
      <c r="F14" s="314">
        <f t="shared" si="4"/>
        <v>33515781.330701098</v>
      </c>
      <c r="G14" s="315">
        <f>'Weather Analysis'!R19</f>
        <v>782.6</v>
      </c>
      <c r="H14" s="315">
        <f>'Weather Analysis'!R39</f>
        <v>0</v>
      </c>
      <c r="I14" s="316">
        <v>31</v>
      </c>
      <c r="J14" s="316">
        <v>0</v>
      </c>
      <c r="K14" s="317">
        <v>12</v>
      </c>
      <c r="L14" s="318">
        <v>10.1</v>
      </c>
      <c r="M14" s="319">
        <f>'[18]Annual conv to Monthly'!B242</f>
        <v>138.8112643436159</v>
      </c>
      <c r="N14" s="317">
        <f>'[14]Data Input'!AJ88+'[16]PSP less Loss factor'!AA97</f>
        <v>3311</v>
      </c>
      <c r="O14" s="318">
        <v>177.7</v>
      </c>
      <c r="P14" s="318">
        <v>312.60000000000002</v>
      </c>
      <c r="Q14" s="316">
        <f t="shared" si="5"/>
        <v>32870042.334704109</v>
      </c>
      <c r="R14" s="50">
        <f t="shared" si="0"/>
        <v>-469566.60569601506</v>
      </c>
      <c r="S14" s="291">
        <f t="shared" si="1"/>
        <v>-1.4084346536140852E-2</v>
      </c>
      <c r="T14" s="292">
        <f t="shared" si="2"/>
        <v>1.4084346536140852E-2</v>
      </c>
      <c r="U14" s="113" t="s">
        <v>28</v>
      </c>
      <c r="V14" s="113">
        <v>115</v>
      </c>
      <c r="W14" s="113">
        <v>81308946895231.609</v>
      </c>
      <c r="X14" s="113">
        <v>707034320828.10095</v>
      </c>
      <c r="Y14" s="113"/>
      <c r="Z14" s="113"/>
      <c r="AA14"/>
      <c r="AB14"/>
      <c r="AC14"/>
      <c r="AD14"/>
      <c r="AE14"/>
      <c r="AF14"/>
      <c r="AG14"/>
      <c r="AH14"/>
      <c r="AI14"/>
    </row>
    <row r="15" spans="1:35" ht="13" thickBot="1">
      <c r="A15" s="313">
        <v>39814</v>
      </c>
      <c r="B15" s="314">
        <f>'[14]Data Input'!B89+'[16]PSP less Loss factor'!B98</f>
        <v>36644143.048732899</v>
      </c>
      <c r="C15" s="317">
        <f>'CDM Activity'!F58</f>
        <v>179150.9741531414</v>
      </c>
      <c r="D15" s="383">
        <f>'Rate Class Energy Model'!F8</f>
        <v>1.0662580508067088</v>
      </c>
      <c r="E15" s="314">
        <f t="shared" si="3"/>
        <v>191021.16850065161</v>
      </c>
      <c r="F15" s="314">
        <f t="shared" si="4"/>
        <v>36835164.217233554</v>
      </c>
      <c r="G15" s="315">
        <f>'Weather Analysis'!S8</f>
        <v>995.4</v>
      </c>
      <c r="H15" s="315">
        <f>'Weather Analysis'!S28</f>
        <v>0</v>
      </c>
      <c r="I15" s="316">
        <v>31</v>
      </c>
      <c r="J15" s="316">
        <v>0</v>
      </c>
      <c r="K15" s="317">
        <v>13</v>
      </c>
      <c r="L15" s="318">
        <v>10.9</v>
      </c>
      <c r="M15" s="319">
        <f>'[18]Annual conv to Monthly'!B243</f>
        <v>138.43555825854429</v>
      </c>
      <c r="N15" s="317">
        <f>'[14]Data Input'!AJ89+'[16]PSP less Loss factor'!AA98</f>
        <v>3302</v>
      </c>
      <c r="O15" s="318">
        <v>169.7</v>
      </c>
      <c r="P15" s="318">
        <v>312.60000000000002</v>
      </c>
      <c r="Q15" s="316">
        <f t="shared" si="5"/>
        <v>35824805.304824144</v>
      </c>
      <c r="R15" s="50">
        <f t="shared" si="0"/>
        <v>-819337.74390875548</v>
      </c>
      <c r="S15" s="291">
        <f t="shared" si="1"/>
        <v>-2.2359309721586926E-2</v>
      </c>
      <c r="T15" s="292">
        <f t="shared" si="2"/>
        <v>2.2359309721586926E-2</v>
      </c>
      <c r="U15" s="114" t="s">
        <v>10</v>
      </c>
      <c r="V15" s="114">
        <v>119</v>
      </c>
      <c r="W15" s="114">
        <v>1640444186205348.2</v>
      </c>
      <c r="X15" s="114"/>
      <c r="Y15" s="114"/>
      <c r="Z15" s="114"/>
    </row>
    <row r="16" spans="1:35" ht="13" thickBot="1">
      <c r="A16" s="313">
        <v>39845</v>
      </c>
      <c r="B16" s="314">
        <f>'[14]Data Input'!B90+'[16]PSP less Loss factor'!B99</f>
        <v>30107352.823008366</v>
      </c>
      <c r="C16" s="317">
        <f>'CDM Activity'!F59</f>
        <v>191853.15290629526</v>
      </c>
      <c r="D16" s="384">
        <f>D15</f>
        <v>1.0662580508067088</v>
      </c>
      <c r="E16" s="314">
        <f t="shared" si="3"/>
        <v>204564.96885898785</v>
      </c>
      <c r="F16" s="314">
        <f t="shared" si="4"/>
        <v>30311917.791867353</v>
      </c>
      <c r="G16" s="315">
        <f>'Weather Analysis'!S9</f>
        <v>723.7</v>
      </c>
      <c r="H16" s="315">
        <f>'Weather Analysis'!S29</f>
        <v>0</v>
      </c>
      <c r="I16" s="316">
        <v>28</v>
      </c>
      <c r="J16" s="316">
        <v>0</v>
      </c>
      <c r="K16" s="317">
        <v>14</v>
      </c>
      <c r="L16" s="318">
        <v>12.4</v>
      </c>
      <c r="M16" s="319">
        <f>'[18]Annual conv to Monthly'!B244</f>
        <v>138.06086905825526</v>
      </c>
      <c r="N16" s="317">
        <f>'[14]Data Input'!AJ90+'[16]PSP less Loss factor'!AA99</f>
        <v>3295</v>
      </c>
      <c r="O16" s="318">
        <v>167.8</v>
      </c>
      <c r="P16" s="318">
        <v>312.60000000000002</v>
      </c>
      <c r="Q16" s="316">
        <f t="shared" si="5"/>
        <v>30004701.777144805</v>
      </c>
      <c r="R16" s="50">
        <f t="shared" si="0"/>
        <v>-102651.04586356133</v>
      </c>
      <c r="S16" s="291">
        <f t="shared" si="1"/>
        <v>-3.4095008773110829E-3</v>
      </c>
      <c r="T16" s="292">
        <f t="shared" si="2"/>
        <v>3.4095008773110829E-3</v>
      </c>
      <c r="U16" s="111"/>
      <c r="V16" s="111"/>
      <c r="W16" s="111"/>
      <c r="X16" s="111"/>
      <c r="Y16" s="111"/>
      <c r="Z16" s="111"/>
    </row>
    <row r="17" spans="1:27" ht="13">
      <c r="A17" s="313">
        <v>39873</v>
      </c>
      <c r="B17" s="314">
        <f>'[14]Data Input'!B91+'[16]PSP less Loss factor'!B100</f>
        <v>30275228.257078081</v>
      </c>
      <c r="C17" s="317">
        <f>'CDM Activity'!F60</f>
        <v>204555.33165944912</v>
      </c>
      <c r="D17" s="384">
        <f t="shared" ref="D17:D26" si="7">D16</f>
        <v>1.0662580508067088</v>
      </c>
      <c r="E17" s="314">
        <f t="shared" si="3"/>
        <v>218108.76921732406</v>
      </c>
      <c r="F17" s="314">
        <f t="shared" si="4"/>
        <v>30493337.026295405</v>
      </c>
      <c r="G17" s="315">
        <f>'Weather Analysis'!S10</f>
        <v>652.29999999999995</v>
      </c>
      <c r="H17" s="315">
        <f>'Weather Analysis'!S30</f>
        <v>0</v>
      </c>
      <c r="I17" s="316">
        <v>31</v>
      </c>
      <c r="J17" s="316">
        <v>1</v>
      </c>
      <c r="K17" s="317">
        <v>15</v>
      </c>
      <c r="L17" s="318">
        <v>15.6</v>
      </c>
      <c r="M17" s="319">
        <f>'[18]Annual conv to Monthly'!B245</f>
        <v>137.68719399045199</v>
      </c>
      <c r="N17" s="317">
        <f>'[14]Data Input'!AJ91+'[16]PSP less Loss factor'!AA100</f>
        <v>3290</v>
      </c>
      <c r="O17" s="318">
        <v>165.6</v>
      </c>
      <c r="P17" s="318">
        <v>312.7</v>
      </c>
      <c r="Q17" s="316">
        <f t="shared" si="5"/>
        <v>29745060.994616129</v>
      </c>
      <c r="R17" s="50">
        <f t="shared" si="0"/>
        <v>-530167.26246195287</v>
      </c>
      <c r="S17" s="291">
        <f t="shared" si="1"/>
        <v>-1.7511585972535298E-2</v>
      </c>
      <c r="T17" s="292">
        <f t="shared" si="2"/>
        <v>1.7511585972535298E-2</v>
      </c>
      <c r="U17" s="115"/>
      <c r="V17" s="115" t="s">
        <v>35</v>
      </c>
      <c r="W17" s="115" t="s">
        <v>24</v>
      </c>
      <c r="X17" s="115" t="s">
        <v>36</v>
      </c>
      <c r="Y17" s="115" t="s">
        <v>37</v>
      </c>
      <c r="Z17" s="115" t="s">
        <v>38</v>
      </c>
      <c r="AA17" s="115" t="s">
        <v>39</v>
      </c>
    </row>
    <row r="18" spans="1:27">
      <c r="A18" s="313">
        <v>39904</v>
      </c>
      <c r="B18" s="314">
        <f>'[14]Data Input'!B92+'[16]PSP less Loss factor'!B101</f>
        <v>24928066.931406528</v>
      </c>
      <c r="C18" s="317">
        <f>'CDM Activity'!F61</f>
        <v>217257.51041260298</v>
      </c>
      <c r="D18" s="384">
        <f t="shared" si="7"/>
        <v>1.0662580508067088</v>
      </c>
      <c r="E18" s="314">
        <f t="shared" si="3"/>
        <v>231652.56957566028</v>
      </c>
      <c r="F18" s="314">
        <f t="shared" si="4"/>
        <v>25159719.500982188</v>
      </c>
      <c r="G18" s="315">
        <f>'Weather Analysis'!S11</f>
        <v>379.9</v>
      </c>
      <c r="H18" s="315">
        <f>'Weather Analysis'!S31</f>
        <v>0</v>
      </c>
      <c r="I18" s="316">
        <v>30</v>
      </c>
      <c r="J18" s="316">
        <v>1</v>
      </c>
      <c r="K18" s="317">
        <v>16</v>
      </c>
      <c r="L18" s="318">
        <v>17.899999999999999</v>
      </c>
      <c r="M18" s="319">
        <f>'[18]Annual conv to Monthly'!B246</f>
        <v>137.31453031028698</v>
      </c>
      <c r="N18" s="317">
        <f>'[14]Data Input'!AJ92+'[16]PSP less Loss factor'!AA101</f>
        <v>3289</v>
      </c>
      <c r="O18" s="318">
        <v>165.9</v>
      </c>
      <c r="P18" s="318">
        <v>312.7</v>
      </c>
      <c r="Q18" s="316">
        <f t="shared" si="5"/>
        <v>25280240.770789936</v>
      </c>
      <c r="R18" s="50">
        <f t="shared" si="0"/>
        <v>352173.83938340843</v>
      </c>
      <c r="S18" s="291">
        <f t="shared" si="1"/>
        <v>1.4127603249480586E-2</v>
      </c>
      <c r="T18" s="292">
        <f t="shared" si="2"/>
        <v>1.4127603249480586E-2</v>
      </c>
      <c r="U18" s="113" t="s">
        <v>29</v>
      </c>
      <c r="V18" s="63">
        <v>845967.48474658618</v>
      </c>
      <c r="W18" s="63">
        <v>3000557.9440368274</v>
      </c>
      <c r="X18" s="61">
        <v>0.28193672661040375</v>
      </c>
      <c r="Y18" s="113">
        <v>0.77849876691883391</v>
      </c>
      <c r="Z18" s="63">
        <v>-5097560.3183208052</v>
      </c>
      <c r="AA18" s="63">
        <v>6789495.2878139783</v>
      </c>
    </row>
    <row r="19" spans="1:27">
      <c r="A19" s="313">
        <v>39934</v>
      </c>
      <c r="B19" s="314">
        <f>'[14]Data Input'!B93+'[16]PSP less Loss factor'!B102</f>
        <v>22752809.991994642</v>
      </c>
      <c r="C19" s="317">
        <f>'CDM Activity'!F62</f>
        <v>229959.68916575683</v>
      </c>
      <c r="D19" s="384">
        <f t="shared" si="7"/>
        <v>1.0662580508067088</v>
      </c>
      <c r="E19" s="314">
        <f t="shared" si="3"/>
        <v>245196.3699339965</v>
      </c>
      <c r="F19" s="314">
        <f t="shared" si="4"/>
        <v>22998006.361928638</v>
      </c>
      <c r="G19" s="315">
        <f>'Weather Analysis'!S12</f>
        <v>231</v>
      </c>
      <c r="H19" s="315">
        <f>'Weather Analysis'!S32</f>
        <v>0</v>
      </c>
      <c r="I19" s="316">
        <v>31</v>
      </c>
      <c r="J19" s="316">
        <v>1</v>
      </c>
      <c r="K19" s="317">
        <v>17</v>
      </c>
      <c r="L19" s="318">
        <v>18.100000000000001</v>
      </c>
      <c r="M19" s="319">
        <f>'[18]Annual conv to Monthly'!B247</f>
        <v>136.94287528034204</v>
      </c>
      <c r="N19" s="317">
        <f>'[14]Data Input'!AJ93+'[16]PSP less Loss factor'!AA102</f>
        <v>3326</v>
      </c>
      <c r="O19" s="318">
        <v>168.3</v>
      </c>
      <c r="P19" s="318">
        <v>312.8</v>
      </c>
      <c r="Q19" s="316">
        <f t="shared" si="5"/>
        <v>23895241.261009131</v>
      </c>
      <c r="R19" s="50">
        <f t="shared" si="0"/>
        <v>1142431.2690144889</v>
      </c>
      <c r="S19" s="291">
        <f t="shared" si="1"/>
        <v>5.0210557263759614E-2</v>
      </c>
      <c r="T19" s="292">
        <f t="shared" si="2"/>
        <v>5.0210557263759614E-2</v>
      </c>
      <c r="U19" s="113" t="s">
        <v>3</v>
      </c>
      <c r="V19" s="63">
        <v>13885.164333270823</v>
      </c>
      <c r="W19" s="63">
        <v>386.52599391723408</v>
      </c>
      <c r="X19" s="61">
        <v>35.922976854808944</v>
      </c>
      <c r="Y19" s="113">
        <v>2.3955859104888832E-64</v>
      </c>
      <c r="Z19" s="63">
        <v>13119.530729686881</v>
      </c>
      <c r="AA19" s="63">
        <v>14650.797936854764</v>
      </c>
    </row>
    <row r="20" spans="1:27">
      <c r="A20" s="313">
        <v>39965</v>
      </c>
      <c r="B20" s="314">
        <f>'[14]Data Input'!B94+'[16]PSP less Loss factor'!B103</f>
        <v>22540578.897934616</v>
      </c>
      <c r="C20" s="317">
        <f>'CDM Activity'!F63</f>
        <v>242661.86791891069</v>
      </c>
      <c r="D20" s="384">
        <f t="shared" si="7"/>
        <v>1.0662580508067088</v>
      </c>
      <c r="E20" s="314">
        <f t="shared" si="3"/>
        <v>258740.17029233274</v>
      </c>
      <c r="F20" s="314">
        <f t="shared" si="4"/>
        <v>22799319.068226948</v>
      </c>
      <c r="G20" s="315">
        <f>'Weather Analysis'!S13</f>
        <v>105.4</v>
      </c>
      <c r="H20" s="315">
        <f>'Weather Analysis'!S33</f>
        <v>19.100000000000001</v>
      </c>
      <c r="I20" s="316">
        <v>30</v>
      </c>
      <c r="J20" s="316">
        <v>0</v>
      </c>
      <c r="K20" s="317">
        <v>18</v>
      </c>
      <c r="L20" s="318">
        <v>15.8</v>
      </c>
      <c r="M20" s="319">
        <f>'[18]Annual conv to Monthly'!B248</f>
        <v>136.57222617060793</v>
      </c>
      <c r="N20" s="317">
        <f>'[14]Data Input'!AJ94+'[16]PSP less Loss factor'!AA103</f>
        <v>3309</v>
      </c>
      <c r="O20" s="318">
        <v>173.4</v>
      </c>
      <c r="P20" s="318">
        <v>312.89999999999998</v>
      </c>
      <c r="Q20" s="316">
        <f t="shared" si="5"/>
        <v>23627687.527448129</v>
      </c>
      <c r="R20" s="50">
        <f t="shared" si="0"/>
        <v>1087108.6295135133</v>
      </c>
      <c r="S20" s="291">
        <f t="shared" si="1"/>
        <v>4.8228957846913355E-2</v>
      </c>
      <c r="T20" s="292">
        <f t="shared" si="2"/>
        <v>4.8228957846913355E-2</v>
      </c>
      <c r="U20" s="113" t="s">
        <v>4</v>
      </c>
      <c r="V20" s="63">
        <v>44145.546527656501</v>
      </c>
      <c r="W20" s="63">
        <v>5908.5710878617183</v>
      </c>
      <c r="X20" s="61">
        <v>7.4714420578516805</v>
      </c>
      <c r="Y20" s="113">
        <v>1.6786693171758472E-11</v>
      </c>
      <c r="Z20" s="63">
        <v>32441.804359671478</v>
      </c>
      <c r="AA20" s="63">
        <v>55849.288695641524</v>
      </c>
    </row>
    <row r="21" spans="1:27">
      <c r="A21" s="313">
        <v>39995</v>
      </c>
      <c r="B21" s="314">
        <f>'[14]Data Input'!B95+'[16]PSP less Loss factor'!B104</f>
        <v>23356188.043034244</v>
      </c>
      <c r="C21" s="317">
        <f>'CDM Activity'!F64</f>
        <v>255364.04667206455</v>
      </c>
      <c r="D21" s="384">
        <f t="shared" si="7"/>
        <v>1.0662580508067088</v>
      </c>
      <c r="E21" s="314">
        <f t="shared" si="3"/>
        <v>272283.97065066895</v>
      </c>
      <c r="F21" s="314">
        <f t="shared" si="4"/>
        <v>23628472.013684914</v>
      </c>
      <c r="G21" s="315">
        <f>'Weather Analysis'!S14</f>
        <v>38.6</v>
      </c>
      <c r="H21" s="315">
        <f>'Weather Analysis'!S34</f>
        <v>10.3</v>
      </c>
      <c r="I21" s="316">
        <v>31</v>
      </c>
      <c r="J21" s="316">
        <v>0</v>
      </c>
      <c r="K21" s="317">
        <v>19</v>
      </c>
      <c r="L21" s="318">
        <v>13.2</v>
      </c>
      <c r="M21" s="319">
        <f>'[18]Annual conv to Monthly'!B249</f>
        <v>136.20258025846454</v>
      </c>
      <c r="N21" s="317">
        <f>'[14]Data Input'!AJ95+'[16]PSP less Loss factor'!AA104</f>
        <v>3325</v>
      </c>
      <c r="O21" s="318">
        <v>176.8</v>
      </c>
      <c r="P21" s="318">
        <v>313.10000000000002</v>
      </c>
      <c r="Q21" s="316">
        <f t="shared" si="5"/>
        <v>22994179.199985482</v>
      </c>
      <c r="R21" s="50">
        <f t="shared" si="0"/>
        <v>-362008.84304876253</v>
      </c>
      <c r="S21" s="291">
        <f t="shared" si="1"/>
        <v>-1.5499483151178351E-2</v>
      </c>
      <c r="T21" s="292">
        <f t="shared" si="2"/>
        <v>1.5499483151178351E-2</v>
      </c>
      <c r="U21" s="113" t="s">
        <v>5</v>
      </c>
      <c r="V21" s="63">
        <v>682501.45944321866</v>
      </c>
      <c r="W21" s="63">
        <v>98864.79967765187</v>
      </c>
      <c r="X21" s="61">
        <v>6.9033818069576922</v>
      </c>
      <c r="Y21" s="113">
        <v>2.9557565232332683E-10</v>
      </c>
      <c r="Z21" s="63">
        <v>486669.31869199837</v>
      </c>
      <c r="AA21" s="63">
        <v>878333.60019443894</v>
      </c>
    </row>
    <row r="22" spans="1:27" ht="13" thickBot="1">
      <c r="A22" s="313">
        <v>40026</v>
      </c>
      <c r="B22" s="314">
        <f>'[14]Data Input'!B96+'[16]PSP less Loss factor'!B105</f>
        <v>24159314.970736902</v>
      </c>
      <c r="C22" s="317">
        <f>'CDM Activity'!F65</f>
        <v>268066.22542521841</v>
      </c>
      <c r="D22" s="384">
        <f t="shared" si="7"/>
        <v>1.0662580508067088</v>
      </c>
      <c r="E22" s="314">
        <f t="shared" si="3"/>
        <v>285827.7710090052</v>
      </c>
      <c r="F22" s="314">
        <f t="shared" si="4"/>
        <v>24445142.741745908</v>
      </c>
      <c r="G22" s="315">
        <f>'Weather Analysis'!S15</f>
        <v>56.9</v>
      </c>
      <c r="H22" s="315">
        <f>'Weather Analysis'!S35</f>
        <v>39.799999999999997</v>
      </c>
      <c r="I22" s="316">
        <v>31</v>
      </c>
      <c r="J22" s="316">
        <v>0</v>
      </c>
      <c r="K22" s="317">
        <v>20</v>
      </c>
      <c r="L22" s="318">
        <v>12.9</v>
      </c>
      <c r="M22" s="319">
        <f>'[18]Annual conv to Monthly'!B250</f>
        <v>135.83393482866074</v>
      </c>
      <c r="N22" s="317">
        <f>'[14]Data Input'!AJ96+'[16]PSP less Loss factor'!AA105</f>
        <v>3301</v>
      </c>
      <c r="O22" s="318">
        <v>175.1</v>
      </c>
      <c r="P22" s="318">
        <v>313.3</v>
      </c>
      <c r="Q22" s="316">
        <f t="shared" si="5"/>
        <v>24550571.329850204</v>
      </c>
      <c r="R22" s="50">
        <f t="shared" si="0"/>
        <v>391256.35911330208</v>
      </c>
      <c r="S22" s="291">
        <f t="shared" si="1"/>
        <v>1.6194844911257351E-2</v>
      </c>
      <c r="T22" s="292">
        <f t="shared" si="2"/>
        <v>1.6194844911257351E-2</v>
      </c>
      <c r="U22" s="114" t="s">
        <v>19</v>
      </c>
      <c r="V22" s="64">
        <v>-1315744.4274627932</v>
      </c>
      <c r="W22" s="64">
        <v>186124.86168784331</v>
      </c>
      <c r="X22" s="62">
        <v>-7.0691492556726541</v>
      </c>
      <c r="Y22" s="114">
        <v>1.2904071651269417E-10</v>
      </c>
      <c r="Z22" s="64">
        <v>-1684421.9570809954</v>
      </c>
      <c r="AA22" s="64">
        <v>-947066.89784459095</v>
      </c>
    </row>
    <row r="23" spans="1:27">
      <c r="A23" s="313">
        <v>40057</v>
      </c>
      <c r="B23" s="314">
        <f>'[14]Data Input'!B97+'[16]PSP less Loss factor'!B106</f>
        <v>22404172.26501926</v>
      </c>
      <c r="C23" s="317">
        <f>'CDM Activity'!F66</f>
        <v>280768.40417837229</v>
      </c>
      <c r="D23" s="384">
        <f t="shared" si="7"/>
        <v>1.0662580508067088</v>
      </c>
      <c r="E23" s="314">
        <f t="shared" si="3"/>
        <v>299371.57136734144</v>
      </c>
      <c r="F23" s="314">
        <f t="shared" si="4"/>
        <v>22703543.836386602</v>
      </c>
      <c r="G23" s="315">
        <f>'Weather Analysis'!S16</f>
        <v>115.6</v>
      </c>
      <c r="H23" s="315">
        <f>'Weather Analysis'!S36</f>
        <v>2.7</v>
      </c>
      <c r="I23" s="316">
        <v>30</v>
      </c>
      <c r="J23" s="316">
        <v>1</v>
      </c>
      <c r="K23" s="317">
        <v>21</v>
      </c>
      <c r="L23" s="318">
        <v>12.9</v>
      </c>
      <c r="M23" s="319">
        <f>'[18]Annual conv to Monthly'!B251</f>
        <v>135.46628717329455</v>
      </c>
      <c r="N23" s="317">
        <f>'[14]Data Input'!AJ97+'[16]PSP less Loss factor'!AA106</f>
        <v>3325</v>
      </c>
      <c r="O23" s="318">
        <v>172.6</v>
      </c>
      <c r="P23" s="318">
        <v>313.5</v>
      </c>
      <c r="Q23" s="316">
        <f t="shared" si="5"/>
        <v>21729584.813131131</v>
      </c>
      <c r="R23" s="50">
        <f t="shared" si="0"/>
        <v>-674587.45188812912</v>
      </c>
      <c r="S23" s="291">
        <f t="shared" si="1"/>
        <v>-3.0109902919350239E-2</v>
      </c>
      <c r="T23" s="292">
        <f t="shared" si="2"/>
        <v>3.0109902919350239E-2</v>
      </c>
      <c r="U23"/>
    </row>
    <row r="24" spans="1:27">
      <c r="A24" s="313">
        <v>40087</v>
      </c>
      <c r="B24" s="314">
        <f>'[14]Data Input'!B98+'[16]PSP less Loss factor'!B107</f>
        <v>25125857.59</v>
      </c>
      <c r="C24" s="317">
        <f>'CDM Activity'!F67</f>
        <v>293470.58293152618</v>
      </c>
      <c r="D24" s="384">
        <f t="shared" si="7"/>
        <v>1.0662580508067088</v>
      </c>
      <c r="E24" s="314">
        <f t="shared" si="3"/>
        <v>312915.37172567769</v>
      </c>
      <c r="F24" s="314">
        <f t="shared" si="4"/>
        <v>25438772.961725678</v>
      </c>
      <c r="G24" s="315">
        <f>'Weather Analysis'!S17</f>
        <v>341.6</v>
      </c>
      <c r="H24" s="315">
        <f>'Weather Analysis'!S37</f>
        <v>0</v>
      </c>
      <c r="I24" s="316">
        <v>31</v>
      </c>
      <c r="J24" s="316">
        <v>1</v>
      </c>
      <c r="K24" s="317">
        <v>22</v>
      </c>
      <c r="L24" s="318">
        <v>14.2</v>
      </c>
      <c r="M24" s="319">
        <f>'[18]Annual conv to Monthly'!B252</f>
        <v>135.09963459179312</v>
      </c>
      <c r="N24" s="317">
        <f>'[14]Data Input'!AJ98+'[16]PSP less Loss factor'!AA107</f>
        <v>3321</v>
      </c>
      <c r="O24" s="318">
        <v>170.5</v>
      </c>
      <c r="P24" s="318">
        <v>313.7</v>
      </c>
      <c r="Q24" s="316">
        <f t="shared" si="5"/>
        <v>25430940.436268885</v>
      </c>
      <c r="R24" s="50">
        <f t="shared" si="0"/>
        <v>305082.84626888484</v>
      </c>
      <c r="S24" s="291">
        <f t="shared" si="1"/>
        <v>1.214218639805977E-2</v>
      </c>
      <c r="T24" s="292">
        <f t="shared" si="2"/>
        <v>1.214218639805977E-2</v>
      </c>
      <c r="U24"/>
    </row>
    <row r="25" spans="1:27">
      <c r="A25" s="313">
        <v>40118</v>
      </c>
      <c r="B25" s="314">
        <f>'[14]Data Input'!B99+'[16]PSP less Loss factor'!B108</f>
        <v>25307116.159929704</v>
      </c>
      <c r="C25" s="317">
        <f>'CDM Activity'!F68</f>
        <v>306172.76168468007</v>
      </c>
      <c r="D25" s="384">
        <f t="shared" si="7"/>
        <v>1.0662580508067088</v>
      </c>
      <c r="E25" s="314">
        <f t="shared" si="3"/>
        <v>326459.17208401393</v>
      </c>
      <c r="F25" s="314">
        <f t="shared" si="4"/>
        <v>25633575.332013719</v>
      </c>
      <c r="G25" s="315">
        <f>'Weather Analysis'!S18</f>
        <v>414.1</v>
      </c>
      <c r="H25" s="315">
        <f>'Weather Analysis'!S38</f>
        <v>0</v>
      </c>
      <c r="I25" s="316">
        <v>30</v>
      </c>
      <c r="J25" s="316">
        <v>1</v>
      </c>
      <c r="K25" s="317">
        <v>23</v>
      </c>
      <c r="L25" s="318">
        <v>15.4</v>
      </c>
      <c r="M25" s="319">
        <f>'[18]Annual conv to Monthly'!B253</f>
        <v>134.733974390893</v>
      </c>
      <c r="N25" s="317">
        <f>'[14]Data Input'!AJ99+'[16]PSP less Loss factor'!AA108</f>
        <v>3317</v>
      </c>
      <c r="O25" s="318">
        <v>171.9</v>
      </c>
      <c r="P25" s="318">
        <v>313.8</v>
      </c>
      <c r="Q25" s="316">
        <f t="shared" si="5"/>
        <v>25755113.390987799</v>
      </c>
      <c r="R25" s="50">
        <f t="shared" si="0"/>
        <v>447997.23105809465</v>
      </c>
      <c r="S25" s="291">
        <f t="shared" si="1"/>
        <v>1.7702421256809809E-2</v>
      </c>
      <c r="T25" s="292">
        <f t="shared" si="2"/>
        <v>1.7702421256809809E-2</v>
      </c>
      <c r="U25" t="s">
        <v>120</v>
      </c>
    </row>
    <row r="26" spans="1:27" ht="13" thickBot="1">
      <c r="A26" s="313">
        <v>40148</v>
      </c>
      <c r="B26" s="314">
        <f>'[14]Data Input'!B100+'[16]PSP less Loss factor'!B109</f>
        <v>31132521.689999998</v>
      </c>
      <c r="C26" s="317">
        <f>'CDM Activity'!F69</f>
        <v>318874.94043783395</v>
      </c>
      <c r="D26" s="384">
        <f t="shared" si="7"/>
        <v>1.0662580508067088</v>
      </c>
      <c r="E26" s="314">
        <f t="shared" si="3"/>
        <v>340002.97244235018</v>
      </c>
      <c r="F26" s="314">
        <f t="shared" si="4"/>
        <v>31472524.662442349</v>
      </c>
      <c r="G26" s="315">
        <f>'Weather Analysis'!S19</f>
        <v>750.2</v>
      </c>
      <c r="H26" s="315">
        <f>'Weather Analysis'!S39</f>
        <v>0</v>
      </c>
      <c r="I26" s="316">
        <v>31</v>
      </c>
      <c r="J26" s="316">
        <v>0</v>
      </c>
      <c r="K26" s="317">
        <v>24</v>
      </c>
      <c r="L26" s="318">
        <v>16.600000000000001</v>
      </c>
      <c r="M26" s="319">
        <f>'[18]Annual conv to Monthly'!B254</f>
        <v>134.36930388462019</v>
      </c>
      <c r="N26" s="317">
        <f>'[14]Data Input'!AJ100+'[16]PSP less Loss factor'!AA109</f>
        <v>3300</v>
      </c>
      <c r="O26" s="318">
        <v>172.5</v>
      </c>
      <c r="P26" s="318">
        <v>313.89999999999998</v>
      </c>
      <c r="Q26" s="316">
        <f t="shared" si="5"/>
        <v>32420163.010306135</v>
      </c>
      <c r="R26" s="50">
        <f t="shared" si="0"/>
        <v>1287641.3203061372</v>
      </c>
      <c r="S26" s="291">
        <f t="shared" si="1"/>
        <v>4.1360007169600317E-2</v>
      </c>
      <c r="T26" s="292">
        <f t="shared" si="2"/>
        <v>4.1360007169600317E-2</v>
      </c>
      <c r="U26"/>
    </row>
    <row r="27" spans="1:27" ht="13">
      <c r="A27" s="313">
        <v>40179</v>
      </c>
      <c r="B27" s="314">
        <f>'[14]Data Input'!B101+'[16]PSP less Loss factor'!B110</f>
        <v>33753525.890000001</v>
      </c>
      <c r="C27" s="317">
        <f>'CDM Activity'!F70</f>
        <v>309848.48603923374</v>
      </c>
      <c r="D27" s="383">
        <f>'Rate Class Energy Model'!F9</f>
        <v>1.0720967014224141</v>
      </c>
      <c r="E27" s="314">
        <f t="shared" si="3"/>
        <v>332187.53982339142</v>
      </c>
      <c r="F27" s="314">
        <f t="shared" si="4"/>
        <v>34085713.429823391</v>
      </c>
      <c r="G27" s="315">
        <f>'Weather Analysis'!T8</f>
        <v>839.2</v>
      </c>
      <c r="H27" s="315">
        <f>'Weather Analysis'!T28</f>
        <v>0</v>
      </c>
      <c r="I27" s="316">
        <v>31</v>
      </c>
      <c r="J27" s="316">
        <v>0</v>
      </c>
      <c r="K27" s="317">
        <v>25</v>
      </c>
      <c r="L27" s="318">
        <v>19</v>
      </c>
      <c r="M27" s="319">
        <f>'[18]Annual conv to Monthly'!B255</f>
        <v>134.73334561620703</v>
      </c>
      <c r="N27" s="317">
        <f>'[14]Data Input'!AJ101+'[16]PSP less Loss factor'!AA110</f>
        <v>3308</v>
      </c>
      <c r="O27" s="318">
        <v>172.6</v>
      </c>
      <c r="P27" s="318">
        <v>314</v>
      </c>
      <c r="Q27" s="316">
        <f t="shared" si="5"/>
        <v>33655942.63596724</v>
      </c>
      <c r="R27" s="50">
        <f t="shared" si="0"/>
        <v>-97583.254032760859</v>
      </c>
      <c r="S27" s="291">
        <f t="shared" si="1"/>
        <v>-2.8910536443148712E-3</v>
      </c>
      <c r="T27" s="292">
        <f t="shared" si="2"/>
        <v>2.8910536443148712E-3</v>
      </c>
      <c r="U27" s="112" t="s">
        <v>20</v>
      </c>
      <c r="V27" s="112"/>
      <c r="W27" s="111"/>
      <c r="X27" s="111"/>
      <c r="Y27" s="111"/>
      <c r="Z27" s="111"/>
    </row>
    <row r="28" spans="1:27">
      <c r="A28" s="313">
        <v>40210</v>
      </c>
      <c r="B28" s="314">
        <f>'[14]Data Input'!B102+'[16]PSP less Loss factor'!B111</f>
        <v>29592259.52</v>
      </c>
      <c r="C28" s="317">
        <f>'CDM Activity'!F71</f>
        <v>300822.03164063353</v>
      </c>
      <c r="D28" s="384">
        <f>D27</f>
        <v>1.0720967014224141</v>
      </c>
      <c r="E28" s="314">
        <f t="shared" si="3"/>
        <v>322510.30783711228</v>
      </c>
      <c r="F28" s="314">
        <f t="shared" si="4"/>
        <v>29914769.827837113</v>
      </c>
      <c r="G28" s="315">
        <f>'Weather Analysis'!T9</f>
        <v>647.5</v>
      </c>
      <c r="H28" s="315">
        <f>'Weather Analysis'!T29</f>
        <v>0</v>
      </c>
      <c r="I28" s="316">
        <v>28</v>
      </c>
      <c r="J28" s="316">
        <v>0</v>
      </c>
      <c r="K28" s="317">
        <v>26</v>
      </c>
      <c r="L28" s="318">
        <v>19.3</v>
      </c>
      <c r="M28" s="319">
        <f>'[18]Annual conv to Monthly'!B256</f>
        <v>135.09837363244745</v>
      </c>
      <c r="N28" s="317">
        <f>'[14]Data Input'!AJ102+'[16]PSP less Loss factor'!AA111</f>
        <v>3287</v>
      </c>
      <c r="O28" s="318">
        <v>172.7</v>
      </c>
      <c r="P28" s="318">
        <v>314.10000000000002</v>
      </c>
      <c r="Q28" s="316">
        <f t="shared" si="5"/>
        <v>28946652.254949566</v>
      </c>
      <c r="R28" s="50">
        <f t="shared" si="0"/>
        <v>-645607.26505043358</v>
      </c>
      <c r="S28" s="291">
        <f t="shared" si="1"/>
        <v>-2.1816761393772529E-2</v>
      </c>
      <c r="T28" s="292">
        <f t="shared" si="2"/>
        <v>2.1816761393772529E-2</v>
      </c>
      <c r="U28" s="113" t="s">
        <v>21</v>
      </c>
      <c r="V28" s="91">
        <v>0.97528245366560107</v>
      </c>
      <c r="W28" s="111"/>
      <c r="X28" s="111"/>
      <c r="Y28" s="111"/>
      <c r="Z28" s="111"/>
    </row>
    <row r="29" spans="1:27">
      <c r="A29" s="313">
        <v>40238</v>
      </c>
      <c r="B29" s="314">
        <f>'[14]Data Input'!B103+'[16]PSP less Loss factor'!B112</f>
        <v>27073616.93</v>
      </c>
      <c r="C29" s="317">
        <f>'CDM Activity'!F72</f>
        <v>291795.57724203332</v>
      </c>
      <c r="D29" s="384">
        <f t="shared" ref="D29:D38" si="8">D28</f>
        <v>1.0720967014224141</v>
      </c>
      <c r="E29" s="314">
        <f t="shared" si="3"/>
        <v>312833.07585083315</v>
      </c>
      <c r="F29" s="314">
        <f t="shared" si="4"/>
        <v>27386450.005850833</v>
      </c>
      <c r="G29" s="315">
        <f>'Weather Analysis'!T10</f>
        <v>427</v>
      </c>
      <c r="H29" s="315">
        <f>'Weather Analysis'!T30</f>
        <v>0</v>
      </c>
      <c r="I29" s="316">
        <v>31</v>
      </c>
      <c r="J29" s="316">
        <v>1</v>
      </c>
      <c r="K29" s="317">
        <v>27</v>
      </c>
      <c r="L29" s="318">
        <v>20.9</v>
      </c>
      <c r="M29" s="319">
        <f>'[18]Annual conv to Monthly'!B257</f>
        <v>135.46439060544563</v>
      </c>
      <c r="N29" s="317">
        <f>'[14]Data Input'!AJ103+'[16]PSP less Loss factor'!AA112</f>
        <v>3325</v>
      </c>
      <c r="O29" s="318">
        <v>173.5</v>
      </c>
      <c r="P29" s="318">
        <v>314.3</v>
      </c>
      <c r="Q29" s="316">
        <f t="shared" si="5"/>
        <v>26616733.470330212</v>
      </c>
      <c r="R29" s="50">
        <f t="shared" si="0"/>
        <v>-456883.45966978744</v>
      </c>
      <c r="S29" s="291">
        <f t="shared" si="1"/>
        <v>-1.6875597407286926E-2</v>
      </c>
      <c r="T29" s="292">
        <f t="shared" si="2"/>
        <v>1.6875597407286926E-2</v>
      </c>
      <c r="U29" s="113" t="s">
        <v>22</v>
      </c>
      <c r="V29" s="91">
        <v>0.9511758644279954</v>
      </c>
      <c r="W29" s="111"/>
      <c r="X29" s="111"/>
      <c r="Y29" s="111"/>
      <c r="Z29" s="111"/>
    </row>
    <row r="30" spans="1:27">
      <c r="A30" s="313">
        <v>40269</v>
      </c>
      <c r="B30" s="314">
        <f>'[14]Data Input'!B104+'[16]PSP less Loss factor'!B113</f>
        <v>22398626.539999999</v>
      </c>
      <c r="C30" s="317">
        <f>'CDM Activity'!F73</f>
        <v>282769.12284343311</v>
      </c>
      <c r="D30" s="384">
        <f t="shared" si="8"/>
        <v>1.0720967014224141</v>
      </c>
      <c r="E30" s="314">
        <f t="shared" si="3"/>
        <v>303155.84386455402</v>
      </c>
      <c r="F30" s="314">
        <f t="shared" si="4"/>
        <v>22701782.383864552</v>
      </c>
      <c r="G30" s="315">
        <f>'Weather Analysis'!T11</f>
        <v>287.3</v>
      </c>
      <c r="H30" s="315">
        <f>'Weather Analysis'!T31</f>
        <v>0</v>
      </c>
      <c r="I30" s="316">
        <v>30</v>
      </c>
      <c r="J30" s="316">
        <v>1</v>
      </c>
      <c r="K30" s="317">
        <v>28</v>
      </c>
      <c r="L30" s="318">
        <v>18.2</v>
      </c>
      <c r="M30" s="319">
        <f>'[18]Annual conv to Monthly'!B258</f>
        <v>135.83139921454512</v>
      </c>
      <c r="N30" s="317">
        <f>'[14]Data Input'!AJ104+'[16]PSP less Loss factor'!AA113</f>
        <v>3321</v>
      </c>
      <c r="O30" s="318">
        <v>176.2</v>
      </c>
      <c r="P30" s="318">
        <v>314.39999999999998</v>
      </c>
      <c r="Q30" s="316">
        <f t="shared" si="5"/>
        <v>23994474.553529058</v>
      </c>
      <c r="R30" s="50">
        <f t="shared" si="0"/>
        <v>1595848.0135290585</v>
      </c>
      <c r="S30" s="291">
        <f t="shared" si="1"/>
        <v>7.1247583447992008E-2</v>
      </c>
      <c r="T30" s="292">
        <f t="shared" si="2"/>
        <v>7.1247583447992008E-2</v>
      </c>
      <c r="U30" s="113" t="s">
        <v>23</v>
      </c>
      <c r="V30" s="91">
        <v>0.94903445497308292</v>
      </c>
      <c r="W30" s="111"/>
      <c r="X30" s="111"/>
      <c r="Y30" s="111"/>
      <c r="Z30" s="111"/>
    </row>
    <row r="31" spans="1:27">
      <c r="A31" s="313">
        <v>40299</v>
      </c>
      <c r="B31" s="314">
        <f>'[14]Data Input'!B105+'[16]PSP less Loss factor'!B114</f>
        <v>23249096.890000001</v>
      </c>
      <c r="C31" s="317">
        <f>'CDM Activity'!F74</f>
        <v>273742.6684448329</v>
      </c>
      <c r="D31" s="384">
        <f t="shared" si="8"/>
        <v>1.0720967014224141</v>
      </c>
      <c r="E31" s="314">
        <f t="shared" si="3"/>
        <v>293478.61187827494</v>
      </c>
      <c r="F31" s="314">
        <f t="shared" si="4"/>
        <v>23542575.501878276</v>
      </c>
      <c r="G31" s="315">
        <f>'Weather Analysis'!T12</f>
        <v>151.6</v>
      </c>
      <c r="H31" s="315">
        <f>'Weather Analysis'!T32</f>
        <v>22.9</v>
      </c>
      <c r="I31" s="316">
        <v>31</v>
      </c>
      <c r="J31" s="316">
        <v>1</v>
      </c>
      <c r="K31" s="317">
        <v>29</v>
      </c>
      <c r="L31" s="318">
        <v>16.7</v>
      </c>
      <c r="M31" s="319">
        <f>'[18]Annual conv to Monthly'!B259</f>
        <v>136.19940214634852</v>
      </c>
      <c r="N31" s="317">
        <f>'[14]Data Input'!AJ105+'[16]PSP less Loss factor'!AA114</f>
        <v>3326</v>
      </c>
      <c r="O31" s="318">
        <v>178.7</v>
      </c>
      <c r="P31" s="318">
        <v>314.60000000000002</v>
      </c>
      <c r="Q31" s="316">
        <f t="shared" si="5"/>
        <v>23803692.228430759</v>
      </c>
      <c r="R31" s="50">
        <f t="shared" si="0"/>
        <v>554595.33843075857</v>
      </c>
      <c r="S31" s="291">
        <f t="shared" si="1"/>
        <v>2.3854489533711887E-2</v>
      </c>
      <c r="T31" s="292">
        <f t="shared" si="2"/>
        <v>2.3854489533711887E-2</v>
      </c>
      <c r="U31" s="113" t="s">
        <v>24</v>
      </c>
      <c r="V31" s="118">
        <v>838196.00220907095</v>
      </c>
      <c r="W31" s="111"/>
      <c r="X31" s="111"/>
      <c r="Y31" s="111"/>
      <c r="Z31" s="111"/>
    </row>
    <row r="32" spans="1:27" ht="13" thickBot="1">
      <c r="A32" s="313">
        <v>40330</v>
      </c>
      <c r="B32" s="314">
        <f>'[14]Data Input'!B106+'[16]PSP less Loss factor'!B115</f>
        <v>21940477.289999999</v>
      </c>
      <c r="C32" s="317">
        <f>'CDM Activity'!F75</f>
        <v>264716.21404623269</v>
      </c>
      <c r="D32" s="384">
        <f t="shared" si="8"/>
        <v>1.0720967014224141</v>
      </c>
      <c r="E32" s="314">
        <f t="shared" si="3"/>
        <v>283801.37989199581</v>
      </c>
      <c r="F32" s="314">
        <f t="shared" si="4"/>
        <v>22224278.669891994</v>
      </c>
      <c r="G32" s="315">
        <f>'Weather Analysis'!T13</f>
        <v>66.2</v>
      </c>
      <c r="H32" s="315">
        <f>'Weather Analysis'!T33</f>
        <v>12</v>
      </c>
      <c r="I32" s="316">
        <v>30</v>
      </c>
      <c r="J32" s="316">
        <v>0</v>
      </c>
      <c r="K32" s="317">
        <v>30</v>
      </c>
      <c r="L32" s="318">
        <v>13.3</v>
      </c>
      <c r="M32" s="319">
        <f>'[18]Annual conv to Monthly'!B260</f>
        <v>136.56840209473719</v>
      </c>
      <c r="N32" s="317">
        <f>'[14]Data Input'!AJ106+'[16]PSP less Loss factor'!AA115</f>
        <v>3326</v>
      </c>
      <c r="O32" s="318">
        <v>179</v>
      </c>
      <c r="P32" s="318">
        <v>314.8</v>
      </c>
      <c r="Q32" s="316">
        <f t="shared" si="5"/>
        <v>22769955.705237553</v>
      </c>
      <c r="R32" s="50">
        <f t="shared" si="0"/>
        <v>829478.41523755342</v>
      </c>
      <c r="S32" s="291">
        <f t="shared" si="1"/>
        <v>3.7805850997398853E-2</v>
      </c>
      <c r="T32" s="292">
        <f t="shared" si="2"/>
        <v>3.7805850997398853E-2</v>
      </c>
      <c r="U32" s="114" t="s">
        <v>25</v>
      </c>
      <c r="V32" s="114">
        <v>120</v>
      </c>
      <c r="W32" s="111"/>
      <c r="X32" s="111"/>
      <c r="Y32" s="111"/>
      <c r="Z32" s="111"/>
    </row>
    <row r="33" spans="1:27">
      <c r="A33" s="313">
        <v>40360</v>
      </c>
      <c r="B33" s="314">
        <f>'[14]Data Input'!B107+'[16]PSP less Loss factor'!B116</f>
        <v>25160216.039999999</v>
      </c>
      <c r="C33" s="317">
        <f>'CDM Activity'!F76</f>
        <v>255689.75964763248</v>
      </c>
      <c r="D33" s="384">
        <f t="shared" si="8"/>
        <v>1.0720967014224141</v>
      </c>
      <c r="E33" s="314">
        <f t="shared" si="3"/>
        <v>274124.14790571667</v>
      </c>
      <c r="F33" s="314">
        <f t="shared" si="4"/>
        <v>25434340.187905714</v>
      </c>
      <c r="G33" s="315">
        <f>'Weather Analysis'!T14</f>
        <v>13.1</v>
      </c>
      <c r="H33" s="315">
        <f>'Weather Analysis'!T34</f>
        <v>95.7</v>
      </c>
      <c r="I33" s="316">
        <v>31</v>
      </c>
      <c r="J33" s="316">
        <v>0</v>
      </c>
      <c r="K33" s="317">
        <v>31</v>
      </c>
      <c r="L33" s="318">
        <v>14.3</v>
      </c>
      <c r="M33" s="319">
        <f>'[18]Annual conv to Monthly'!B261</f>
        <v>136.93840176089088</v>
      </c>
      <c r="N33" s="317">
        <f>'[14]Data Input'!AJ107+'[16]PSP less Loss factor'!AA116</f>
        <v>3309</v>
      </c>
      <c r="O33" s="318">
        <v>176.8</v>
      </c>
      <c r="P33" s="318">
        <v>315.10000000000002</v>
      </c>
      <c r="Q33" s="316">
        <f t="shared" si="5"/>
        <v>26410137.18294894</v>
      </c>
      <c r="R33" s="50">
        <f t="shared" si="0"/>
        <v>1249921.1429489404</v>
      </c>
      <c r="S33" s="291">
        <f t="shared" si="1"/>
        <v>4.96784741816923E-2</v>
      </c>
      <c r="T33" s="292">
        <f t="shared" si="2"/>
        <v>4.96784741816923E-2</v>
      </c>
      <c r="U33" s="111"/>
      <c r="V33" s="111"/>
      <c r="W33" s="111"/>
      <c r="X33" s="111"/>
      <c r="Y33" s="111"/>
      <c r="Z33" s="111"/>
    </row>
    <row r="34" spans="1:27" ht="13" thickBot="1">
      <c r="A34" s="313">
        <v>40391</v>
      </c>
      <c r="B34" s="314">
        <f>'[14]Data Input'!B108+'[16]PSP less Loss factor'!B117</f>
        <v>24857750.43</v>
      </c>
      <c r="C34" s="317">
        <f>'CDM Activity'!F77</f>
        <v>246663.30524903227</v>
      </c>
      <c r="D34" s="384">
        <f t="shared" si="8"/>
        <v>1.0720967014224141</v>
      </c>
      <c r="E34" s="314">
        <f t="shared" si="3"/>
        <v>264446.91591943754</v>
      </c>
      <c r="F34" s="314">
        <f t="shared" si="4"/>
        <v>25122197.345919438</v>
      </c>
      <c r="G34" s="315">
        <f>'Weather Analysis'!T15</f>
        <v>25.9</v>
      </c>
      <c r="H34" s="315">
        <f>'Weather Analysis'!T35</f>
        <v>61.1</v>
      </c>
      <c r="I34" s="316">
        <v>31</v>
      </c>
      <c r="J34" s="316">
        <v>0</v>
      </c>
      <c r="K34" s="317">
        <v>32</v>
      </c>
      <c r="L34" s="318">
        <v>15.9</v>
      </c>
      <c r="M34" s="319">
        <f>'[18]Annual conv to Monthly'!B262</f>
        <v>137.30940385330757</v>
      </c>
      <c r="N34" s="317">
        <f>'[14]Data Input'!AJ108+'[16]PSP less Loss factor'!AA117</f>
        <v>3317</v>
      </c>
      <c r="O34" s="318">
        <v>174</v>
      </c>
      <c r="P34" s="318">
        <v>315.3</v>
      </c>
      <c r="Q34" s="316">
        <f t="shared" si="5"/>
        <v>25060431.37655789</v>
      </c>
      <c r="R34" s="50">
        <f t="shared" si="0"/>
        <v>202680.94655789062</v>
      </c>
      <c r="S34" s="291">
        <f t="shared" si="1"/>
        <v>8.1536318875131061E-3</v>
      </c>
      <c r="T34" s="292">
        <f t="shared" si="2"/>
        <v>8.1536318875131061E-3</v>
      </c>
      <c r="U34" s="111" t="s">
        <v>26</v>
      </c>
      <c r="V34" s="111"/>
      <c r="W34" s="111"/>
      <c r="X34" s="111"/>
      <c r="Y34" s="111"/>
      <c r="Z34" s="111"/>
    </row>
    <row r="35" spans="1:27" ht="13">
      <c r="A35" s="313">
        <v>40422</v>
      </c>
      <c r="B35" s="314">
        <f>'[14]Data Input'!B109+'[16]PSP less Loss factor'!B118</f>
        <v>22185824.710000001</v>
      </c>
      <c r="C35" s="317">
        <f>'CDM Activity'!F78</f>
        <v>237636.85085043206</v>
      </c>
      <c r="D35" s="384">
        <f t="shared" si="8"/>
        <v>1.0720967014224141</v>
      </c>
      <c r="E35" s="314">
        <f t="shared" si="3"/>
        <v>254769.68393315841</v>
      </c>
      <c r="F35" s="314">
        <f t="shared" si="4"/>
        <v>22440594.393933158</v>
      </c>
      <c r="G35" s="315">
        <f>'Weather Analysis'!T16</f>
        <v>143.1</v>
      </c>
      <c r="H35" s="315">
        <f>'Weather Analysis'!T36</f>
        <v>17.5</v>
      </c>
      <c r="I35" s="316">
        <v>30</v>
      </c>
      <c r="J35" s="316">
        <v>1</v>
      </c>
      <c r="K35" s="317">
        <v>33</v>
      </c>
      <c r="L35" s="318">
        <v>17.5</v>
      </c>
      <c r="M35" s="319">
        <f>'[18]Annual conv to Monthly'!B263</f>
        <v>137.68141108782325</v>
      </c>
      <c r="N35" s="317">
        <f>'[14]Data Input'!AJ109+'[16]PSP less Loss factor'!AA118</f>
        <v>3320</v>
      </c>
      <c r="O35" s="318">
        <v>171.8</v>
      </c>
      <c r="P35" s="318">
        <v>315.60000000000002</v>
      </c>
      <c r="Q35" s="316">
        <f t="shared" si="5"/>
        <v>22764780.920905396</v>
      </c>
      <c r="R35" s="50">
        <f t="shared" ref="R35:R66" si="9">Q35-B35</f>
        <v>578956.21090539545</v>
      </c>
      <c r="S35" s="291">
        <f t="shared" ref="S35:S66" si="10">R35/B35</f>
        <v>2.6095771442944723E-2</v>
      </c>
      <c r="T35" s="292">
        <f t="shared" si="2"/>
        <v>2.6095771442944723E-2</v>
      </c>
      <c r="U35" s="115"/>
      <c r="V35" s="115" t="s">
        <v>30</v>
      </c>
      <c r="W35" s="115" t="s">
        <v>31</v>
      </c>
      <c r="X35" s="115" t="s">
        <v>32</v>
      </c>
      <c r="Y35" s="115" t="s">
        <v>33</v>
      </c>
      <c r="Z35" s="115" t="s">
        <v>34</v>
      </c>
    </row>
    <row r="36" spans="1:27">
      <c r="A36" s="313">
        <v>40452</v>
      </c>
      <c r="B36" s="314">
        <f>'[14]Data Input'!B110+'[16]PSP less Loss factor'!B119</f>
        <v>23526636.07</v>
      </c>
      <c r="C36" s="317">
        <f>'CDM Activity'!F79</f>
        <v>228610.39645183185</v>
      </c>
      <c r="D36" s="384">
        <f t="shared" si="8"/>
        <v>1.0720967014224141</v>
      </c>
      <c r="E36" s="314">
        <f t="shared" si="3"/>
        <v>245092.4519468793</v>
      </c>
      <c r="F36" s="314">
        <f t="shared" si="4"/>
        <v>23771728.521946881</v>
      </c>
      <c r="G36" s="315">
        <f>'Weather Analysis'!T17</f>
        <v>318.60000000000002</v>
      </c>
      <c r="H36" s="315">
        <f>'Weather Analysis'!T37</f>
        <v>0</v>
      </c>
      <c r="I36" s="316">
        <v>31</v>
      </c>
      <c r="J36" s="316">
        <v>1</v>
      </c>
      <c r="K36" s="317">
        <v>34</v>
      </c>
      <c r="L36" s="318">
        <v>17.3</v>
      </c>
      <c r="M36" s="319">
        <f>'[18]Annual conv to Monthly'!B264</f>
        <v>138.0544261876318</v>
      </c>
      <c r="N36" s="317">
        <f>'[14]Data Input'!AJ110+'[16]PSP less Loss factor'!AA119</f>
        <v>3319</v>
      </c>
      <c r="O36" s="318">
        <v>170.9</v>
      </c>
      <c r="P36" s="318">
        <v>315.8</v>
      </c>
      <c r="Q36" s="316">
        <f t="shared" si="5"/>
        <v>25111581.656603657</v>
      </c>
      <c r="R36" s="50">
        <f t="shared" si="9"/>
        <v>1584945.5866036564</v>
      </c>
      <c r="S36" s="291">
        <f t="shared" si="10"/>
        <v>6.7368134649079744E-2</v>
      </c>
      <c r="T36" s="292">
        <f t="shared" si="2"/>
        <v>6.7368134649079744E-2</v>
      </c>
      <c r="U36" s="113" t="s">
        <v>27</v>
      </c>
      <c r="V36" s="113">
        <v>5</v>
      </c>
      <c r="W36" s="113">
        <v>1560350916859751.5</v>
      </c>
      <c r="X36" s="113">
        <v>312070183371950.31</v>
      </c>
      <c r="Y36" s="113">
        <v>444.18215406958188</v>
      </c>
      <c r="Z36" s="113">
        <v>5.5518204070475109E-73</v>
      </c>
    </row>
    <row r="37" spans="1:27">
      <c r="A37" s="313">
        <v>40483</v>
      </c>
      <c r="B37" s="314">
        <f>'[14]Data Input'!B111+'[16]PSP less Loss factor'!B120</f>
        <v>25909238.91</v>
      </c>
      <c r="C37" s="317">
        <f>'CDM Activity'!F80</f>
        <v>219583.94205323164</v>
      </c>
      <c r="D37" s="384">
        <f t="shared" si="8"/>
        <v>1.0720967014224141</v>
      </c>
      <c r="E37" s="314">
        <f t="shared" si="3"/>
        <v>235415.21996060017</v>
      </c>
      <c r="F37" s="314">
        <f t="shared" si="4"/>
        <v>26144654.1299606</v>
      </c>
      <c r="G37" s="315">
        <f>'Weather Analysis'!T18</f>
        <v>398.8</v>
      </c>
      <c r="H37" s="315">
        <f>'Weather Analysis'!T38</f>
        <v>0</v>
      </c>
      <c r="I37" s="316">
        <v>30</v>
      </c>
      <c r="J37" s="316">
        <v>1</v>
      </c>
      <c r="K37" s="317">
        <v>35</v>
      </c>
      <c r="L37" s="318">
        <v>16.2</v>
      </c>
      <c r="M37" s="319">
        <f>'[18]Annual conv to Monthly'!B265</f>
        <v>138.42845188330503</v>
      </c>
      <c r="N37" s="317">
        <f>'[14]Data Input'!AJ111+'[16]PSP less Loss factor'!AA120</f>
        <v>3343</v>
      </c>
      <c r="O37" s="318">
        <v>167.8</v>
      </c>
      <c r="P37" s="318">
        <v>315.89999999999998</v>
      </c>
      <c r="Q37" s="316">
        <f t="shared" si="5"/>
        <v>25542670.376688756</v>
      </c>
      <c r="R37" s="50">
        <f t="shared" si="9"/>
        <v>-366568.5333112441</v>
      </c>
      <c r="S37" s="291">
        <f t="shared" si="10"/>
        <v>-1.4148178361571336E-2</v>
      </c>
      <c r="T37" s="292">
        <f t="shared" si="2"/>
        <v>1.4148178361571336E-2</v>
      </c>
      <c r="U37" s="113" t="s">
        <v>28</v>
      </c>
      <c r="V37" s="113">
        <v>114</v>
      </c>
      <c r="W37" s="113">
        <v>80093269345596.656</v>
      </c>
      <c r="X37" s="113">
        <v>702572538119.26892</v>
      </c>
      <c r="Y37" s="113"/>
      <c r="Z37" s="113"/>
    </row>
    <row r="38" spans="1:27" ht="13" thickBot="1">
      <c r="A38" s="313">
        <v>40513</v>
      </c>
      <c r="B38" s="314">
        <f>'[14]Data Input'!B112+'[16]PSP less Loss factor'!B121</f>
        <v>31945232.009999998</v>
      </c>
      <c r="C38" s="317">
        <f>'CDM Activity'!F81</f>
        <v>210557.48765463143</v>
      </c>
      <c r="D38" s="384">
        <f t="shared" si="8"/>
        <v>1.0720967014224141</v>
      </c>
      <c r="E38" s="314">
        <f t="shared" si="3"/>
        <v>225737.98797432103</v>
      </c>
      <c r="F38" s="314">
        <f t="shared" si="4"/>
        <v>32170969.997974318</v>
      </c>
      <c r="G38" s="315">
        <f>'Weather Analysis'!T19</f>
        <v>776.1</v>
      </c>
      <c r="H38" s="315">
        <f>'Weather Analysis'!T39</f>
        <v>0</v>
      </c>
      <c r="I38" s="316">
        <v>31</v>
      </c>
      <c r="J38" s="316">
        <v>0</v>
      </c>
      <c r="K38" s="317">
        <v>36</v>
      </c>
      <c r="L38" s="318">
        <v>17.2</v>
      </c>
      <c r="M38" s="319">
        <f>'[18]Annual conv to Monthly'!B266</f>
        <v>138.80349091281266</v>
      </c>
      <c r="N38" s="317">
        <f>'[14]Data Input'!AJ112+'[16]PSP less Loss factor'!AA121</f>
        <v>3323</v>
      </c>
      <c r="O38" s="318">
        <v>166</v>
      </c>
      <c r="P38" s="318">
        <v>316</v>
      </c>
      <c r="Q38" s="316">
        <f t="shared" si="5"/>
        <v>32779788.766537853</v>
      </c>
      <c r="R38" s="50">
        <f t="shared" si="9"/>
        <v>834556.75653785467</v>
      </c>
      <c r="S38" s="291">
        <f t="shared" si="10"/>
        <v>2.6124610905208283E-2</v>
      </c>
      <c r="T38" s="292">
        <f t="shared" si="2"/>
        <v>2.6124610905208283E-2</v>
      </c>
      <c r="U38" s="114" t="s">
        <v>10</v>
      </c>
      <c r="V38" s="114">
        <v>119</v>
      </c>
      <c r="W38" s="114">
        <v>1640444186205348.2</v>
      </c>
      <c r="X38" s="114"/>
      <c r="Y38" s="114"/>
      <c r="Z38" s="114"/>
    </row>
    <row r="39" spans="1:27" ht="13" thickBot="1">
      <c r="A39" s="313">
        <v>40544</v>
      </c>
      <c r="B39" s="314">
        <f>'[14]Data Input'!B113+'[16]PSP less Loss factor'!B122</f>
        <v>33877619.130000003</v>
      </c>
      <c r="C39" s="317">
        <f>'CDM Activity'!F82</f>
        <v>223133.02151823524</v>
      </c>
      <c r="D39" s="383">
        <f>'Rate Class Energy Model'!F10</f>
        <v>1.0766900011519738</v>
      </c>
      <c r="E39" s="314">
        <f t="shared" si="3"/>
        <v>240245.09319551208</v>
      </c>
      <c r="F39" s="314">
        <f t="shared" si="4"/>
        <v>34117864.223195516</v>
      </c>
      <c r="G39" s="315">
        <f>'Weather Analysis'!U8</f>
        <v>891.9</v>
      </c>
      <c r="H39" s="315">
        <f>'Weather Analysis'!U28</f>
        <v>0</v>
      </c>
      <c r="I39" s="320">
        <v>31</v>
      </c>
      <c r="J39" s="316">
        <v>0</v>
      </c>
      <c r="K39" s="317">
        <v>37</v>
      </c>
      <c r="L39" s="318">
        <v>19.3</v>
      </c>
      <c r="M39" s="319">
        <f>'[18]Annual conv to Monthly'!B267</f>
        <v>139.10070640604135</v>
      </c>
      <c r="N39" s="317">
        <f>'[14]Data Input'!AJ113+'[16]PSP less Loss factor'!AA122</f>
        <v>3331</v>
      </c>
      <c r="O39" s="318">
        <v>163.6</v>
      </c>
      <c r="P39" s="318">
        <v>316.10000000000002</v>
      </c>
      <c r="Q39" s="316">
        <f t="shared" si="5"/>
        <v>34387690.796330608</v>
      </c>
      <c r="R39" s="50">
        <f t="shared" si="9"/>
        <v>510071.66633060575</v>
      </c>
      <c r="S39" s="291">
        <f t="shared" si="10"/>
        <v>1.5056302049246332E-2</v>
      </c>
      <c r="T39" s="292">
        <f t="shared" si="2"/>
        <v>1.5056302049246332E-2</v>
      </c>
      <c r="U39" s="111"/>
      <c r="V39" s="111"/>
      <c r="W39" s="111"/>
      <c r="X39" s="111"/>
      <c r="Y39" s="111"/>
      <c r="Z39" s="111"/>
    </row>
    <row r="40" spans="1:27" ht="13">
      <c r="A40" s="313">
        <v>40575</v>
      </c>
      <c r="B40" s="314">
        <f>'[14]Data Input'!B114+'[16]PSP less Loss factor'!B123</f>
        <v>29782626.390000001</v>
      </c>
      <c r="C40" s="317">
        <f>'CDM Activity'!F83</f>
        <v>235708.55538183905</v>
      </c>
      <c r="D40" s="384">
        <f>D39</f>
        <v>1.0766900011519738</v>
      </c>
      <c r="E40" s="314">
        <f t="shared" si="3"/>
        <v>253785.04476560236</v>
      </c>
      <c r="F40" s="314">
        <f t="shared" si="4"/>
        <v>30036411.434765603</v>
      </c>
      <c r="G40" s="315">
        <f>'Weather Analysis'!U9</f>
        <v>650.89999999999975</v>
      </c>
      <c r="H40" s="315">
        <f>'Weather Analysis'!U29</f>
        <v>0</v>
      </c>
      <c r="I40" s="320">
        <v>28</v>
      </c>
      <c r="J40" s="316">
        <v>0</v>
      </c>
      <c r="K40" s="317">
        <v>38</v>
      </c>
      <c r="L40" s="318">
        <v>20.9</v>
      </c>
      <c r="M40" s="319">
        <f>'[18]Annual conv to Monthly'!B268</f>
        <v>139.39855831733732</v>
      </c>
      <c r="N40" s="317">
        <f>'[14]Data Input'!AJ114+'[16]PSP less Loss factor'!AA123</f>
        <v>3315</v>
      </c>
      <c r="O40" s="318">
        <v>162.69999999999999</v>
      </c>
      <c r="P40" s="318">
        <v>316.10000000000002</v>
      </c>
      <c r="Q40" s="316">
        <f t="shared" si="5"/>
        <v>28993861.813682683</v>
      </c>
      <c r="R40" s="50">
        <f t="shared" si="9"/>
        <v>-788764.57631731778</v>
      </c>
      <c r="S40" s="291">
        <f t="shared" si="10"/>
        <v>-2.6484050331509992E-2</v>
      </c>
      <c r="T40" s="292">
        <f t="shared" si="2"/>
        <v>2.6484050331509992E-2</v>
      </c>
      <c r="U40" s="115"/>
      <c r="V40" s="115" t="s">
        <v>35</v>
      </c>
      <c r="W40" s="115" t="s">
        <v>24</v>
      </c>
      <c r="X40" s="115" t="s">
        <v>36</v>
      </c>
      <c r="Y40" s="115" t="s">
        <v>37</v>
      </c>
      <c r="Z40" s="115" t="s">
        <v>38</v>
      </c>
      <c r="AA40" s="115" t="s">
        <v>39</v>
      </c>
    </row>
    <row r="41" spans="1:27">
      <c r="A41" s="313">
        <v>40603</v>
      </c>
      <c r="B41" s="314">
        <f>'[14]Data Input'!B115+'[16]PSP less Loss factor'!B124</f>
        <v>29986760.93</v>
      </c>
      <c r="C41" s="317">
        <f>'CDM Activity'!F84</f>
        <v>248284.08924544285</v>
      </c>
      <c r="D41" s="384">
        <f t="shared" ref="D41:D50" si="11">D40</f>
        <v>1.0766900011519738</v>
      </c>
      <c r="E41" s="314">
        <f t="shared" si="3"/>
        <v>267324.99633569265</v>
      </c>
      <c r="F41" s="314">
        <f t="shared" si="4"/>
        <v>30254085.926335692</v>
      </c>
      <c r="G41" s="315">
        <f>'Weather Analysis'!U10</f>
        <v>574.80000000000007</v>
      </c>
      <c r="H41" s="315">
        <f>'Weather Analysis'!U30</f>
        <v>0</v>
      </c>
      <c r="I41" s="320">
        <v>31</v>
      </c>
      <c r="J41" s="316">
        <v>1</v>
      </c>
      <c r="K41" s="317">
        <v>39</v>
      </c>
      <c r="L41" s="318">
        <v>20.6</v>
      </c>
      <c r="M41" s="319">
        <f>'[18]Annual conv to Monthly'!B269</f>
        <v>139.69704800944226</v>
      </c>
      <c r="N41" s="317">
        <f>'[14]Data Input'!AJ115+'[16]PSP less Loss factor'!AA124</f>
        <v>3331</v>
      </c>
      <c r="O41" s="318">
        <v>164</v>
      </c>
      <c r="P41" s="318">
        <v>316.2</v>
      </c>
      <c r="Q41" s="316">
        <f t="shared" si="5"/>
        <v>28668960.758787639</v>
      </c>
      <c r="R41" s="50">
        <f t="shared" si="9"/>
        <v>-1317800.1712123603</v>
      </c>
      <c r="S41" s="291">
        <f t="shared" si="10"/>
        <v>-4.394606587515687E-2</v>
      </c>
      <c r="T41" s="292">
        <f t="shared" si="2"/>
        <v>4.394606587515687E-2</v>
      </c>
      <c r="U41" s="113" t="s">
        <v>29</v>
      </c>
      <c r="V41" s="63">
        <v>982834.17759254249</v>
      </c>
      <c r="W41" s="63">
        <v>2992884.5304709151</v>
      </c>
      <c r="X41" s="61">
        <v>0.32839027619882766</v>
      </c>
      <c r="Y41" s="113">
        <v>0.74321901796410661</v>
      </c>
      <c r="Z41" s="63">
        <v>-4946047.0260014366</v>
      </c>
      <c r="AA41" s="63">
        <v>6911715.3811865225</v>
      </c>
    </row>
    <row r="42" spans="1:27">
      <c r="A42" s="313">
        <v>40634</v>
      </c>
      <c r="B42" s="314">
        <f>'[14]Data Input'!B116+'[16]PSP less Loss factor'!B125</f>
        <v>24696956.68</v>
      </c>
      <c r="C42" s="317">
        <f>'CDM Activity'!F85</f>
        <v>260859.62310904666</v>
      </c>
      <c r="D42" s="384">
        <f t="shared" si="11"/>
        <v>1.0766900011519738</v>
      </c>
      <c r="E42" s="314">
        <f t="shared" si="3"/>
        <v>280864.9479057829</v>
      </c>
      <c r="F42" s="314">
        <f t="shared" si="4"/>
        <v>24977821.627905782</v>
      </c>
      <c r="G42" s="315">
        <f>'Weather Analysis'!U11</f>
        <v>390.90000000000003</v>
      </c>
      <c r="H42" s="315">
        <f>'Weather Analysis'!U31</f>
        <v>0</v>
      </c>
      <c r="I42" s="320">
        <v>30</v>
      </c>
      <c r="J42" s="316">
        <v>1</v>
      </c>
      <c r="K42" s="317">
        <v>40</v>
      </c>
      <c r="L42" s="318">
        <v>19</v>
      </c>
      <c r="M42" s="319">
        <f>'[18]Annual conv to Monthly'!B270</f>
        <v>139.99617684801592</v>
      </c>
      <c r="N42" s="317">
        <f>'[14]Data Input'!AJ116+'[16]PSP less Loss factor'!AA125</f>
        <v>3342</v>
      </c>
      <c r="O42" s="318">
        <v>166</v>
      </c>
      <c r="P42" s="318">
        <v>316.2</v>
      </c>
      <c r="Q42" s="316">
        <f t="shared" si="5"/>
        <v>25432977.578455918</v>
      </c>
      <c r="R42" s="50">
        <f t="shared" si="9"/>
        <v>736020.89845591784</v>
      </c>
      <c r="S42" s="291">
        <f t="shared" si="10"/>
        <v>2.9802088896724657E-2</v>
      </c>
      <c r="T42" s="292">
        <f t="shared" si="2"/>
        <v>2.9802088896724657E-2</v>
      </c>
      <c r="U42" s="113" t="s">
        <v>3</v>
      </c>
      <c r="V42" s="63">
        <v>13855.682394286901</v>
      </c>
      <c r="W42" s="63">
        <v>385.95577020166979</v>
      </c>
      <c r="X42" s="61">
        <v>35.899663806158472</v>
      </c>
      <c r="Y42" s="113">
        <v>5.6974151910326116E-64</v>
      </c>
      <c r="Z42" s="63">
        <v>13091.106986158053</v>
      </c>
      <c r="AA42" s="63">
        <v>14620.25780241575</v>
      </c>
    </row>
    <row r="43" spans="1:27">
      <c r="A43" s="313">
        <v>40664</v>
      </c>
      <c r="B43" s="314">
        <f>'[14]Data Input'!B117+'[16]PSP less Loss factor'!B126</f>
        <v>22543967.420000002</v>
      </c>
      <c r="C43" s="317">
        <f>'CDM Activity'!F86</f>
        <v>273435.1569726505</v>
      </c>
      <c r="D43" s="384">
        <f t="shared" si="11"/>
        <v>1.0766900011519738</v>
      </c>
      <c r="E43" s="314">
        <f t="shared" si="3"/>
        <v>294404.89947587322</v>
      </c>
      <c r="F43" s="314">
        <f t="shared" si="4"/>
        <v>22838372.319475874</v>
      </c>
      <c r="G43" s="315">
        <f>'Weather Analysis'!U12</f>
        <v>147.10000000000002</v>
      </c>
      <c r="H43" s="315">
        <f>'Weather Analysis'!U32</f>
        <v>10.1</v>
      </c>
      <c r="I43" s="320">
        <v>31</v>
      </c>
      <c r="J43" s="316">
        <v>1</v>
      </c>
      <c r="K43" s="317">
        <v>41</v>
      </c>
      <c r="L43" s="318">
        <v>17.899999999999999</v>
      </c>
      <c r="M43" s="319">
        <f>'[18]Annual conv to Monthly'!B271</f>
        <v>140.29594620164227</v>
      </c>
      <c r="N43" s="317">
        <f>'[14]Data Input'!AJ117+'[16]PSP less Loss factor'!AA126</f>
        <v>3372</v>
      </c>
      <c r="O43" s="318">
        <v>171.8</v>
      </c>
      <c r="P43" s="318">
        <v>316.3</v>
      </c>
      <c r="Q43" s="316">
        <f t="shared" si="5"/>
        <v>23176145.993377037</v>
      </c>
      <c r="R43" s="50">
        <f t="shared" si="9"/>
        <v>632178.57337703556</v>
      </c>
      <c r="S43" s="291">
        <f t="shared" si="10"/>
        <v>2.8042028343963757E-2</v>
      </c>
      <c r="T43" s="292">
        <f t="shared" si="2"/>
        <v>2.8042028343963757E-2</v>
      </c>
      <c r="U43" s="113" t="s">
        <v>4</v>
      </c>
      <c r="V43" s="63">
        <v>43880.864997641678</v>
      </c>
      <c r="W43" s="63">
        <v>5893.3344046515276</v>
      </c>
      <c r="X43" s="61">
        <v>7.4458467795425145</v>
      </c>
      <c r="Y43" s="113">
        <v>1.9829676705028743E-11</v>
      </c>
      <c r="Z43" s="63">
        <v>32206.214932630854</v>
      </c>
      <c r="AA43" s="63">
        <v>55555.515062652499</v>
      </c>
    </row>
    <row r="44" spans="1:27">
      <c r="A44" s="313">
        <v>40695</v>
      </c>
      <c r="B44" s="314">
        <f>'[14]Data Input'!B118+'[16]PSP less Loss factor'!B127</f>
        <v>21897744.940000001</v>
      </c>
      <c r="C44" s="317">
        <f>'CDM Activity'!F87</f>
        <v>286010.69083625433</v>
      </c>
      <c r="D44" s="384">
        <f t="shared" si="11"/>
        <v>1.0766900011519738</v>
      </c>
      <c r="E44" s="314">
        <f t="shared" si="3"/>
        <v>307944.85104596347</v>
      </c>
      <c r="F44" s="314">
        <f t="shared" si="4"/>
        <v>22205689.791045964</v>
      </c>
      <c r="G44" s="315">
        <f>'Weather Analysis'!U13</f>
        <v>57.70000000000001</v>
      </c>
      <c r="H44" s="315">
        <f>'Weather Analysis'!U33</f>
        <v>13.4</v>
      </c>
      <c r="I44" s="320">
        <v>30</v>
      </c>
      <c r="J44" s="316">
        <v>0</v>
      </c>
      <c r="K44" s="317">
        <v>42</v>
      </c>
      <c r="L44" s="318">
        <v>16.8</v>
      </c>
      <c r="M44" s="319">
        <f>'[18]Annual conv to Monthly'!B272</f>
        <v>140.59635744183578</v>
      </c>
      <c r="N44" s="317">
        <f>'[14]Data Input'!AJ118+'[16]PSP less Loss factor'!AA127</f>
        <v>3346</v>
      </c>
      <c r="O44" s="318">
        <v>177.8</v>
      </c>
      <c r="P44" s="318">
        <v>316.5</v>
      </c>
      <c r="Q44" s="316">
        <f t="shared" si="5"/>
        <v>22713735.57354347</v>
      </c>
      <c r="R44" s="50">
        <f t="shared" si="9"/>
        <v>815990.63354346901</v>
      </c>
      <c r="S44" s="291">
        <f t="shared" si="10"/>
        <v>3.726368335092449E-2</v>
      </c>
      <c r="T44" s="292">
        <f t="shared" si="2"/>
        <v>3.726368335092449E-2</v>
      </c>
      <c r="U44" s="113" t="s">
        <v>5</v>
      </c>
      <c r="V44" s="63">
        <v>684294.74411526404</v>
      </c>
      <c r="W44" s="63">
        <v>98561.788575866987</v>
      </c>
      <c r="X44" s="61">
        <v>6.9427995778357321</v>
      </c>
      <c r="Y44" s="113">
        <v>2.4996602269291716E-10</v>
      </c>
      <c r="Z44" s="63">
        <v>489044.60007174651</v>
      </c>
      <c r="AA44" s="63">
        <v>879544.88815878157</v>
      </c>
    </row>
    <row r="45" spans="1:27">
      <c r="A45" s="313">
        <v>40725</v>
      </c>
      <c r="B45" s="314">
        <f>'[14]Data Input'!B119+'[16]PSP less Loss factor'!B128</f>
        <v>24180613.84</v>
      </c>
      <c r="C45" s="317">
        <f>'CDM Activity'!F88</f>
        <v>298586.22469985817</v>
      </c>
      <c r="D45" s="384">
        <f t="shared" si="11"/>
        <v>1.0766900011519738</v>
      </c>
      <c r="E45" s="314">
        <f t="shared" si="3"/>
        <v>321484.80261605378</v>
      </c>
      <c r="F45" s="314">
        <f t="shared" si="4"/>
        <v>24502098.642616052</v>
      </c>
      <c r="G45" s="315">
        <f>'Weather Analysis'!U14</f>
        <v>2</v>
      </c>
      <c r="H45" s="315">
        <f>'Weather Analysis'!U34</f>
        <v>80.600000000000009</v>
      </c>
      <c r="I45" s="320">
        <v>31</v>
      </c>
      <c r="J45" s="316">
        <v>0</v>
      </c>
      <c r="K45" s="317">
        <v>43</v>
      </c>
      <c r="L45" s="318">
        <v>16.5</v>
      </c>
      <c r="M45" s="319">
        <f>'[18]Annual conv to Monthly'!B273</f>
        <v>140.89741194304773</v>
      </c>
      <c r="N45" s="317">
        <f>'[14]Data Input'!AJ119+'[16]PSP less Loss factor'!AA128</f>
        <v>3373</v>
      </c>
      <c r="O45" s="318">
        <v>183</v>
      </c>
      <c r="P45" s="318">
        <v>316.7</v>
      </c>
      <c r="Q45" s="316">
        <f t="shared" si="5"/>
        <v>25589414.106282018</v>
      </c>
      <c r="R45" s="50">
        <f t="shared" si="9"/>
        <v>1408800.2662820183</v>
      </c>
      <c r="S45" s="291">
        <f t="shared" si="10"/>
        <v>5.8261559264122395E-2</v>
      </c>
      <c r="T45" s="292">
        <f t="shared" si="2"/>
        <v>5.8261559264122395E-2</v>
      </c>
      <c r="U45" s="113" t="s">
        <v>19</v>
      </c>
      <c r="V45" s="63">
        <v>-1318416.184069765</v>
      </c>
      <c r="W45" s="63">
        <v>185547.77332121509</v>
      </c>
      <c r="X45" s="61">
        <v>-7.1055349275863309</v>
      </c>
      <c r="Y45" s="113">
        <v>1.1085480505345997E-10</v>
      </c>
      <c r="Z45" s="63">
        <v>-1685984.8939256629</v>
      </c>
      <c r="AA45" s="63">
        <v>-950847.47421386722</v>
      </c>
    </row>
    <row r="46" spans="1:27" ht="13" thickBot="1">
      <c r="A46" s="313">
        <v>40756</v>
      </c>
      <c r="B46" s="314">
        <f>'[14]Data Input'!B120+'[16]PSP less Loss factor'!B129</f>
        <v>25018427.440000001</v>
      </c>
      <c r="C46" s="317">
        <f>'CDM Activity'!F89</f>
        <v>311161.758563462</v>
      </c>
      <c r="D46" s="384">
        <f t="shared" si="11"/>
        <v>1.0766900011519738</v>
      </c>
      <c r="E46" s="314">
        <f t="shared" si="3"/>
        <v>335024.7541861441</v>
      </c>
      <c r="F46" s="314">
        <f t="shared" si="4"/>
        <v>25353452.194186144</v>
      </c>
      <c r="G46" s="315">
        <f>'Weather Analysis'!U15</f>
        <v>15.9</v>
      </c>
      <c r="H46" s="315">
        <f>'Weather Analysis'!U35</f>
        <v>38</v>
      </c>
      <c r="I46" s="320">
        <v>31</v>
      </c>
      <c r="J46" s="316">
        <v>0</v>
      </c>
      <c r="K46" s="317">
        <v>44</v>
      </c>
      <c r="L46" s="318">
        <v>17</v>
      </c>
      <c r="M46" s="319">
        <f>'[18]Annual conv to Monthly'!B274</f>
        <v>141.19911108267243</v>
      </c>
      <c r="N46" s="317">
        <f>'[14]Data Input'!AJ120+'[16]PSP less Loss factor'!AA129</f>
        <v>3376</v>
      </c>
      <c r="O46" s="318">
        <v>182.1</v>
      </c>
      <c r="P46" s="318">
        <v>316.89999999999998</v>
      </c>
      <c r="Q46" s="316">
        <f t="shared" si="5"/>
        <v>23901817.608436316</v>
      </c>
      <c r="R46" s="50">
        <f t="shared" si="9"/>
        <v>-1116609.8315636851</v>
      </c>
      <c r="S46" s="291">
        <f t="shared" si="10"/>
        <v>-4.4631495494334116E-2</v>
      </c>
      <c r="T46" s="292">
        <f t="shared" si="2"/>
        <v>4.4631495494334116E-2</v>
      </c>
      <c r="U46" s="94" t="s">
        <v>347</v>
      </c>
      <c r="V46" s="64">
        <v>-2911.4736984587935</v>
      </c>
      <c r="W46" s="64">
        <v>2213.3457348330207</v>
      </c>
      <c r="X46" s="62">
        <v>-1.3154174933625726</v>
      </c>
      <c r="Y46" s="114">
        <v>0.19100913730264613</v>
      </c>
      <c r="Z46" s="64">
        <v>-7296.0945519207271</v>
      </c>
      <c r="AA46" s="64">
        <v>1473.1471550031401</v>
      </c>
    </row>
    <row r="47" spans="1:27">
      <c r="A47" s="313">
        <v>40787</v>
      </c>
      <c r="B47" s="314">
        <f>'[14]Data Input'!B121+'[16]PSP less Loss factor'!B130</f>
        <v>22047349.490000002</v>
      </c>
      <c r="C47" s="317">
        <f>'CDM Activity'!F90</f>
        <v>323737.29242706584</v>
      </c>
      <c r="D47" s="384">
        <f t="shared" si="11"/>
        <v>1.0766900011519738</v>
      </c>
      <c r="E47" s="314">
        <f t="shared" si="3"/>
        <v>348564.70575623441</v>
      </c>
      <c r="F47" s="314">
        <f t="shared" si="4"/>
        <v>22395914.195756238</v>
      </c>
      <c r="G47" s="315">
        <f>'Weather Analysis'!U16</f>
        <v>109.1</v>
      </c>
      <c r="H47" s="315">
        <f>'Weather Analysis'!U36</f>
        <v>17.499999999999996</v>
      </c>
      <c r="I47" s="320">
        <v>30</v>
      </c>
      <c r="J47" s="316">
        <v>1</v>
      </c>
      <c r="K47" s="317">
        <v>45</v>
      </c>
      <c r="L47" s="318">
        <v>16.399999999999999</v>
      </c>
      <c r="M47" s="319">
        <f>'[18]Annual conv to Monthly'!B275</f>
        <v>141.50145624105357</v>
      </c>
      <c r="N47" s="317">
        <f>'[14]Data Input'!AJ121+'[16]PSP less Loss factor'!AA130</f>
        <v>3404</v>
      </c>
      <c r="O47" s="318">
        <v>178.5</v>
      </c>
      <c r="P47" s="318">
        <v>317.2</v>
      </c>
      <c r="Q47" s="316">
        <f t="shared" si="5"/>
        <v>22292685.333574187</v>
      </c>
      <c r="R47" s="50">
        <f t="shared" si="9"/>
        <v>245335.84357418492</v>
      </c>
      <c r="S47" s="291">
        <f t="shared" si="10"/>
        <v>1.1127679709774714E-2</v>
      </c>
      <c r="T47" s="292">
        <f t="shared" si="2"/>
        <v>1.1127679709774714E-2</v>
      </c>
      <c r="U47"/>
    </row>
    <row r="48" spans="1:27">
      <c r="A48" s="313">
        <v>40817</v>
      </c>
      <c r="B48" s="314">
        <f>'[14]Data Input'!B122+'[16]PSP less Loss factor'!B131</f>
        <v>23398431.059999999</v>
      </c>
      <c r="C48" s="317">
        <f>'CDM Activity'!F91</f>
        <v>336312.82629066968</v>
      </c>
      <c r="D48" s="384">
        <f t="shared" si="11"/>
        <v>1.0766900011519738</v>
      </c>
      <c r="E48" s="314">
        <f t="shared" si="3"/>
        <v>362104.65732632467</v>
      </c>
      <c r="F48" s="314">
        <f t="shared" si="4"/>
        <v>23760535.717326324</v>
      </c>
      <c r="G48" s="315">
        <f>'Weather Analysis'!U17</f>
        <v>290</v>
      </c>
      <c r="H48" s="315">
        <f>'Weather Analysis'!U37</f>
        <v>0</v>
      </c>
      <c r="I48" s="320">
        <v>31</v>
      </c>
      <c r="J48" s="316">
        <v>1</v>
      </c>
      <c r="K48" s="317">
        <v>46</v>
      </c>
      <c r="L48" s="318">
        <v>16</v>
      </c>
      <c r="M48" s="319">
        <f>'[18]Annual conv to Monthly'!B276</f>
        <v>141.80444880149057</v>
      </c>
      <c r="N48" s="317">
        <f>'[14]Data Input'!AJ122+'[16]PSP less Loss factor'!AA131</f>
        <v>3402</v>
      </c>
      <c r="O48" s="318">
        <v>178.8</v>
      </c>
      <c r="P48" s="318">
        <v>317.5</v>
      </c>
      <c r="Q48" s="316">
        <f t="shared" si="5"/>
        <v>24714465.95667211</v>
      </c>
      <c r="R48" s="50">
        <f t="shared" si="9"/>
        <v>1316034.896672111</v>
      </c>
      <c r="S48" s="291">
        <f t="shared" si="10"/>
        <v>5.6244578676982078E-2</v>
      </c>
      <c r="T48" s="292">
        <f t="shared" si="2"/>
        <v>5.6244578676982078E-2</v>
      </c>
      <c r="U48"/>
    </row>
    <row r="49" spans="1:21">
      <c r="A49" s="313">
        <v>40848</v>
      </c>
      <c r="B49" s="314">
        <f>'[14]Data Input'!B123+'[16]PSP less Loss factor'!B132</f>
        <v>25313597.870000001</v>
      </c>
      <c r="C49" s="317">
        <f>'CDM Activity'!F92</f>
        <v>348888.36015427351</v>
      </c>
      <c r="D49" s="384">
        <f t="shared" si="11"/>
        <v>1.0766900011519738</v>
      </c>
      <c r="E49" s="314">
        <f t="shared" si="3"/>
        <v>375644.60889641498</v>
      </c>
      <c r="F49" s="314">
        <f t="shared" si="4"/>
        <v>25689242.478896417</v>
      </c>
      <c r="G49" s="315">
        <f>'Weather Analysis'!U18</f>
        <v>432.4</v>
      </c>
      <c r="H49" s="315">
        <f>'Weather Analysis'!U38</f>
        <v>0</v>
      </c>
      <c r="I49" s="320">
        <v>30</v>
      </c>
      <c r="J49" s="316">
        <v>1</v>
      </c>
      <c r="K49" s="317">
        <v>47</v>
      </c>
      <c r="L49" s="318">
        <v>14.7</v>
      </c>
      <c r="M49" s="319">
        <f>'[18]Annual conv to Monthly'!B277</f>
        <v>142.10809015024478</v>
      </c>
      <c r="N49" s="317">
        <f>'[14]Data Input'!AJ123+'[16]PSP less Loss factor'!AA132</f>
        <v>3377</v>
      </c>
      <c r="O49" s="318">
        <v>179.6</v>
      </c>
      <c r="P49" s="318">
        <v>317.8</v>
      </c>
      <c r="Q49" s="316">
        <f t="shared" si="5"/>
        <v>26009211.898286656</v>
      </c>
      <c r="R49" s="50">
        <f t="shared" si="9"/>
        <v>695614.0282866545</v>
      </c>
      <c r="S49" s="291">
        <f t="shared" si="10"/>
        <v>2.7479856157115071E-2</v>
      </c>
      <c r="T49" s="292">
        <f t="shared" si="2"/>
        <v>2.7479856157115071E-2</v>
      </c>
      <c r="U49"/>
    </row>
    <row r="50" spans="1:21">
      <c r="A50" s="313">
        <v>40878</v>
      </c>
      <c r="B50" s="314">
        <f>'[14]Data Input'!B124+'[16]PSP less Loss factor'!B133</f>
        <v>29996291.52</v>
      </c>
      <c r="C50" s="317">
        <f>'CDM Activity'!F93</f>
        <v>361463.89401787735</v>
      </c>
      <c r="D50" s="384">
        <f t="shared" si="11"/>
        <v>1.0766900011519738</v>
      </c>
      <c r="E50" s="314">
        <f t="shared" si="3"/>
        <v>389184.5604665053</v>
      </c>
      <c r="F50" s="314">
        <f t="shared" si="4"/>
        <v>30385476.080466505</v>
      </c>
      <c r="G50" s="315">
        <f>'Weather Analysis'!U19</f>
        <v>617.5</v>
      </c>
      <c r="H50" s="315">
        <f>'Weather Analysis'!U39</f>
        <v>0</v>
      </c>
      <c r="I50" s="320">
        <v>31</v>
      </c>
      <c r="J50" s="316">
        <v>0</v>
      </c>
      <c r="K50" s="317">
        <v>48</v>
      </c>
      <c r="L50" s="318">
        <v>14.6</v>
      </c>
      <c r="M50" s="319">
        <f>'[18]Annual conv to Monthly'!B278</f>
        <v>142.41238167654581</v>
      </c>
      <c r="N50" s="317">
        <f>'[14]Data Input'!AJ124+'[16]PSP less Loss factor'!AA133</f>
        <v>3381</v>
      </c>
      <c r="O50" s="318">
        <v>181.8</v>
      </c>
      <c r="P50" s="318">
        <v>318</v>
      </c>
      <c r="Q50" s="316">
        <f t="shared" si="5"/>
        <v>30577601.703281097</v>
      </c>
      <c r="R50" s="50">
        <f t="shared" si="9"/>
        <v>581310.18328109756</v>
      </c>
      <c r="S50" s="291">
        <f t="shared" si="10"/>
        <v>1.9379401713492134E-2</v>
      </c>
      <c r="T50" s="292">
        <f t="shared" si="2"/>
        <v>1.9379401713492134E-2</v>
      </c>
      <c r="U50"/>
    </row>
    <row r="51" spans="1:21">
      <c r="A51" s="321">
        <v>40909</v>
      </c>
      <c r="B51" s="314">
        <f>'[14]Data Input'!B125+'[16]PSP less Loss factor'!B134</f>
        <v>31797295.66</v>
      </c>
      <c r="C51" s="317">
        <f>'CDM Activity'!F94</f>
        <v>365611.05935250869</v>
      </c>
      <c r="D51" s="383">
        <f>'Rate Class Energy Model'!F11</f>
        <v>1.0740638868781875</v>
      </c>
      <c r="E51" s="314">
        <f t="shared" si="3"/>
        <v>392689.6354938072</v>
      </c>
      <c r="F51" s="314">
        <f t="shared" si="4"/>
        <v>32189985.295493808</v>
      </c>
      <c r="G51" s="322">
        <f>'Weather Analysis'!V8</f>
        <v>667.69999999999993</v>
      </c>
      <c r="H51" s="322">
        <f>'Weather Analysis'!V28</f>
        <v>0</v>
      </c>
      <c r="I51" s="317">
        <v>31</v>
      </c>
      <c r="J51" s="317">
        <v>0</v>
      </c>
      <c r="K51" s="317">
        <v>49</v>
      </c>
      <c r="L51" s="318">
        <v>15</v>
      </c>
      <c r="M51" s="319">
        <f>'[18]Annual conv to Monthly'!B279</f>
        <v>142.61257743956915</v>
      </c>
      <c r="N51" s="317">
        <f>'[14]Data Input'!AJ125+'[16]PSP less Loss factor'!AA134</f>
        <v>3380</v>
      </c>
      <c r="O51" s="318">
        <v>180</v>
      </c>
      <c r="P51" s="318">
        <v>318.2</v>
      </c>
      <c r="Q51" s="316">
        <f t="shared" si="5"/>
        <v>31274636.952811293</v>
      </c>
      <c r="R51" s="50">
        <f t="shared" si="9"/>
        <v>-522658.70718870685</v>
      </c>
      <c r="S51" s="291">
        <f t="shared" si="10"/>
        <v>-1.6437206257329459E-2</v>
      </c>
      <c r="T51" s="292">
        <f t="shared" si="2"/>
        <v>1.6437206257329459E-2</v>
      </c>
      <c r="U51"/>
    </row>
    <row r="52" spans="1:21">
      <c r="A52" s="321">
        <v>40940</v>
      </c>
      <c r="B52" s="314">
        <f>'[14]Data Input'!B126+'[16]PSP less Loss factor'!B135</f>
        <v>28746499.310000002</v>
      </c>
      <c r="C52" s="317">
        <f>'CDM Activity'!F95</f>
        <v>369758.22468714003</v>
      </c>
      <c r="D52" s="384">
        <f>D51</f>
        <v>1.0740638868781875</v>
      </c>
      <c r="E52" s="314">
        <f t="shared" si="3"/>
        <v>397143.95601264783</v>
      </c>
      <c r="F52" s="314">
        <f t="shared" si="4"/>
        <v>29143643.26601265</v>
      </c>
      <c r="G52" s="322">
        <f>'Weather Analysis'!V9</f>
        <v>662.6</v>
      </c>
      <c r="H52" s="322">
        <f>'Weather Analysis'!V29</f>
        <v>0</v>
      </c>
      <c r="I52" s="317">
        <v>29</v>
      </c>
      <c r="J52" s="317">
        <v>0</v>
      </c>
      <c r="K52" s="317">
        <v>50</v>
      </c>
      <c r="L52" s="318">
        <v>15.6</v>
      </c>
      <c r="M52" s="319">
        <f>'[18]Annual conv to Monthly'!B280</f>
        <v>142.81305462716429</v>
      </c>
      <c r="N52" s="317">
        <f>'[14]Data Input'!AJ126+'[16]PSP less Loss factor'!AA135</f>
        <v>3368</v>
      </c>
      <c r="O52" s="318">
        <v>176.9</v>
      </c>
      <c r="P52" s="318">
        <v>318.39999999999998</v>
      </c>
      <c r="Q52" s="316">
        <f t="shared" si="5"/>
        <v>29838819.695825174</v>
      </c>
      <c r="R52" s="50">
        <f t="shared" si="9"/>
        <v>1092320.3858251721</v>
      </c>
      <c r="S52" s="291">
        <f t="shared" si="10"/>
        <v>3.7998379352062121E-2</v>
      </c>
      <c r="T52" s="292">
        <f t="shared" si="2"/>
        <v>3.7998379352062121E-2</v>
      </c>
      <c r="U52"/>
    </row>
    <row r="53" spans="1:21">
      <c r="A53" s="321">
        <v>40969</v>
      </c>
      <c r="B53" s="314">
        <f>'[14]Data Input'!B127+'[16]PSP less Loss factor'!B136</f>
        <v>26884149.859999999</v>
      </c>
      <c r="C53" s="317">
        <f>'CDM Activity'!F96</f>
        <v>373905.39002177137</v>
      </c>
      <c r="D53" s="384">
        <f t="shared" ref="D53:D62" si="12">D52</f>
        <v>1.0740638868781875</v>
      </c>
      <c r="E53" s="314">
        <f t="shared" si="3"/>
        <v>401598.27653148846</v>
      </c>
      <c r="F53" s="314">
        <f t="shared" si="4"/>
        <v>27285748.136531487</v>
      </c>
      <c r="G53" s="322">
        <f>'Weather Analysis'!V10</f>
        <v>457.10000000000019</v>
      </c>
      <c r="H53" s="322">
        <f>'Weather Analysis'!V30</f>
        <v>0</v>
      </c>
      <c r="I53" s="317">
        <v>31</v>
      </c>
      <c r="J53" s="317">
        <v>1</v>
      </c>
      <c r="K53" s="317">
        <v>51</v>
      </c>
      <c r="L53" s="318">
        <v>16.8</v>
      </c>
      <c r="M53" s="319">
        <f>'[18]Annual conv to Monthly'!B281</f>
        <v>143.01381363494295</v>
      </c>
      <c r="N53" s="317">
        <f>'[14]Data Input'!AJ127+'[16]PSP less Loss factor'!AA136</f>
        <v>3389</v>
      </c>
      <c r="O53" s="318">
        <v>174.9</v>
      </c>
      <c r="P53" s="318">
        <v>318.60000000000002</v>
      </c>
      <c r="Q53" s="316">
        <f t="shared" si="5"/>
        <v>27034676.916761667</v>
      </c>
      <c r="R53" s="50">
        <f t="shared" si="9"/>
        <v>150527.05676166713</v>
      </c>
      <c r="S53" s="291">
        <f t="shared" si="10"/>
        <v>5.5991004939914858E-3</v>
      </c>
      <c r="T53" s="292">
        <f t="shared" si="2"/>
        <v>5.5991004939914858E-3</v>
      </c>
      <c r="U53"/>
    </row>
    <row r="54" spans="1:21">
      <c r="A54" s="321">
        <v>41000</v>
      </c>
      <c r="B54" s="314">
        <f>'[14]Data Input'!B128+'[16]PSP less Loss factor'!B137</f>
        <v>24157537.190000001</v>
      </c>
      <c r="C54" s="317">
        <f>'CDM Activity'!F97</f>
        <v>378052.55535640271</v>
      </c>
      <c r="D54" s="384">
        <f t="shared" si="12"/>
        <v>1.0740638868781875</v>
      </c>
      <c r="E54" s="314">
        <f t="shared" si="3"/>
        <v>406052.59705032903</v>
      </c>
      <c r="F54" s="314">
        <f t="shared" si="4"/>
        <v>24563589.787050329</v>
      </c>
      <c r="G54" s="322">
        <f>'Weather Analysis'!V11</f>
        <v>399.79999999999995</v>
      </c>
      <c r="H54" s="322">
        <f>'Weather Analysis'!V31</f>
        <v>0</v>
      </c>
      <c r="I54" s="317">
        <v>30</v>
      </c>
      <c r="J54" s="317">
        <v>1</v>
      </c>
      <c r="K54" s="317">
        <v>52</v>
      </c>
      <c r="L54" s="318">
        <v>16.7</v>
      </c>
      <c r="M54" s="319">
        <f>'[18]Annual conv to Monthly'!B282</f>
        <v>143.21485485907297</v>
      </c>
      <c r="N54" s="317">
        <f>'[14]Data Input'!AJ128+'[16]PSP less Loss factor'!AA137</f>
        <v>3388</v>
      </c>
      <c r="O54" s="318">
        <v>172.3</v>
      </c>
      <c r="P54" s="318">
        <v>318.8</v>
      </c>
      <c r="Q54" s="316">
        <f t="shared" si="5"/>
        <v>25556555.541022025</v>
      </c>
      <c r="R54" s="50">
        <f t="shared" si="9"/>
        <v>1399018.3510220237</v>
      </c>
      <c r="S54" s="291">
        <f t="shared" si="10"/>
        <v>5.7912292135522264E-2</v>
      </c>
      <c r="T54" s="292">
        <f t="shared" si="2"/>
        <v>5.7912292135522264E-2</v>
      </c>
      <c r="U54"/>
    </row>
    <row r="55" spans="1:21">
      <c r="A55" s="321">
        <v>41030</v>
      </c>
      <c r="B55" s="314">
        <f>'[14]Data Input'!B129+'[16]PSP less Loss factor'!B138</f>
        <v>22839707.129999999</v>
      </c>
      <c r="C55" s="317">
        <f>'CDM Activity'!F98</f>
        <v>382199.72069103405</v>
      </c>
      <c r="D55" s="384">
        <f t="shared" si="12"/>
        <v>1.0740638868781875</v>
      </c>
      <c r="E55" s="314">
        <f t="shared" si="3"/>
        <v>410506.91756916966</v>
      </c>
      <c r="F55" s="314">
        <f t="shared" si="4"/>
        <v>23250214.047569167</v>
      </c>
      <c r="G55" s="322">
        <f>'Weather Analysis'!V12</f>
        <v>138.90000000000003</v>
      </c>
      <c r="H55" s="322">
        <f>'Weather Analysis'!V32</f>
        <v>7.6</v>
      </c>
      <c r="I55" s="317">
        <v>31</v>
      </c>
      <c r="J55" s="317">
        <v>1</v>
      </c>
      <c r="K55" s="317">
        <v>53</v>
      </c>
      <c r="L55" s="318">
        <v>15.6</v>
      </c>
      <c r="M55" s="319">
        <f>'[18]Annual conv to Monthly'!B283</f>
        <v>143.41617869627913</v>
      </c>
      <c r="N55" s="317">
        <f>'[14]Data Input'!AJ129+'[16]PSP less Loss factor'!AA138</f>
        <v>3392</v>
      </c>
      <c r="O55" s="318">
        <v>174.4</v>
      </c>
      <c r="P55" s="318">
        <v>319</v>
      </c>
      <c r="Q55" s="316">
        <f t="shared" si="5"/>
        <v>22951923.779525079</v>
      </c>
      <c r="R55" s="50">
        <f t="shared" si="9"/>
        <v>112216.64952507988</v>
      </c>
      <c r="S55" s="291">
        <f t="shared" si="10"/>
        <v>4.9132262899152105E-3</v>
      </c>
      <c r="T55" s="292">
        <f t="shared" si="2"/>
        <v>4.9132262899152105E-3</v>
      </c>
      <c r="U55" s="14"/>
    </row>
    <row r="56" spans="1:21">
      <c r="A56" s="321">
        <v>41061</v>
      </c>
      <c r="B56" s="314">
        <f>'[14]Data Input'!B130+'[16]PSP less Loss factor'!B139</f>
        <v>22944176.190000001</v>
      </c>
      <c r="C56" s="317">
        <f>'CDM Activity'!F99</f>
        <v>386346.88602566539</v>
      </c>
      <c r="D56" s="384">
        <f t="shared" si="12"/>
        <v>1.0740638868781875</v>
      </c>
      <c r="E56" s="314">
        <f t="shared" si="3"/>
        <v>414961.23808801029</v>
      </c>
      <c r="F56" s="314">
        <f t="shared" si="4"/>
        <v>23359137.428088013</v>
      </c>
      <c r="G56" s="322">
        <f>'Weather Analysis'!V13</f>
        <v>55.099999999999994</v>
      </c>
      <c r="H56" s="322">
        <f>'Weather Analysis'!V33</f>
        <v>47.5</v>
      </c>
      <c r="I56" s="317">
        <v>30</v>
      </c>
      <c r="J56" s="317">
        <v>0</v>
      </c>
      <c r="K56" s="317">
        <v>54</v>
      </c>
      <c r="L56" s="318">
        <v>14.4</v>
      </c>
      <c r="M56" s="319">
        <f>'[18]Annual conv to Monthly'!B284</f>
        <v>143.61778554384387</v>
      </c>
      <c r="N56" s="317">
        <f>'[14]Data Input'!AJ130+'[16]PSP less Loss factor'!AA139</f>
        <v>3403</v>
      </c>
      <c r="O56" s="318">
        <v>176.1</v>
      </c>
      <c r="P56" s="318">
        <v>319.2</v>
      </c>
      <c r="Q56" s="316">
        <f t="shared" si="5"/>
        <v>24182997.282870051</v>
      </c>
      <c r="R56" s="50">
        <f t="shared" si="9"/>
        <v>1238821.0928700492</v>
      </c>
      <c r="S56" s="291">
        <f t="shared" si="10"/>
        <v>5.3992833850795542E-2</v>
      </c>
      <c r="T56" s="292">
        <f t="shared" si="2"/>
        <v>5.3992833850795542E-2</v>
      </c>
      <c r="U56" s="14"/>
    </row>
    <row r="57" spans="1:21">
      <c r="A57" s="321">
        <v>41091</v>
      </c>
      <c r="B57" s="314">
        <f>'[14]Data Input'!B131+'[16]PSP less Loss factor'!B140</f>
        <v>25345321.050000001</v>
      </c>
      <c r="C57" s="317">
        <f>'CDM Activity'!F100</f>
        <v>390494.05136029673</v>
      </c>
      <c r="D57" s="384">
        <f t="shared" si="12"/>
        <v>1.0740638868781875</v>
      </c>
      <c r="E57" s="314">
        <f t="shared" si="3"/>
        <v>419415.55860685091</v>
      </c>
      <c r="F57" s="314">
        <f t="shared" si="4"/>
        <v>25764736.608606853</v>
      </c>
      <c r="G57" s="322">
        <f>'Weather Analysis'!V14</f>
        <v>1.5</v>
      </c>
      <c r="H57" s="322">
        <f>'Weather Analysis'!V34</f>
        <v>70.5</v>
      </c>
      <c r="I57" s="317">
        <v>31</v>
      </c>
      <c r="J57" s="317">
        <v>0</v>
      </c>
      <c r="K57" s="317">
        <v>55</v>
      </c>
      <c r="L57" s="318">
        <v>12.1</v>
      </c>
      <c r="M57" s="319">
        <f>'[18]Annual conv to Monthly'!B285</f>
        <v>143.81967579960809</v>
      </c>
      <c r="N57" s="317">
        <f>'[14]Data Input'!AJ131+'[16]PSP less Loss factor'!AA140</f>
        <v>3416</v>
      </c>
      <c r="O57" s="318">
        <v>179.3</v>
      </c>
      <c r="P57" s="318">
        <v>319.5</v>
      </c>
      <c r="Q57" s="316">
        <f t="shared" si="5"/>
        <v>25136601.504186053</v>
      </c>
      <c r="R57" s="50">
        <f t="shared" si="9"/>
        <v>-208719.54581394792</v>
      </c>
      <c r="S57" s="291">
        <f t="shared" si="10"/>
        <v>-8.2350326280024727E-3</v>
      </c>
      <c r="T57" s="292">
        <f t="shared" si="2"/>
        <v>8.2350326280024727E-3</v>
      </c>
      <c r="U57" s="14"/>
    </row>
    <row r="58" spans="1:21">
      <c r="A58" s="321">
        <v>41122</v>
      </c>
      <c r="B58" s="314">
        <f>'[14]Data Input'!B132+'[16]PSP less Loss factor'!B141</f>
        <v>24309722.300000001</v>
      </c>
      <c r="C58" s="317">
        <f>'CDM Activity'!F101</f>
        <v>394641.21669492807</v>
      </c>
      <c r="D58" s="384">
        <f t="shared" si="12"/>
        <v>1.0740638868781875</v>
      </c>
      <c r="E58" s="314">
        <f t="shared" si="3"/>
        <v>423869.87912569154</v>
      </c>
      <c r="F58" s="314">
        <f t="shared" si="4"/>
        <v>24733592.179125693</v>
      </c>
      <c r="G58" s="322">
        <f>'Weather Analysis'!V15</f>
        <v>31.199999999999996</v>
      </c>
      <c r="H58" s="322">
        <f>'Weather Analysis'!V35</f>
        <v>45.8</v>
      </c>
      <c r="I58" s="317">
        <v>31</v>
      </c>
      <c r="J58" s="317">
        <v>0</v>
      </c>
      <c r="K58" s="317">
        <v>56</v>
      </c>
      <c r="L58" s="318">
        <v>12.1</v>
      </c>
      <c r="M58" s="319">
        <f>'[18]Annual conv to Monthly'!B286</f>
        <v>144.02184986197204</v>
      </c>
      <c r="N58" s="317">
        <f>'[14]Data Input'!AJ132+'[16]PSP less Loss factor'!AA141</f>
        <v>3406</v>
      </c>
      <c r="O58" s="318">
        <v>178.6</v>
      </c>
      <c r="P58" s="318">
        <v>319.8</v>
      </c>
      <c r="Q58" s="316">
        <f t="shared" si="5"/>
        <v>24458595.885651082</v>
      </c>
      <c r="R58" s="50">
        <f t="shared" si="9"/>
        <v>148873.58565108106</v>
      </c>
      <c r="S58" s="291">
        <f t="shared" si="10"/>
        <v>6.1240348126511118E-3</v>
      </c>
      <c r="T58" s="292">
        <f t="shared" si="2"/>
        <v>6.1240348126511118E-3</v>
      </c>
      <c r="U58" s="14"/>
    </row>
    <row r="59" spans="1:21">
      <c r="A59" s="321">
        <v>41153</v>
      </c>
      <c r="B59" s="314">
        <f>'[14]Data Input'!B133+'[16]PSP less Loss factor'!B142</f>
        <v>22260178.490000002</v>
      </c>
      <c r="C59" s="317">
        <f>'CDM Activity'!F102</f>
        <v>398788.38202955941</v>
      </c>
      <c r="D59" s="384">
        <f t="shared" si="12"/>
        <v>1.0740638868781875</v>
      </c>
      <c r="E59" s="314">
        <f t="shared" si="3"/>
        <v>428324.19964453211</v>
      </c>
      <c r="F59" s="314">
        <f t="shared" si="4"/>
        <v>22688502.689644534</v>
      </c>
      <c r="G59" s="322">
        <f>'Weather Analysis'!V16</f>
        <v>147.29999999999998</v>
      </c>
      <c r="H59" s="322">
        <f>'Weather Analysis'!V36</f>
        <v>10.399999999999999</v>
      </c>
      <c r="I59" s="317">
        <v>30</v>
      </c>
      <c r="J59" s="317">
        <v>1</v>
      </c>
      <c r="K59" s="317">
        <v>57</v>
      </c>
      <c r="L59" s="318">
        <v>12.5</v>
      </c>
      <c r="M59" s="319">
        <f>'[18]Annual conv to Monthly'!B287</f>
        <v>144.22430812989595</v>
      </c>
      <c r="N59" s="317">
        <f>'[14]Data Input'!AJ133+'[16]PSP less Loss factor'!AA142</f>
        <v>3414</v>
      </c>
      <c r="O59" s="318">
        <v>173.9</v>
      </c>
      <c r="P59" s="318">
        <v>320</v>
      </c>
      <c r="Q59" s="316">
        <f t="shared" si="5"/>
        <v>22509665.230758771</v>
      </c>
      <c r="R59" s="50">
        <f t="shared" si="9"/>
        <v>249486.74075876921</v>
      </c>
      <c r="S59" s="291">
        <f t="shared" si="10"/>
        <v>1.1207760120649831E-2</v>
      </c>
      <c r="T59" s="292">
        <f t="shared" si="2"/>
        <v>1.1207760120649831E-2</v>
      </c>
      <c r="U59" s="14"/>
    </row>
    <row r="60" spans="1:21">
      <c r="A60" s="321">
        <v>41183</v>
      </c>
      <c r="B60" s="314">
        <f>'[14]Data Input'!B134+'[16]PSP less Loss factor'!B143</f>
        <v>24143326.09</v>
      </c>
      <c r="C60" s="317">
        <f>'CDM Activity'!F103</f>
        <v>402935.54736419074</v>
      </c>
      <c r="D60" s="384">
        <f t="shared" si="12"/>
        <v>1.0740638868781875</v>
      </c>
      <c r="E60" s="314">
        <f t="shared" si="3"/>
        <v>432778.52016337274</v>
      </c>
      <c r="F60" s="314">
        <f t="shared" si="4"/>
        <v>24576104.610163372</v>
      </c>
      <c r="G60" s="322">
        <f>'Weather Analysis'!V17</f>
        <v>305.7</v>
      </c>
      <c r="H60" s="322">
        <f>'Weather Analysis'!V37</f>
        <v>0</v>
      </c>
      <c r="I60" s="317">
        <v>31</v>
      </c>
      <c r="J60" s="317">
        <v>1</v>
      </c>
      <c r="K60" s="317">
        <v>58</v>
      </c>
      <c r="L60" s="318">
        <v>13.4</v>
      </c>
      <c r="M60" s="319">
        <f>'[18]Annual conv to Monthly'!B288</f>
        <v>144.42705100290087</v>
      </c>
      <c r="N60" s="317">
        <f>'[14]Data Input'!AJ134+'[16]PSP less Loss factor'!AA143</f>
        <v>3426</v>
      </c>
      <c r="O60" s="318">
        <v>166.3</v>
      </c>
      <c r="P60" s="318">
        <v>320.2</v>
      </c>
      <c r="Q60" s="316">
        <f t="shared" si="5"/>
        <v>24932463.036704462</v>
      </c>
      <c r="R60" s="50">
        <f t="shared" si="9"/>
        <v>789136.94670446217</v>
      </c>
      <c r="S60" s="291">
        <f t="shared" si="10"/>
        <v>3.2685510843152521E-2</v>
      </c>
      <c r="T60" s="292">
        <f t="shared" si="2"/>
        <v>3.2685510843152521E-2</v>
      </c>
      <c r="U60" s="14"/>
    </row>
    <row r="61" spans="1:21">
      <c r="A61" s="321">
        <v>41214</v>
      </c>
      <c r="B61" s="314">
        <f>'[14]Data Input'!B135+'[16]PSP less Loss factor'!B144</f>
        <v>26564436.550000001</v>
      </c>
      <c r="C61" s="317">
        <f>'CDM Activity'!F104</f>
        <v>407082.71269882208</v>
      </c>
      <c r="D61" s="384">
        <f t="shared" si="12"/>
        <v>1.0740638868781875</v>
      </c>
      <c r="E61" s="314">
        <f t="shared" si="3"/>
        <v>437232.84068221337</v>
      </c>
      <c r="F61" s="314">
        <f t="shared" si="4"/>
        <v>27001669.390682213</v>
      </c>
      <c r="G61" s="322">
        <f>'Weather Analysis'!V18</f>
        <v>529</v>
      </c>
      <c r="H61" s="322">
        <f>'Weather Analysis'!V38</f>
        <v>0</v>
      </c>
      <c r="I61" s="317">
        <v>30</v>
      </c>
      <c r="J61" s="317">
        <v>1</v>
      </c>
      <c r="K61" s="317">
        <v>59</v>
      </c>
      <c r="L61" s="318">
        <v>12.9</v>
      </c>
      <c r="M61" s="319">
        <f>'[18]Annual conv to Monthly'!B289</f>
        <v>144.63007888106955</v>
      </c>
      <c r="N61" s="317">
        <f>'[14]Data Input'!AJ135+'[16]PSP less Loss factor'!AA144</f>
        <v>3415</v>
      </c>
      <c r="O61" s="318">
        <v>162.19999999999999</v>
      </c>
      <c r="P61" s="318">
        <v>320.39999999999998</v>
      </c>
      <c r="Q61" s="316">
        <f t="shared" si="5"/>
        <v>27350518.772880618</v>
      </c>
      <c r="R61" s="50">
        <f t="shared" si="9"/>
        <v>786082.22288061678</v>
      </c>
      <c r="S61" s="291">
        <f t="shared" si="10"/>
        <v>2.9591526302507505E-2</v>
      </c>
      <c r="T61" s="292">
        <f t="shared" si="2"/>
        <v>2.9591526302507505E-2</v>
      </c>
      <c r="U61" s="14"/>
    </row>
    <row r="62" spans="1:21">
      <c r="A62" s="321">
        <v>41244</v>
      </c>
      <c r="B62" s="314">
        <f>'[14]Data Input'!B136+'[16]PSP less Loss factor'!B145</f>
        <v>29452867.060000002</v>
      </c>
      <c r="C62" s="317">
        <f>'CDM Activity'!F105</f>
        <v>411229.87803345342</v>
      </c>
      <c r="D62" s="384">
        <f t="shared" si="12"/>
        <v>1.0740638868781875</v>
      </c>
      <c r="E62" s="314">
        <f t="shared" si="3"/>
        <v>441687.161201054</v>
      </c>
      <c r="F62" s="314">
        <f t="shared" si="4"/>
        <v>29894554.221201055</v>
      </c>
      <c r="G62" s="322">
        <f>'Weather Analysis'!V19</f>
        <v>630</v>
      </c>
      <c r="H62" s="322">
        <f>'Weather Analysis'!V39</f>
        <v>0</v>
      </c>
      <c r="I62" s="317">
        <v>31</v>
      </c>
      <c r="J62" s="317">
        <v>0</v>
      </c>
      <c r="K62" s="317">
        <v>60</v>
      </c>
      <c r="L62" s="318">
        <v>13.4</v>
      </c>
      <c r="M62" s="319">
        <f>'[18]Annual conv to Monthly'!B290</f>
        <v>144.83339216504706</v>
      </c>
      <c r="N62" s="317">
        <f>'[14]Data Input'!AJ136+'[16]PSP less Loss factor'!AA145</f>
        <v>3391</v>
      </c>
      <c r="O62" s="318">
        <v>159</v>
      </c>
      <c r="P62" s="318">
        <v>320.60000000000002</v>
      </c>
      <c r="Q62" s="316">
        <f t="shared" si="5"/>
        <v>30751166.257446982</v>
      </c>
      <c r="R62" s="50">
        <f t="shared" si="9"/>
        <v>1298299.1974469796</v>
      </c>
      <c r="S62" s="291">
        <f t="shared" si="10"/>
        <v>4.4080570995079872E-2</v>
      </c>
      <c r="T62" s="292">
        <f t="shared" si="2"/>
        <v>4.4080570995079872E-2</v>
      </c>
      <c r="U62" s="14"/>
    </row>
    <row r="63" spans="1:21">
      <c r="A63" s="321">
        <v>41275</v>
      </c>
      <c r="B63" s="314">
        <f>'[14]Data Input'!B137+'[16]PSP less Loss factor'!B146</f>
        <v>32522853.329999998</v>
      </c>
      <c r="C63" s="317">
        <f>'CDM Activity'!F106</f>
        <v>423846.97270360263</v>
      </c>
      <c r="D63" s="383">
        <f>'Rate Class Energy Model'!F12</f>
        <v>1.0758669287315898</v>
      </c>
      <c r="E63" s="314">
        <f t="shared" si="3"/>
        <v>456002.94077480695</v>
      </c>
      <c r="F63" s="314">
        <f t="shared" si="4"/>
        <v>32978856.270774804</v>
      </c>
      <c r="G63" s="322">
        <f>'Weather Analysis'!W8</f>
        <v>519.5</v>
      </c>
      <c r="H63" s="315">
        <f>'Weather Analysis'!W28</f>
        <v>0</v>
      </c>
      <c r="I63" s="317">
        <v>31</v>
      </c>
      <c r="J63" s="317">
        <v>0</v>
      </c>
      <c r="K63" s="317">
        <v>61</v>
      </c>
      <c r="L63" s="318">
        <v>14.5</v>
      </c>
      <c r="M63" s="319">
        <f>'[18]Annual conv to Monthly'!B291</f>
        <v>144.98936781896037</v>
      </c>
      <c r="N63" s="317">
        <f>'[14]Data Input'!AJ137+'[16]PSP less Loss factor'!AA146</f>
        <v>3402</v>
      </c>
      <c r="O63" s="318">
        <v>157.6</v>
      </c>
      <c r="P63" s="318">
        <v>320.7</v>
      </c>
      <c r="Q63" s="316">
        <f t="shared" si="5"/>
        <v>29216855.598620556</v>
      </c>
      <c r="R63" s="50">
        <f t="shared" si="9"/>
        <v>-3305997.7313794419</v>
      </c>
      <c r="S63" s="291">
        <f t="shared" si="10"/>
        <v>-0.10165152786056125</v>
      </c>
      <c r="T63" s="292">
        <f t="shared" si="2"/>
        <v>0.10165152786056125</v>
      </c>
      <c r="U63" s="14"/>
    </row>
    <row r="64" spans="1:21">
      <c r="A64" s="321">
        <v>41306</v>
      </c>
      <c r="B64" s="314">
        <f>'[14]Data Input'!B138+'[16]PSP less Loss factor'!B147</f>
        <v>29772458.41</v>
      </c>
      <c r="C64" s="317">
        <f>'CDM Activity'!F107</f>
        <v>436464.0673737519</v>
      </c>
      <c r="D64" s="384">
        <f>D63</f>
        <v>1.0758669287315898</v>
      </c>
      <c r="E64" s="314">
        <f t="shared" si="3"/>
        <v>469577.25566709618</v>
      </c>
      <c r="F64" s="314">
        <f t="shared" si="4"/>
        <v>30242035.665667098</v>
      </c>
      <c r="G64" s="322">
        <f>'Weather Analysis'!W9</f>
        <v>703.19999999999982</v>
      </c>
      <c r="H64" s="315">
        <f>'Weather Analysis'!W29</f>
        <v>0</v>
      </c>
      <c r="I64" s="317">
        <v>28</v>
      </c>
      <c r="J64" s="317">
        <v>0</v>
      </c>
      <c r="K64" s="317">
        <v>62</v>
      </c>
      <c r="L64" s="318">
        <v>15.5</v>
      </c>
      <c r="M64" s="319">
        <f>'[18]Annual conv to Monthly'!B292</f>
        <v>145.14551144798114</v>
      </c>
      <c r="N64" s="317">
        <f>'[14]Data Input'!AJ138+'[16]PSP less Loss factor'!AA147</f>
        <v>3405</v>
      </c>
      <c r="O64" s="318">
        <v>157.5</v>
      </c>
      <c r="P64" s="318">
        <v>320.89999999999998</v>
      </c>
      <c r="Q64" s="316">
        <f t="shared" si="5"/>
        <v>29720055.908312745</v>
      </c>
      <c r="R64" s="50">
        <f t="shared" si="9"/>
        <v>-52402.501687254757</v>
      </c>
      <c r="S64" s="291">
        <f t="shared" si="10"/>
        <v>-1.760099920725853E-3</v>
      </c>
      <c r="T64" s="292">
        <f t="shared" si="2"/>
        <v>1.760099920725853E-3</v>
      </c>
      <c r="U64" s="14"/>
    </row>
    <row r="65" spans="1:21">
      <c r="A65" s="321">
        <v>41334</v>
      </c>
      <c r="B65" s="314">
        <f>'[14]Data Input'!B139+'[16]PSP less Loss factor'!B148</f>
        <v>28900685.57</v>
      </c>
      <c r="C65" s="317">
        <f>'CDM Activity'!F108</f>
        <v>449081.16204390116</v>
      </c>
      <c r="D65" s="384">
        <f t="shared" ref="D65:D74" si="13">D64</f>
        <v>1.0758669287315898</v>
      </c>
      <c r="E65" s="314">
        <f t="shared" si="3"/>
        <v>483151.57055938535</v>
      </c>
      <c r="F65" s="314">
        <f t="shared" si="4"/>
        <v>29383837.140559386</v>
      </c>
      <c r="G65" s="322">
        <f>'Weather Analysis'!W10</f>
        <v>550.30000000000018</v>
      </c>
      <c r="H65" s="315">
        <f>'Weather Analysis'!W30</f>
        <v>0</v>
      </c>
      <c r="I65" s="317">
        <v>31</v>
      </c>
      <c r="J65" s="317">
        <v>1</v>
      </c>
      <c r="K65" s="317">
        <v>63</v>
      </c>
      <c r="L65" s="318">
        <v>16.7</v>
      </c>
      <c r="M65" s="319">
        <f>'[18]Annual conv to Monthly'!B293</f>
        <v>145.30182323300707</v>
      </c>
      <c r="N65" s="317">
        <f>'[14]Data Input'!AJ139+'[16]PSP less Loss factor'!AA148</f>
        <v>3408</v>
      </c>
      <c r="O65" s="318">
        <v>155.4</v>
      </c>
      <c r="P65" s="318">
        <v>321.10000000000002</v>
      </c>
      <c r="Q65" s="316">
        <f t="shared" si="5"/>
        <v>28328774.232622504</v>
      </c>
      <c r="R65" s="50">
        <f t="shared" si="9"/>
        <v>-571911.33737749606</v>
      </c>
      <c r="S65" s="291">
        <f t="shared" si="10"/>
        <v>-1.9788850198459013E-2</v>
      </c>
      <c r="T65" s="292">
        <f t="shared" si="2"/>
        <v>1.9788850198459013E-2</v>
      </c>
      <c r="U65" s="14"/>
    </row>
    <row r="66" spans="1:21">
      <c r="A66" s="321">
        <v>41365</v>
      </c>
      <c r="B66" s="314">
        <f>'[14]Data Input'!B140+'[16]PSP less Loss factor'!B149</f>
        <v>25260353.300000001</v>
      </c>
      <c r="C66" s="317">
        <f>'CDM Activity'!F109</f>
        <v>461698.25671405043</v>
      </c>
      <c r="D66" s="384">
        <f t="shared" si="13"/>
        <v>1.0758669287315898</v>
      </c>
      <c r="E66" s="314">
        <f t="shared" si="3"/>
        <v>496725.88545167458</v>
      </c>
      <c r="F66" s="314">
        <f t="shared" si="4"/>
        <v>25757079.185451675</v>
      </c>
      <c r="G66" s="322">
        <f>'Weather Analysis'!W11</f>
        <v>421.9</v>
      </c>
      <c r="H66" s="315">
        <f>'Weather Analysis'!W31</f>
        <v>0</v>
      </c>
      <c r="I66" s="317">
        <v>30</v>
      </c>
      <c r="J66" s="317">
        <v>1</v>
      </c>
      <c r="K66" s="317">
        <v>64</v>
      </c>
      <c r="L66" s="318">
        <v>17.3</v>
      </c>
      <c r="M66" s="319">
        <f>'[18]Annual conv to Monthly'!B294</f>
        <v>145.45830335513068</v>
      </c>
      <c r="N66" s="317">
        <f>'[14]Data Input'!AJ140+'[16]PSP less Loss factor'!AA149</f>
        <v>3410</v>
      </c>
      <c r="O66" s="318">
        <v>159.80000000000001</v>
      </c>
      <c r="P66" s="318">
        <v>321.3</v>
      </c>
      <c r="Q66" s="316">
        <f t="shared" si="5"/>
        <v>25863417.672787312</v>
      </c>
      <c r="R66" s="50">
        <f t="shared" si="9"/>
        <v>603064.37278731167</v>
      </c>
      <c r="S66" s="291">
        <f t="shared" si="10"/>
        <v>2.3873948460859874E-2</v>
      </c>
      <c r="T66" s="292">
        <f t="shared" si="2"/>
        <v>2.3873948460859874E-2</v>
      </c>
      <c r="U66" s="14"/>
    </row>
    <row r="67" spans="1:21">
      <c r="A67" s="321">
        <v>41395</v>
      </c>
      <c r="B67" s="314">
        <f>'[14]Data Input'!B141+'[16]PSP less Loss factor'!B150</f>
        <v>22725602.850000001</v>
      </c>
      <c r="C67" s="317">
        <f>'CDM Activity'!F110</f>
        <v>474315.35138419969</v>
      </c>
      <c r="D67" s="384">
        <f t="shared" si="13"/>
        <v>1.0758669287315898</v>
      </c>
      <c r="E67" s="314">
        <f t="shared" si="3"/>
        <v>510300.20034396375</v>
      </c>
      <c r="F67" s="314">
        <f t="shared" si="4"/>
        <v>23235903.050343964</v>
      </c>
      <c r="G67" s="322">
        <f>'Weather Analysis'!W12</f>
        <v>166.3</v>
      </c>
      <c r="H67" s="315">
        <f>'Weather Analysis'!W32</f>
        <v>11.7</v>
      </c>
      <c r="I67" s="317">
        <v>31</v>
      </c>
      <c r="J67" s="317">
        <v>1</v>
      </c>
      <c r="K67" s="317">
        <v>65</v>
      </c>
      <c r="L67" s="318">
        <v>18.3</v>
      </c>
      <c r="M67" s="319">
        <f>'[18]Annual conv to Monthly'!B295</f>
        <v>145.6149519956395</v>
      </c>
      <c r="N67" s="317">
        <f>'[14]Data Input'!AJ141+'[16]PSP less Loss factor'!AA150</f>
        <v>3413</v>
      </c>
      <c r="O67" s="318">
        <v>162.69999999999999</v>
      </c>
      <c r="P67" s="318">
        <v>321.5</v>
      </c>
      <c r="Q67" s="316">
        <f t="shared" si="5"/>
        <v>23513374.023020089</v>
      </c>
      <c r="R67" s="50">
        <f t="shared" ref="R67:R98" si="14">Q67-B67</f>
        <v>787771.17302008718</v>
      </c>
      <c r="S67" s="291">
        <f t="shared" ref="S67:S98" si="15">R67/B67</f>
        <v>3.4664478571581087E-2</v>
      </c>
      <c r="T67" s="292">
        <f t="shared" ref="T67:T122" si="16">ABS(S67)</f>
        <v>3.4664478571581087E-2</v>
      </c>
      <c r="U67" s="14"/>
    </row>
    <row r="68" spans="1:21">
      <c r="A68" s="321">
        <v>41426</v>
      </c>
      <c r="B68" s="314">
        <f>'[14]Data Input'!B142+'[16]PSP less Loss factor'!B151</f>
        <v>22320158.969999999</v>
      </c>
      <c r="C68" s="317">
        <f>'CDM Activity'!F111</f>
        <v>486932.44605434895</v>
      </c>
      <c r="D68" s="384">
        <f t="shared" si="13"/>
        <v>1.0758669287315898</v>
      </c>
      <c r="E68" s="314">
        <f t="shared" ref="E68:E131" si="17">C68*D68</f>
        <v>523874.51523625298</v>
      </c>
      <c r="F68" s="314">
        <f t="shared" ref="F68:F122" si="18">B68+E68</f>
        <v>22844033.485236254</v>
      </c>
      <c r="G68" s="322">
        <f>'Weather Analysis'!W13</f>
        <v>82.300000000000011</v>
      </c>
      <c r="H68" s="315">
        <f>'Weather Analysis'!W33</f>
        <v>27.200000000000003</v>
      </c>
      <c r="I68" s="317">
        <v>30</v>
      </c>
      <c r="J68" s="317">
        <v>0</v>
      </c>
      <c r="K68" s="317">
        <v>66</v>
      </c>
      <c r="L68" s="318">
        <v>17.399999999999999</v>
      </c>
      <c r="M68" s="319">
        <f>'[18]Annual conv to Monthly'!B296</f>
        <v>145.77176933601632</v>
      </c>
      <c r="N68" s="317">
        <f>'[14]Data Input'!AJ142+'[16]PSP less Loss factor'!AA151</f>
        <v>3416</v>
      </c>
      <c r="O68" s="318">
        <v>171</v>
      </c>
      <c r="P68" s="318">
        <v>321.8</v>
      </c>
      <c r="Q68" s="316">
        <f t="shared" ref="Q68:Q131" si="19">$V$18+G68*$V$19+H68*$V$20+I68*$V$21+J68*$V$22</f>
        <v>23664519.158223592</v>
      </c>
      <c r="R68" s="50">
        <f t="shared" si="14"/>
        <v>1344360.1882235929</v>
      </c>
      <c r="S68" s="291">
        <f t="shared" si="15"/>
        <v>6.0230762246385246E-2</v>
      </c>
      <c r="T68" s="292">
        <f t="shared" si="16"/>
        <v>6.0230762246385246E-2</v>
      </c>
      <c r="U68" s="14"/>
    </row>
    <row r="69" spans="1:21">
      <c r="A69" s="321">
        <v>41456</v>
      </c>
      <c r="B69" s="314">
        <f>'[14]Data Input'!B143+'[16]PSP less Loss factor'!B152</f>
        <v>25091607.469999999</v>
      </c>
      <c r="C69" s="317">
        <f>'CDM Activity'!F112</f>
        <v>499549.54072449822</v>
      </c>
      <c r="D69" s="384">
        <f t="shared" si="13"/>
        <v>1.0758669287315898</v>
      </c>
      <c r="E69" s="314">
        <f t="shared" si="17"/>
        <v>537448.83012854215</v>
      </c>
      <c r="F69" s="314">
        <f t="shared" si="18"/>
        <v>25629056.300128542</v>
      </c>
      <c r="G69" s="322">
        <f>'Weather Analysis'!W14</f>
        <v>20.400000000000002</v>
      </c>
      <c r="H69" s="315">
        <f>'Weather Analysis'!W34</f>
        <v>75.900000000000006</v>
      </c>
      <c r="I69" s="317">
        <v>31</v>
      </c>
      <c r="J69" s="317">
        <v>0</v>
      </c>
      <c r="K69" s="317">
        <v>67</v>
      </c>
      <c r="L69" s="318">
        <v>16.8</v>
      </c>
      <c r="M69" s="319">
        <f>'[18]Annual conv to Monthly'!B297</f>
        <v>145.92875555793933</v>
      </c>
      <c r="N69" s="317">
        <f>'[14]Data Input'!AJ143+'[16]PSP less Loss factor'!AA152</f>
        <v>3429</v>
      </c>
      <c r="O69" s="318">
        <v>175.8</v>
      </c>
      <c r="P69" s="318">
        <v>322</v>
      </c>
      <c r="Q69" s="316">
        <f t="shared" si="19"/>
        <v>25637417.061334219</v>
      </c>
      <c r="R69" s="50">
        <f t="shared" si="14"/>
        <v>545809.59133422002</v>
      </c>
      <c r="S69" s="291">
        <f t="shared" si="15"/>
        <v>2.1752675351182672E-2</v>
      </c>
      <c r="T69" s="292">
        <f t="shared" si="16"/>
        <v>2.1752675351182672E-2</v>
      </c>
      <c r="U69" s="14"/>
    </row>
    <row r="70" spans="1:21">
      <c r="A70" s="321">
        <v>41487</v>
      </c>
      <c r="B70" s="314">
        <f>'[14]Data Input'!B144+'[16]PSP less Loss factor'!B153</f>
        <v>23554789.350000001</v>
      </c>
      <c r="C70" s="317">
        <f>'CDM Activity'!F113</f>
        <v>512166.63539464748</v>
      </c>
      <c r="D70" s="384">
        <f t="shared" si="13"/>
        <v>1.0758669287315898</v>
      </c>
      <c r="E70" s="314">
        <f t="shared" si="17"/>
        <v>551023.14502083138</v>
      </c>
      <c r="F70" s="314">
        <f t="shared" si="18"/>
        <v>24105812.495020833</v>
      </c>
      <c r="G70" s="322">
        <f>'Weather Analysis'!W15</f>
        <v>37.400000000000006</v>
      </c>
      <c r="H70" s="315">
        <f>'Weather Analysis'!W35</f>
        <v>21.6</v>
      </c>
      <c r="I70" s="317">
        <v>31</v>
      </c>
      <c r="J70" s="317">
        <v>0</v>
      </c>
      <c r="K70" s="317">
        <v>68</v>
      </c>
      <c r="L70" s="318">
        <v>15.8</v>
      </c>
      <c r="M70" s="319">
        <f>'[18]Annual conv to Monthly'!B298</f>
        <v>146.08591084328242</v>
      </c>
      <c r="N70" s="317">
        <f>'[14]Data Input'!AJ144+'[16]PSP less Loss factor'!AA153</f>
        <v>3432</v>
      </c>
      <c r="O70" s="318">
        <v>179.2</v>
      </c>
      <c r="P70" s="318">
        <v>322.3</v>
      </c>
      <c r="Q70" s="316">
        <f t="shared" si="19"/>
        <v>23476361.678548075</v>
      </c>
      <c r="R70" s="50">
        <f t="shared" si="14"/>
        <v>-78427.671451926231</v>
      </c>
      <c r="S70" s="291">
        <f t="shared" si="15"/>
        <v>-3.3295849216298011E-3</v>
      </c>
      <c r="T70" s="292">
        <f t="shared" si="16"/>
        <v>3.3295849216298011E-3</v>
      </c>
      <c r="U70" s="14"/>
    </row>
    <row r="71" spans="1:21">
      <c r="A71" s="321">
        <v>41518</v>
      </c>
      <c r="B71" s="314">
        <f>'[14]Data Input'!B145+'[16]PSP less Loss factor'!B154</f>
        <v>21832080.809999999</v>
      </c>
      <c r="C71" s="317">
        <f>'CDM Activity'!F114</f>
        <v>524783.73006479675</v>
      </c>
      <c r="D71" s="384">
        <f t="shared" si="13"/>
        <v>1.0758669287315898</v>
      </c>
      <c r="E71" s="314">
        <f t="shared" si="17"/>
        <v>564597.45991312061</v>
      </c>
      <c r="F71" s="314">
        <f t="shared" si="18"/>
        <v>22396678.269913118</v>
      </c>
      <c r="G71" s="322">
        <f>'Weather Analysis'!W16</f>
        <v>157.79999999999998</v>
      </c>
      <c r="H71" s="315">
        <f>'Weather Analysis'!W36</f>
        <v>7.1</v>
      </c>
      <c r="I71" s="317">
        <v>30</v>
      </c>
      <c r="J71" s="317">
        <v>1</v>
      </c>
      <c r="K71" s="317">
        <v>69</v>
      </c>
      <c r="L71" s="318">
        <v>13.8</v>
      </c>
      <c r="M71" s="319">
        <f>'[18]Annual conv to Monthly'!B299</f>
        <v>146.2432353741153</v>
      </c>
      <c r="N71" s="317">
        <f>'[14]Data Input'!AJ145+'[16]PSP less Loss factor'!AA154</f>
        <v>3435</v>
      </c>
      <c r="O71" s="318">
        <v>179.7</v>
      </c>
      <c r="P71" s="318">
        <v>322.60000000000002</v>
      </c>
      <c r="Q71" s="316">
        <f t="shared" si="19"/>
        <v>22509779.152716849</v>
      </c>
      <c r="R71" s="50">
        <f t="shared" si="14"/>
        <v>677698.34271685034</v>
      </c>
      <c r="S71" s="291">
        <f t="shared" si="15"/>
        <v>3.1041399517284508E-2</v>
      </c>
      <c r="T71" s="292">
        <f t="shared" si="16"/>
        <v>3.1041399517284508E-2</v>
      </c>
      <c r="U71" s="14"/>
    </row>
    <row r="72" spans="1:21">
      <c r="A72" s="321">
        <v>41548</v>
      </c>
      <c r="B72" s="314">
        <f>'[14]Data Input'!B146+'[16]PSP less Loss factor'!B155</f>
        <v>23598045.059999999</v>
      </c>
      <c r="C72" s="317">
        <f>'CDM Activity'!F115</f>
        <v>537400.82473494601</v>
      </c>
      <c r="D72" s="384">
        <f t="shared" si="13"/>
        <v>1.0758669287315898</v>
      </c>
      <c r="E72" s="314">
        <f t="shared" si="17"/>
        <v>578171.77480540972</v>
      </c>
      <c r="F72" s="314">
        <f t="shared" si="18"/>
        <v>24176216.834805407</v>
      </c>
      <c r="G72" s="322">
        <f>'Weather Analysis'!W17</f>
        <v>301.7</v>
      </c>
      <c r="H72" s="315">
        <f>'Weather Analysis'!W37</f>
        <v>0</v>
      </c>
      <c r="I72" s="317">
        <v>31</v>
      </c>
      <c r="J72" s="317">
        <v>1</v>
      </c>
      <c r="K72" s="317">
        <v>70</v>
      </c>
      <c r="L72" s="318">
        <v>12</v>
      </c>
      <c r="M72" s="319">
        <f>'[18]Annual conv to Monthly'!B300</f>
        <v>146.4007293327038</v>
      </c>
      <c r="N72" s="317">
        <f>'[14]Data Input'!AJ146+'[16]PSP less Loss factor'!AA155</f>
        <v>3432</v>
      </c>
      <c r="O72" s="318">
        <v>176.1</v>
      </c>
      <c r="P72" s="318">
        <v>322.8</v>
      </c>
      <c r="Q72" s="316">
        <f t="shared" si="19"/>
        <v>24876922.379371379</v>
      </c>
      <c r="R72" s="50">
        <f t="shared" si="14"/>
        <v>1278877.3193713799</v>
      </c>
      <c r="S72" s="291">
        <f t="shared" si="15"/>
        <v>5.4194206177661228E-2</v>
      </c>
      <c r="T72" s="292">
        <f t="shared" si="16"/>
        <v>5.4194206177661228E-2</v>
      </c>
      <c r="U72" s="14"/>
    </row>
    <row r="73" spans="1:21">
      <c r="A73" s="321">
        <v>41579</v>
      </c>
      <c r="B73" s="314">
        <f>'[14]Data Input'!B147+'[16]PSP less Loss factor'!B156</f>
        <v>27536874.149999999</v>
      </c>
      <c r="C73" s="317">
        <f>'CDM Activity'!F116</f>
        <v>550017.91940509528</v>
      </c>
      <c r="D73" s="384">
        <f t="shared" si="13"/>
        <v>1.0758669287315898</v>
      </c>
      <c r="E73" s="314">
        <f t="shared" si="17"/>
        <v>591746.08969769895</v>
      </c>
      <c r="F73" s="314">
        <f t="shared" si="18"/>
        <v>28128620.239697699</v>
      </c>
      <c r="G73" s="322">
        <f>'Weather Analysis'!W18</f>
        <v>564.70000000000005</v>
      </c>
      <c r="H73" s="315">
        <f>'Weather Analysis'!W38</f>
        <v>0</v>
      </c>
      <c r="I73" s="317">
        <v>30</v>
      </c>
      <c r="J73" s="317">
        <v>1</v>
      </c>
      <c r="K73" s="317">
        <v>71</v>
      </c>
      <c r="L73" s="318">
        <v>9.6999999999999993</v>
      </c>
      <c r="M73" s="319">
        <f>'[18]Annual conv to Monthly'!B301</f>
        <v>146.55839290151005</v>
      </c>
      <c r="N73" s="317">
        <f>'[14]Data Input'!AJ147+'[16]PSP less Loss factor'!AA156</f>
        <v>3435</v>
      </c>
      <c r="O73" s="318">
        <v>172.5</v>
      </c>
      <c r="P73" s="318">
        <v>322.89999999999998</v>
      </c>
      <c r="Q73" s="316">
        <f t="shared" si="19"/>
        <v>27846219.139578387</v>
      </c>
      <c r="R73" s="50">
        <f t="shared" si="14"/>
        <v>309344.98957838863</v>
      </c>
      <c r="S73" s="291">
        <f t="shared" si="15"/>
        <v>1.1233845493621093E-2</v>
      </c>
      <c r="T73" s="292">
        <f t="shared" si="16"/>
        <v>1.1233845493621093E-2</v>
      </c>
      <c r="U73" s="14"/>
    </row>
    <row r="74" spans="1:21">
      <c r="A74" s="321">
        <v>41609</v>
      </c>
      <c r="B74" s="314">
        <f>'[14]Data Input'!B148+'[16]PSP less Loss factor'!B157</f>
        <v>32397122.02</v>
      </c>
      <c r="C74" s="317">
        <f>'CDM Activity'!F117</f>
        <v>562635.01407524454</v>
      </c>
      <c r="D74" s="384">
        <f t="shared" si="13"/>
        <v>1.0758669287315898</v>
      </c>
      <c r="E74" s="314">
        <f t="shared" si="17"/>
        <v>605320.40458998817</v>
      </c>
      <c r="F74" s="314">
        <f t="shared" si="18"/>
        <v>33002442.424589988</v>
      </c>
      <c r="G74" s="322">
        <f>'Weather Analysis'!W19</f>
        <v>848.00000000000011</v>
      </c>
      <c r="H74" s="315">
        <f>'Weather Analysis'!W39</f>
        <v>0</v>
      </c>
      <c r="I74" s="317">
        <v>31</v>
      </c>
      <c r="J74" s="317">
        <v>0</v>
      </c>
      <c r="K74" s="317">
        <v>72</v>
      </c>
      <c r="L74" s="318">
        <v>9.9</v>
      </c>
      <c r="M74" s="319">
        <f>'[18]Annual conv to Monthly'!B302</f>
        <v>146.71622626319265</v>
      </c>
      <c r="N74" s="317">
        <f>'[14]Data Input'!AJ148+'[16]PSP less Loss factor'!AA157</f>
        <v>3438</v>
      </c>
      <c r="O74" s="318">
        <v>167.8</v>
      </c>
      <c r="P74" s="318">
        <v>323.10000000000002</v>
      </c>
      <c r="Q74" s="316">
        <f t="shared" si="19"/>
        <v>33778132.082100026</v>
      </c>
      <c r="R74" s="50">
        <f t="shared" si="14"/>
        <v>1381010.0621000268</v>
      </c>
      <c r="S74" s="291">
        <f t="shared" si="15"/>
        <v>4.2627553807016431E-2</v>
      </c>
      <c r="T74" s="292">
        <f t="shared" si="16"/>
        <v>4.2627553807016431E-2</v>
      </c>
      <c r="U74" s="14"/>
    </row>
    <row r="75" spans="1:21">
      <c r="A75" s="321">
        <v>41640</v>
      </c>
      <c r="B75" s="314">
        <f>'[14]Data Input'!B149+'[16]PSP less Loss factor'!B158</f>
        <v>35005917</v>
      </c>
      <c r="C75" s="317">
        <f>'CDM Activity'!F118</f>
        <v>570253.88398601313</v>
      </c>
      <c r="D75" s="383">
        <f>'Rate Class Energy Model'!F13</f>
        <v>1.0731384565559634</v>
      </c>
      <c r="E75" s="314">
        <f t="shared" si="17"/>
        <v>611961.3729057936</v>
      </c>
      <c r="F75" s="314">
        <f t="shared" si="18"/>
        <v>35617878.372905791</v>
      </c>
      <c r="G75" s="322">
        <f>'Weather Analysis'!X8</f>
        <v>941.79999999999984</v>
      </c>
      <c r="H75" s="315">
        <f>'Weather Analysis'!X28</f>
        <v>0</v>
      </c>
      <c r="I75" s="317">
        <v>31</v>
      </c>
      <c r="J75" s="317">
        <v>0</v>
      </c>
      <c r="K75" s="317">
        <v>73</v>
      </c>
      <c r="L75" s="318">
        <v>10.5</v>
      </c>
      <c r="M75" s="319">
        <f>'[18]Annual conv to Monthly'!B303</f>
        <v>147.04232175221028</v>
      </c>
      <c r="N75" s="317">
        <f>'[14]Data Input'!AJ149+'[16]PSP less Loss factor'!AA158</f>
        <v>3453</v>
      </c>
      <c r="O75" s="318">
        <v>168.3</v>
      </c>
      <c r="P75" s="318">
        <v>323.3</v>
      </c>
      <c r="Q75" s="316">
        <f t="shared" si="19"/>
        <v>35080560.496560827</v>
      </c>
      <c r="R75" s="50">
        <f t="shared" si="14"/>
        <v>74643.496560826898</v>
      </c>
      <c r="S75" s="291">
        <f t="shared" si="15"/>
        <v>2.1323108479297057E-3</v>
      </c>
      <c r="T75" s="292">
        <f t="shared" si="16"/>
        <v>2.1323108479297057E-3</v>
      </c>
    </row>
    <row r="76" spans="1:21">
      <c r="A76" s="321">
        <v>41671</v>
      </c>
      <c r="B76" s="314">
        <f>'[14]Data Input'!B150+'[16]PSP less Loss factor'!B159</f>
        <v>30863808</v>
      </c>
      <c r="C76" s="317">
        <f>'CDM Activity'!F119</f>
        <v>577872.75389678171</v>
      </c>
      <c r="D76" s="384">
        <f>D75</f>
        <v>1.0731384565559634</v>
      </c>
      <c r="E76" s="314">
        <f t="shared" si="17"/>
        <v>620137.47520253644</v>
      </c>
      <c r="F76" s="314">
        <f t="shared" si="18"/>
        <v>31483945.475202538</v>
      </c>
      <c r="G76" s="322">
        <f>'Weather Analysis'!X9</f>
        <v>857.40000000000009</v>
      </c>
      <c r="H76" s="315">
        <f>'Weather Analysis'!X29</f>
        <v>0</v>
      </c>
      <c r="I76" s="317">
        <v>28</v>
      </c>
      <c r="J76" s="317">
        <v>0</v>
      </c>
      <c r="K76" s="317">
        <v>74</v>
      </c>
      <c r="L76" s="318">
        <v>13</v>
      </c>
      <c r="M76" s="319">
        <f>'[18]Annual conv to Monthly'!B304</f>
        <v>147.36914202996238</v>
      </c>
      <c r="N76" s="317">
        <f>'[14]Data Input'!AJ150+'[16]PSP less Loss factor'!AA159</f>
        <v>3451</v>
      </c>
      <c r="O76" s="318">
        <v>168.8</v>
      </c>
      <c r="P76" s="318">
        <v>323.39999999999998</v>
      </c>
      <c r="Q76" s="316">
        <f t="shared" si="19"/>
        <v>31861148.248503111</v>
      </c>
      <c r="R76" s="50">
        <f t="shared" si="14"/>
        <v>997340.2485031113</v>
      </c>
      <c r="S76" s="291">
        <f t="shared" si="15"/>
        <v>3.2314231882958552E-2</v>
      </c>
      <c r="T76" s="292">
        <f t="shared" si="16"/>
        <v>3.2314231882958552E-2</v>
      </c>
    </row>
    <row r="77" spans="1:21">
      <c r="A77" s="321">
        <v>41699</v>
      </c>
      <c r="B77" s="314">
        <f>'[14]Data Input'!B151+'[16]PSP less Loss factor'!B160</f>
        <v>32142987</v>
      </c>
      <c r="C77" s="317">
        <f>'CDM Activity'!F120</f>
        <v>585491.62380755029</v>
      </c>
      <c r="D77" s="384">
        <f t="shared" ref="D77:D86" si="20">D76</f>
        <v>1.0731384565559634</v>
      </c>
      <c r="E77" s="314">
        <f t="shared" si="17"/>
        <v>628313.57749927929</v>
      </c>
      <c r="F77" s="314">
        <f t="shared" si="18"/>
        <v>32771300.577499278</v>
      </c>
      <c r="G77" s="322">
        <f>'Weather Analysis'!X10</f>
        <v>806.80000000000007</v>
      </c>
      <c r="H77" s="315">
        <f>'Weather Analysis'!X30</f>
        <v>0</v>
      </c>
      <c r="I77" s="317">
        <v>31</v>
      </c>
      <c r="J77" s="317">
        <v>1</v>
      </c>
      <c r="K77" s="317">
        <v>75</v>
      </c>
      <c r="L77" s="318">
        <v>14.9</v>
      </c>
      <c r="M77" s="319">
        <f>'[18]Annual conv to Monthly'!B305</f>
        <v>147.69668870738414</v>
      </c>
      <c r="N77" s="317">
        <f>'[14]Data Input'!AJ151+'[16]PSP less Loss factor'!AA160</f>
        <v>3448</v>
      </c>
      <c r="O77" s="318">
        <v>171.7</v>
      </c>
      <c r="P77" s="318">
        <v>323.5</v>
      </c>
      <c r="Q77" s="316">
        <f t="shared" si="19"/>
        <v>31890318.884106472</v>
      </c>
      <c r="R77" s="50">
        <f t="shared" si="14"/>
        <v>-252668.11589352787</v>
      </c>
      <c r="S77" s="291">
        <f t="shared" si="15"/>
        <v>-7.8607540703522008E-3</v>
      </c>
      <c r="T77" s="292">
        <f t="shared" si="16"/>
        <v>7.8607540703522008E-3</v>
      </c>
    </row>
    <row r="78" spans="1:21">
      <c r="A78" s="321">
        <v>41730</v>
      </c>
      <c r="B78" s="314">
        <f>'[14]Data Input'!B152+'[16]PSP less Loss factor'!B161</f>
        <v>25688722</v>
      </c>
      <c r="C78" s="317">
        <f>'CDM Activity'!F121</f>
        <v>593110.49371831887</v>
      </c>
      <c r="D78" s="384">
        <f t="shared" si="20"/>
        <v>1.0731384565559634</v>
      </c>
      <c r="E78" s="314">
        <f t="shared" si="17"/>
        <v>636489.67979602213</v>
      </c>
      <c r="F78" s="314">
        <f t="shared" si="18"/>
        <v>26325211.679796021</v>
      </c>
      <c r="G78" s="322">
        <f>'Weather Analysis'!X11</f>
        <v>371.6</v>
      </c>
      <c r="H78" s="315">
        <f>'Weather Analysis'!X31</f>
        <v>0</v>
      </c>
      <c r="I78" s="317">
        <v>30</v>
      </c>
      <c r="J78" s="317">
        <v>1</v>
      </c>
      <c r="K78" s="317">
        <v>76</v>
      </c>
      <c r="L78" s="318">
        <v>15.8</v>
      </c>
      <c r="M78" s="319">
        <f>'[18]Annual conv to Monthly'!B306</f>
        <v>148.02496339899133</v>
      </c>
      <c r="N78" s="317">
        <f>'[14]Data Input'!AJ152+'[16]PSP less Loss factor'!AA161</f>
        <v>3454</v>
      </c>
      <c r="O78" s="318">
        <v>174.1</v>
      </c>
      <c r="P78" s="318">
        <v>323.7</v>
      </c>
      <c r="Q78" s="316">
        <f t="shared" si="19"/>
        <v>25164993.906823792</v>
      </c>
      <c r="R78" s="50">
        <f t="shared" si="14"/>
        <v>-523728.09317620844</v>
      </c>
      <c r="S78" s="291">
        <f t="shared" si="15"/>
        <v>-2.0387471715261212E-2</v>
      </c>
      <c r="T78" s="292">
        <f t="shared" si="16"/>
        <v>2.0387471715261212E-2</v>
      </c>
    </row>
    <row r="79" spans="1:21">
      <c r="A79" s="321">
        <v>41760</v>
      </c>
      <c r="B79" s="314">
        <f>'[14]Data Input'!B153+'[16]PSP less Loss factor'!B162</f>
        <v>22896808</v>
      </c>
      <c r="C79" s="317">
        <f>'CDM Activity'!F122</f>
        <v>600729.36362908746</v>
      </c>
      <c r="D79" s="384">
        <f t="shared" si="20"/>
        <v>1.0731384565559634</v>
      </c>
      <c r="E79" s="314">
        <f t="shared" si="17"/>
        <v>644665.78209276497</v>
      </c>
      <c r="F79" s="314">
        <f t="shared" si="18"/>
        <v>23541473.782092765</v>
      </c>
      <c r="G79" s="322">
        <f>'Weather Analysis'!X12</f>
        <v>196.5</v>
      </c>
      <c r="H79" s="315">
        <f>'Weather Analysis'!X32</f>
        <v>0.30000000000000004</v>
      </c>
      <c r="I79" s="317">
        <v>31</v>
      </c>
      <c r="J79" s="317">
        <v>1</v>
      </c>
      <c r="K79" s="317">
        <v>77</v>
      </c>
      <c r="L79" s="318">
        <v>15.1</v>
      </c>
      <c r="M79" s="319">
        <f>'[18]Annual conv to Monthly'!B307</f>
        <v>148.35396772288814</v>
      </c>
      <c r="N79" s="317">
        <f>'[14]Data Input'!AJ153+'[16]PSP less Loss factor'!AA162</f>
        <v>3448</v>
      </c>
      <c r="O79" s="318">
        <v>179.2</v>
      </c>
      <c r="P79" s="318">
        <v>323.8</v>
      </c>
      <c r="Q79" s="316">
        <f t="shared" si="19"/>
        <v>23429446.755469583</v>
      </c>
      <c r="R79" s="50">
        <f t="shared" si="14"/>
        <v>532638.75546958297</v>
      </c>
      <c r="S79" s="291">
        <f t="shared" si="15"/>
        <v>2.3262576839076565E-2</v>
      </c>
      <c r="T79" s="292">
        <f t="shared" si="16"/>
        <v>2.3262576839076565E-2</v>
      </c>
    </row>
    <row r="80" spans="1:21">
      <c r="A80" s="321">
        <v>41791</v>
      </c>
      <c r="B80" s="314">
        <f>'[14]Data Input'!B154+'[16]PSP less Loss factor'!B163</f>
        <v>22467129</v>
      </c>
      <c r="C80" s="317">
        <f>'CDM Activity'!F123</f>
        <v>608348.23353985604</v>
      </c>
      <c r="D80" s="384">
        <f t="shared" si="20"/>
        <v>1.0731384565559634</v>
      </c>
      <c r="E80" s="314">
        <f t="shared" si="17"/>
        <v>652841.88438950793</v>
      </c>
      <c r="F80" s="314">
        <f t="shared" si="18"/>
        <v>23119970.884389509</v>
      </c>
      <c r="G80" s="322">
        <f>'Weather Analysis'!X13</f>
        <v>42.7</v>
      </c>
      <c r="H80" s="315">
        <f>'Weather Analysis'!X33</f>
        <v>20.200000000000003</v>
      </c>
      <c r="I80" s="317">
        <v>30</v>
      </c>
      <c r="J80" s="317">
        <v>0</v>
      </c>
      <c r="K80" s="317">
        <v>78</v>
      </c>
      <c r="L80" s="318">
        <v>12.9</v>
      </c>
      <c r="M80" s="319">
        <f>'[18]Annual conv to Monthly'!B308</f>
        <v>148.68370330077519</v>
      </c>
      <c r="N80" s="317">
        <f>'[14]Data Input'!AJ154+'[16]PSP less Loss factor'!AA163</f>
        <v>3471</v>
      </c>
      <c r="O80" s="318">
        <v>187.9</v>
      </c>
      <c r="P80" s="318">
        <v>324</v>
      </c>
      <c r="Q80" s="316">
        <f t="shared" si="19"/>
        <v>22805647.824932471</v>
      </c>
      <c r="R80" s="50">
        <f t="shared" si="14"/>
        <v>338518.82493247092</v>
      </c>
      <c r="S80" s="291">
        <f t="shared" si="15"/>
        <v>1.5067293419309201E-2</v>
      </c>
      <c r="T80" s="292">
        <f t="shared" si="16"/>
        <v>1.5067293419309201E-2</v>
      </c>
    </row>
    <row r="81" spans="1:21">
      <c r="A81" s="321">
        <v>41821</v>
      </c>
      <c r="B81" s="314">
        <f>'[14]Data Input'!B155+'[16]PSP less Loss factor'!B164</f>
        <v>23174494</v>
      </c>
      <c r="C81" s="317">
        <f>'CDM Activity'!F124</f>
        <v>615967.10345062462</v>
      </c>
      <c r="D81" s="384">
        <f t="shared" si="20"/>
        <v>1.0731384565559634</v>
      </c>
      <c r="E81" s="314">
        <f t="shared" si="17"/>
        <v>661017.98668625078</v>
      </c>
      <c r="F81" s="314">
        <f t="shared" si="18"/>
        <v>23835511.986686252</v>
      </c>
      <c r="G81" s="322">
        <f>'Weather Analysis'!X14</f>
        <v>58.599999999999987</v>
      </c>
      <c r="H81" s="315">
        <f>'Weather Analysis'!X34</f>
        <v>18.3</v>
      </c>
      <c r="I81" s="317">
        <v>31</v>
      </c>
      <c r="J81" s="317">
        <v>0</v>
      </c>
      <c r="K81" s="317">
        <v>79</v>
      </c>
      <c r="L81" s="318">
        <v>12.3</v>
      </c>
      <c r="M81" s="319">
        <f>'[18]Annual conv to Monthly'!B309</f>
        <v>149.0141717579576</v>
      </c>
      <c r="N81" s="317">
        <f>'[14]Data Input'!AJ155+'[16]PSP less Loss factor'!AA164</f>
        <v>3473</v>
      </c>
      <c r="O81" s="318">
        <v>194.1</v>
      </c>
      <c r="P81" s="318">
        <v>324.3</v>
      </c>
      <c r="Q81" s="316">
        <f t="shared" si="19"/>
        <v>23625046.858872149</v>
      </c>
      <c r="R81" s="50">
        <f t="shared" si="14"/>
        <v>450552.85887214914</v>
      </c>
      <c r="S81" s="291">
        <f t="shared" si="15"/>
        <v>1.944175604749554E-2</v>
      </c>
      <c r="T81" s="292">
        <f t="shared" si="16"/>
        <v>1.944175604749554E-2</v>
      </c>
    </row>
    <row r="82" spans="1:21">
      <c r="A82" s="321">
        <v>41852</v>
      </c>
      <c r="B82" s="314">
        <f>'[14]Data Input'!B156+'[16]PSP less Loss factor'!B165</f>
        <v>23391322</v>
      </c>
      <c r="C82" s="317">
        <f>'CDM Activity'!F125</f>
        <v>623585.9733613932</v>
      </c>
      <c r="D82" s="384">
        <f t="shared" si="20"/>
        <v>1.0731384565559634</v>
      </c>
      <c r="E82" s="314">
        <f t="shared" si="17"/>
        <v>669194.08898299362</v>
      </c>
      <c r="F82" s="314">
        <f t="shared" si="18"/>
        <v>24060516.088982992</v>
      </c>
      <c r="G82" s="322">
        <f>'Weather Analysis'!X15</f>
        <v>43.800000000000004</v>
      </c>
      <c r="H82" s="315">
        <f>'Weather Analysis'!X35</f>
        <v>24.400000000000002</v>
      </c>
      <c r="I82" s="317">
        <v>31</v>
      </c>
      <c r="J82" s="317">
        <v>0</v>
      </c>
      <c r="K82" s="317">
        <v>80</v>
      </c>
      <c r="L82" s="318">
        <v>11.7</v>
      </c>
      <c r="M82" s="319">
        <f>'[18]Annual conv to Monthly'!B310</f>
        <v>149.34537472335285</v>
      </c>
      <c r="N82" s="317">
        <f>'[14]Data Input'!AJ156+'[16]PSP less Loss factor'!AA165</f>
        <v>3473</v>
      </c>
      <c r="O82" s="318">
        <v>197.7</v>
      </c>
      <c r="P82" s="318">
        <v>324.5</v>
      </c>
      <c r="Q82" s="316">
        <f t="shared" si="19"/>
        <v>23688834.260558445</v>
      </c>
      <c r="R82" s="50">
        <f t="shared" si="14"/>
        <v>297512.26055844501</v>
      </c>
      <c r="S82" s="291">
        <f t="shared" si="15"/>
        <v>1.2718916038967144E-2</v>
      </c>
      <c r="T82" s="292">
        <f t="shared" si="16"/>
        <v>1.2718916038967144E-2</v>
      </c>
    </row>
    <row r="83" spans="1:21">
      <c r="A83" s="321">
        <v>41883</v>
      </c>
      <c r="B83" s="314">
        <f>'[14]Data Input'!B157+'[16]PSP less Loss factor'!B166</f>
        <v>22126761</v>
      </c>
      <c r="C83" s="317">
        <f>'CDM Activity'!F126</f>
        <v>631204.84327216179</v>
      </c>
      <c r="D83" s="384">
        <f t="shared" si="20"/>
        <v>1.0731384565559634</v>
      </c>
      <c r="E83" s="314">
        <f t="shared" si="17"/>
        <v>677370.19127973646</v>
      </c>
      <c r="F83" s="314">
        <f t="shared" si="18"/>
        <v>22804131.191279735</v>
      </c>
      <c r="G83" s="322">
        <f>'Weather Analysis'!X16</f>
        <v>133.4</v>
      </c>
      <c r="H83" s="315">
        <f>'Weather Analysis'!X36</f>
        <v>3.5</v>
      </c>
      <c r="I83" s="317">
        <v>30</v>
      </c>
      <c r="J83" s="317">
        <v>1</v>
      </c>
      <c r="K83" s="317">
        <v>81</v>
      </c>
      <c r="L83" s="318">
        <v>10.9</v>
      </c>
      <c r="M83" s="319">
        <f>'[18]Annual conv to Monthly'!B311</f>
        <v>149.67731382949896</v>
      </c>
      <c r="N83" s="317">
        <f>'[14]Data Input'!AJ157+'[16]PSP less Loss factor'!AA166</f>
        <v>3473</v>
      </c>
      <c r="O83" s="318">
        <v>195.1</v>
      </c>
      <c r="P83" s="318">
        <v>324.7</v>
      </c>
      <c r="Q83" s="316">
        <f t="shared" si="19"/>
        <v>22012057.175485477</v>
      </c>
      <c r="R83" s="50">
        <f t="shared" si="14"/>
        <v>-114703.82451452315</v>
      </c>
      <c r="S83" s="291">
        <f t="shared" si="15"/>
        <v>-5.1839410438122031E-3</v>
      </c>
      <c r="T83" s="292">
        <f t="shared" si="16"/>
        <v>5.1839410438122031E-3</v>
      </c>
    </row>
    <row r="84" spans="1:21">
      <c r="A84" s="321">
        <v>41913</v>
      </c>
      <c r="B84" s="314">
        <f>'[14]Data Input'!B158+'[16]PSP less Loss factor'!B167</f>
        <v>23838442</v>
      </c>
      <c r="C84" s="317">
        <f>'CDM Activity'!F127</f>
        <v>638823.71318293037</v>
      </c>
      <c r="D84" s="384">
        <f t="shared" si="20"/>
        <v>1.0731384565559634</v>
      </c>
      <c r="E84" s="314">
        <f t="shared" si="17"/>
        <v>685546.29357647931</v>
      </c>
      <c r="F84" s="314">
        <f t="shared" si="18"/>
        <v>24523988.293576479</v>
      </c>
      <c r="G84" s="322">
        <f>'Weather Analysis'!X17</f>
        <v>280.3</v>
      </c>
      <c r="H84" s="315">
        <f>'Weather Analysis'!X37</f>
        <v>0.3</v>
      </c>
      <c r="I84" s="317">
        <v>31</v>
      </c>
      <c r="J84" s="317">
        <v>1</v>
      </c>
      <c r="K84" s="317">
        <v>82</v>
      </c>
      <c r="L84" s="318">
        <v>10.199999999999999</v>
      </c>
      <c r="M84" s="319">
        <f>'[18]Annual conv to Monthly'!B312</f>
        <v>150.00999071256246</v>
      </c>
      <c r="N84" s="317">
        <f>'[14]Data Input'!AJ158+'[16]PSP less Loss factor'!AA167</f>
        <v>3474</v>
      </c>
      <c r="O84" s="318">
        <v>194.1</v>
      </c>
      <c r="P84" s="318">
        <v>324.8</v>
      </c>
      <c r="Q84" s="316">
        <f t="shared" si="19"/>
        <v>24593023.526597679</v>
      </c>
      <c r="R84" s="50">
        <f t="shared" si="14"/>
        <v>754581.52659767866</v>
      </c>
      <c r="S84" s="291">
        <f t="shared" si="15"/>
        <v>3.1653978334560566E-2</v>
      </c>
      <c r="T84" s="292">
        <f t="shared" si="16"/>
        <v>3.1653978334560566E-2</v>
      </c>
    </row>
    <row r="85" spans="1:21">
      <c r="A85" s="321">
        <v>41944</v>
      </c>
      <c r="B85" s="314">
        <f>'[14]Data Input'!B159+'[16]PSP less Loss factor'!B168</f>
        <v>27733031</v>
      </c>
      <c r="C85" s="317">
        <f>'CDM Activity'!F128</f>
        <v>646442.58309369895</v>
      </c>
      <c r="D85" s="384">
        <f t="shared" si="20"/>
        <v>1.0731384565559634</v>
      </c>
      <c r="E85" s="314">
        <f t="shared" si="17"/>
        <v>693722.39587322227</v>
      </c>
      <c r="F85" s="314">
        <f t="shared" si="18"/>
        <v>28426753.395873223</v>
      </c>
      <c r="G85" s="322">
        <f>'Weather Analysis'!X18</f>
        <v>559.80000000000007</v>
      </c>
      <c r="H85" s="315">
        <f>'Weather Analysis'!X38</f>
        <v>0</v>
      </c>
      <c r="I85" s="317">
        <v>30</v>
      </c>
      <c r="J85" s="317">
        <v>1</v>
      </c>
      <c r="K85" s="317">
        <v>83</v>
      </c>
      <c r="L85" s="318">
        <v>9.5</v>
      </c>
      <c r="M85" s="319">
        <f>'[18]Annual conv to Monthly'!B313</f>
        <v>150.34340701234646</v>
      </c>
      <c r="N85" s="317">
        <f>'[14]Data Input'!AJ159+'[16]PSP less Loss factor'!AA168</f>
        <v>3467</v>
      </c>
      <c r="O85" s="318">
        <v>191.1</v>
      </c>
      <c r="P85" s="318">
        <v>325</v>
      </c>
      <c r="Q85" s="316">
        <f t="shared" si="19"/>
        <v>27778181.834345359</v>
      </c>
      <c r="R85" s="50">
        <f t="shared" si="14"/>
        <v>45150.834345359355</v>
      </c>
      <c r="S85" s="291">
        <f t="shared" si="15"/>
        <v>1.6280526403824867E-3</v>
      </c>
      <c r="T85" s="292">
        <f t="shared" si="16"/>
        <v>1.6280526403824867E-3</v>
      </c>
    </row>
    <row r="86" spans="1:21">
      <c r="A86" s="321">
        <v>41974</v>
      </c>
      <c r="B86" s="314">
        <f>'[14]Data Input'!B160+'[16]PSP less Loss factor'!B169</f>
        <v>29820236</v>
      </c>
      <c r="C86" s="317">
        <f>'CDM Activity'!F129</f>
        <v>654061.45300446753</v>
      </c>
      <c r="D86" s="384">
        <f t="shared" si="20"/>
        <v>1.0731384565559634</v>
      </c>
      <c r="E86" s="314">
        <f t="shared" si="17"/>
        <v>701898.49816996511</v>
      </c>
      <c r="F86" s="314">
        <f t="shared" si="18"/>
        <v>30522134.498169966</v>
      </c>
      <c r="G86" s="322">
        <f>'Weather Analysis'!X19</f>
        <v>663.1</v>
      </c>
      <c r="H86" s="315">
        <f>'Weather Analysis'!X39</f>
        <v>0</v>
      </c>
      <c r="I86" s="317">
        <v>31</v>
      </c>
      <c r="J86" s="317">
        <v>0</v>
      </c>
      <c r="K86" s="317">
        <v>84</v>
      </c>
      <c r="L86" s="318">
        <v>11.1</v>
      </c>
      <c r="M86" s="319">
        <f>'[18]Annual conv to Monthly'!B314</f>
        <v>150.67756437229883</v>
      </c>
      <c r="N86" s="317">
        <f>'[14]Data Input'!AJ160+'[16]PSP less Loss factor'!AA169</f>
        <v>3465</v>
      </c>
      <c r="O86" s="318">
        <v>190.5</v>
      </c>
      <c r="P86" s="318">
        <v>325.10000000000002</v>
      </c>
      <c r="Q86" s="316">
        <f t="shared" si="19"/>
        <v>31210765.196878247</v>
      </c>
      <c r="R86" s="50">
        <f t="shared" si="14"/>
        <v>1390529.196878247</v>
      </c>
      <c r="S86" s="291">
        <f t="shared" si="15"/>
        <v>4.6630388735965971E-2</v>
      </c>
      <c r="T86" s="292">
        <f t="shared" si="16"/>
        <v>4.6630388735965971E-2</v>
      </c>
      <c r="U86" s="24"/>
    </row>
    <row r="87" spans="1:21">
      <c r="A87" s="321">
        <v>42005</v>
      </c>
      <c r="B87" s="314">
        <f>'[14]Data Input'!B161+'[16]PSP less Loss factor'!B170</f>
        <v>33934616</v>
      </c>
      <c r="C87" s="317">
        <f>'CDM Activity'!F130</f>
        <v>684868.92951862258</v>
      </c>
      <c r="D87" s="383">
        <f>'Rate Class Energy Model'!F14</f>
        <v>1.0699880223556937</v>
      </c>
      <c r="E87" s="314">
        <f t="shared" si="17"/>
        <v>732801.5514684919</v>
      </c>
      <c r="F87" s="314">
        <f t="shared" si="18"/>
        <v>34667417.551468492</v>
      </c>
      <c r="G87" s="322">
        <f>'Weather Analysis'!Y8</f>
        <v>801.2</v>
      </c>
      <c r="H87" s="315">
        <f>'Weather Analysis'!Y28</f>
        <v>0</v>
      </c>
      <c r="I87" s="317">
        <v>31</v>
      </c>
      <c r="J87" s="317">
        <v>0</v>
      </c>
      <c r="K87" s="317">
        <v>85</v>
      </c>
      <c r="L87" s="318">
        <v>13.4</v>
      </c>
      <c r="M87" s="319">
        <f>'[18]Annual conv to Monthly'!B315</f>
        <v>150.98793548444445</v>
      </c>
      <c r="N87" s="317">
        <f>'[14]Data Input'!AJ161+'[16]PSP less Loss factor'!AA170</f>
        <v>3489</v>
      </c>
      <c r="O87" s="318">
        <v>187.3</v>
      </c>
      <c r="P87" s="318">
        <v>325.2</v>
      </c>
      <c r="Q87" s="316">
        <f t="shared" si="19"/>
        <v>33128306.391302951</v>
      </c>
      <c r="R87" s="50">
        <f t="shared" si="14"/>
        <v>-806309.60869704932</v>
      </c>
      <c r="S87" s="291">
        <f t="shared" si="15"/>
        <v>-2.3760681679646803E-2</v>
      </c>
      <c r="T87" s="292">
        <f t="shared" si="16"/>
        <v>2.3760681679646803E-2</v>
      </c>
    </row>
    <row r="88" spans="1:21">
      <c r="A88" s="321">
        <v>42036</v>
      </c>
      <c r="B88" s="314">
        <f>'[14]Data Input'!B162+'[16]PSP less Loss factor'!B171</f>
        <v>32617573</v>
      </c>
      <c r="C88" s="317">
        <f>'CDM Activity'!F131</f>
        <v>715676.40603277762</v>
      </c>
      <c r="D88" s="384">
        <f>D87</f>
        <v>1.0699880223556937</v>
      </c>
      <c r="E88" s="314">
        <f t="shared" si="17"/>
        <v>765765.18233764218</v>
      </c>
      <c r="F88" s="314">
        <f t="shared" si="18"/>
        <v>33383338.182337642</v>
      </c>
      <c r="G88" s="322">
        <f>'Weather Analysis'!Y9</f>
        <v>987.99999999999977</v>
      </c>
      <c r="H88" s="315">
        <f>'Weather Analysis'!Y29</f>
        <v>0</v>
      </c>
      <c r="I88" s="317">
        <v>28</v>
      </c>
      <c r="J88" s="317">
        <v>0</v>
      </c>
      <c r="K88" s="317">
        <v>86</v>
      </c>
      <c r="L88" s="318">
        <v>15.7</v>
      </c>
      <c r="M88" s="319">
        <f>'[18]Annual conv to Monthly'!B316</f>
        <v>151.298945910264</v>
      </c>
      <c r="N88" s="317">
        <f>'[14]Data Input'!AJ162+'[16]PSP less Loss factor'!AA171</f>
        <v>3489</v>
      </c>
      <c r="O88" s="318">
        <v>187.9</v>
      </c>
      <c r="P88" s="318">
        <v>325.3</v>
      </c>
      <c r="Q88" s="316">
        <f t="shared" si="19"/>
        <v>33674550.710428275</v>
      </c>
      <c r="R88" s="50">
        <f t="shared" si="14"/>
        <v>1056977.7104282752</v>
      </c>
      <c r="S88" s="291">
        <f t="shared" si="15"/>
        <v>3.2405161181927156E-2</v>
      </c>
      <c r="T88" s="292">
        <f t="shared" si="16"/>
        <v>3.2405161181927156E-2</v>
      </c>
    </row>
    <row r="89" spans="1:21">
      <c r="A89" s="321">
        <v>42064</v>
      </c>
      <c r="B89" s="314">
        <f>'[14]Data Input'!B163+'[16]PSP less Loss factor'!B172</f>
        <v>30305598</v>
      </c>
      <c r="C89" s="317">
        <f>'CDM Activity'!F132</f>
        <v>746483.88254693267</v>
      </c>
      <c r="D89" s="384">
        <f t="shared" ref="D89:D98" si="21">D88</f>
        <v>1.0699880223556937</v>
      </c>
      <c r="E89" s="314">
        <f t="shared" si="17"/>
        <v>798728.81320679246</v>
      </c>
      <c r="F89" s="314">
        <f t="shared" si="18"/>
        <v>31104326.813206792</v>
      </c>
      <c r="G89" s="322">
        <f>'Weather Analysis'!Y10</f>
        <v>742.8</v>
      </c>
      <c r="H89" s="315">
        <f>'Weather Analysis'!Y30</f>
        <v>0</v>
      </c>
      <c r="I89" s="317">
        <v>31</v>
      </c>
      <c r="J89" s="317">
        <v>1</v>
      </c>
      <c r="K89" s="317">
        <v>87</v>
      </c>
      <c r="L89" s="318">
        <v>17.7</v>
      </c>
      <c r="M89" s="319">
        <f>'[18]Annual conv to Monthly'!B317</f>
        <v>151.61059696663892</v>
      </c>
      <c r="N89" s="317">
        <f>'[14]Data Input'!AJ163+'[16]PSP less Loss factor'!AA172</f>
        <v>3488</v>
      </c>
      <c r="O89" s="318">
        <v>187</v>
      </c>
      <c r="P89" s="318">
        <v>325.39999999999998</v>
      </c>
      <c r="Q89" s="316">
        <f t="shared" si="19"/>
        <v>31001668.366777137</v>
      </c>
      <c r="R89" s="50">
        <f t="shared" si="14"/>
        <v>696070.36677713692</v>
      </c>
      <c r="S89" s="291">
        <f t="shared" si="15"/>
        <v>2.2968375901281899E-2</v>
      </c>
      <c r="T89" s="292">
        <f t="shared" si="16"/>
        <v>2.2968375901281899E-2</v>
      </c>
    </row>
    <row r="90" spans="1:21">
      <c r="A90" s="321">
        <v>42095</v>
      </c>
      <c r="B90" s="314">
        <f>'[14]Data Input'!B164+'[16]PSP less Loss factor'!B173</f>
        <v>24419034</v>
      </c>
      <c r="C90" s="317">
        <f>'CDM Activity'!F133</f>
        <v>777291.35906108771</v>
      </c>
      <c r="D90" s="384">
        <f t="shared" si="21"/>
        <v>1.0699880223556937</v>
      </c>
      <c r="E90" s="314">
        <f t="shared" si="17"/>
        <v>831692.44407594262</v>
      </c>
      <c r="F90" s="314">
        <f t="shared" si="18"/>
        <v>25250726.444075942</v>
      </c>
      <c r="G90" s="322">
        <f>'Weather Analysis'!Y11</f>
        <v>404.5</v>
      </c>
      <c r="H90" s="315">
        <f>'Weather Analysis'!Y31</f>
        <v>0</v>
      </c>
      <c r="I90" s="317">
        <v>30</v>
      </c>
      <c r="J90" s="317">
        <v>1</v>
      </c>
      <c r="K90" s="317">
        <v>88</v>
      </c>
      <c r="L90" s="318">
        <v>19.600000000000001</v>
      </c>
      <c r="M90" s="319">
        <f>'[18]Annual conv to Monthly'!B318</f>
        <v>151.92288997316331</v>
      </c>
      <c r="N90" s="317">
        <f>'[14]Data Input'!AJ164+'[16]PSP less Loss factor'!AA173</f>
        <v>3485</v>
      </c>
      <c r="O90" s="318">
        <v>182.1</v>
      </c>
      <c r="P90" s="318">
        <v>325.5</v>
      </c>
      <c r="Q90" s="316">
        <f t="shared" si="19"/>
        <v>25621815.8133884</v>
      </c>
      <c r="R90" s="50">
        <f t="shared" si="14"/>
        <v>1202781.8133883998</v>
      </c>
      <c r="S90" s="291">
        <f t="shared" si="15"/>
        <v>4.9255912964796221E-2</v>
      </c>
      <c r="T90" s="292">
        <f t="shared" si="16"/>
        <v>4.9255912964796221E-2</v>
      </c>
      <c r="U90" s="50"/>
    </row>
    <row r="91" spans="1:21">
      <c r="A91" s="321">
        <v>42125</v>
      </c>
      <c r="B91" s="314">
        <f>'[14]Data Input'!B165+'[16]PSP less Loss factor'!B174</f>
        <v>22122315</v>
      </c>
      <c r="C91" s="317">
        <f>'CDM Activity'!F134</f>
        <v>808098.83557524276</v>
      </c>
      <c r="D91" s="384">
        <f t="shared" si="21"/>
        <v>1.0699880223556937</v>
      </c>
      <c r="E91" s="314">
        <f t="shared" si="17"/>
        <v>864656.0749450929</v>
      </c>
      <c r="F91" s="314">
        <f t="shared" si="18"/>
        <v>22986971.074945092</v>
      </c>
      <c r="G91" s="322">
        <f>'Weather Analysis'!Y12</f>
        <v>157.99999999999997</v>
      </c>
      <c r="H91" s="315">
        <f>'Weather Analysis'!Y32</f>
        <v>17.199999999999996</v>
      </c>
      <c r="I91" s="317">
        <v>31</v>
      </c>
      <c r="J91" s="317">
        <v>1</v>
      </c>
      <c r="K91" s="317">
        <v>89</v>
      </c>
      <c r="L91" s="318">
        <v>20.100000000000001</v>
      </c>
      <c r="M91" s="319">
        <f>'[18]Annual conv to Monthly'!B319</f>
        <v>152.23582625214937</v>
      </c>
      <c r="N91" s="317">
        <f>'[14]Data Input'!AJ165+'[16]PSP less Loss factor'!AA174</f>
        <v>3486</v>
      </c>
      <c r="O91" s="318">
        <v>174.7</v>
      </c>
      <c r="P91" s="318">
        <v>325.60000000000002</v>
      </c>
      <c r="Q91" s="316">
        <f t="shared" si="19"/>
        <v>23640927.664956052</v>
      </c>
      <c r="R91" s="50">
        <f t="shared" si="14"/>
        <v>1518612.6649560519</v>
      </c>
      <c r="S91" s="291">
        <f t="shared" si="15"/>
        <v>6.8646191185508923E-2</v>
      </c>
      <c r="T91" s="292">
        <f t="shared" si="16"/>
        <v>6.8646191185508923E-2</v>
      </c>
    </row>
    <row r="92" spans="1:21">
      <c r="A92" s="321">
        <v>42156</v>
      </c>
      <c r="B92" s="314">
        <f>'[14]Data Input'!B166+'[16]PSP less Loss factor'!B175</f>
        <v>21687054</v>
      </c>
      <c r="C92" s="317">
        <f>'CDM Activity'!F135</f>
        <v>838906.3120893978</v>
      </c>
      <c r="D92" s="384">
        <f t="shared" si="21"/>
        <v>1.0699880223556937</v>
      </c>
      <c r="E92" s="314">
        <f t="shared" si="17"/>
        <v>897619.70581424306</v>
      </c>
      <c r="F92" s="314">
        <f t="shared" si="18"/>
        <v>22584673.705814242</v>
      </c>
      <c r="G92" s="322">
        <f>'Weather Analysis'!Y13</f>
        <v>72.999999999999986</v>
      </c>
      <c r="H92" s="315">
        <f>'Weather Analysis'!Y33</f>
        <v>4</v>
      </c>
      <c r="I92" s="317">
        <v>30</v>
      </c>
      <c r="J92" s="317">
        <v>0</v>
      </c>
      <c r="K92" s="317">
        <v>90</v>
      </c>
      <c r="L92" s="318">
        <v>16.899999999999999</v>
      </c>
      <c r="M92" s="319">
        <f>'[18]Annual conv to Monthly'!B320</f>
        <v>152.54940712863302</v>
      </c>
      <c r="N92" s="317">
        <f>'[14]Data Input'!AJ166+'[16]PSP less Loss factor'!AA175</f>
        <v>3479</v>
      </c>
      <c r="O92" s="318">
        <v>168.7</v>
      </c>
      <c r="P92" s="318">
        <v>325.8</v>
      </c>
      <c r="Q92" s="316">
        <f t="shared" si="19"/>
        <v>22511210.45048254</v>
      </c>
      <c r="R92" s="50">
        <f t="shared" si="14"/>
        <v>824156.45048253983</v>
      </c>
      <c r="S92" s="291">
        <f t="shared" si="15"/>
        <v>3.8002231676212909E-2</v>
      </c>
      <c r="T92" s="292">
        <f t="shared" si="16"/>
        <v>3.8002231676212909E-2</v>
      </c>
    </row>
    <row r="93" spans="1:21">
      <c r="A93" s="321">
        <v>42186</v>
      </c>
      <c r="B93" s="314">
        <f>'[14]Data Input'!B167+'[16]PSP less Loss factor'!B176</f>
        <v>23793533</v>
      </c>
      <c r="C93" s="317">
        <f>'CDM Activity'!F136</f>
        <v>869713.78860355285</v>
      </c>
      <c r="D93" s="384">
        <f t="shared" si="21"/>
        <v>1.0699880223556937</v>
      </c>
      <c r="E93" s="314">
        <f t="shared" si="17"/>
        <v>930583.33668339334</v>
      </c>
      <c r="F93" s="314">
        <f t="shared" si="18"/>
        <v>24724116.336683393</v>
      </c>
      <c r="G93" s="322">
        <f>'Weather Analysis'!Y14</f>
        <v>25.999999999999993</v>
      </c>
      <c r="H93" s="315">
        <f>'Weather Analysis'!Y34</f>
        <v>48</v>
      </c>
      <c r="I93" s="317">
        <v>31</v>
      </c>
      <c r="J93" s="317">
        <v>0</v>
      </c>
      <c r="K93" s="317">
        <v>91</v>
      </c>
      <c r="L93" s="318">
        <v>12.9</v>
      </c>
      <c r="M93" s="319">
        <f>'[18]Annual conv to Monthly'!B321</f>
        <v>152.86363393037959</v>
      </c>
      <c r="N93" s="317">
        <f>'[14]Data Input'!AJ167+'[16]PSP less Loss factor'!AA176</f>
        <v>3500</v>
      </c>
      <c r="O93" s="318">
        <v>166</v>
      </c>
      <c r="P93" s="318">
        <v>326</v>
      </c>
      <c r="Q93" s="316">
        <f t="shared" si="19"/>
        <v>24483513.233478919</v>
      </c>
      <c r="R93" s="50">
        <f t="shared" si="14"/>
        <v>689980.23347891867</v>
      </c>
      <c r="S93" s="291">
        <f t="shared" si="15"/>
        <v>2.8998645702549456E-2</v>
      </c>
      <c r="T93" s="292">
        <f t="shared" si="16"/>
        <v>2.8998645702549456E-2</v>
      </c>
    </row>
    <row r="94" spans="1:21">
      <c r="A94" s="321">
        <v>42217</v>
      </c>
      <c r="B94" s="314">
        <f>'[14]Data Input'!B168+'[16]PSP less Loss factor'!B177</f>
        <v>23664046</v>
      </c>
      <c r="C94" s="317">
        <f>'CDM Activity'!F137</f>
        <v>900521.2651177079</v>
      </c>
      <c r="D94" s="384">
        <f t="shared" si="21"/>
        <v>1.0699880223556937</v>
      </c>
      <c r="E94" s="314">
        <f t="shared" si="17"/>
        <v>963546.96755254362</v>
      </c>
      <c r="F94" s="314">
        <f t="shared" si="18"/>
        <v>24627592.967552543</v>
      </c>
      <c r="G94" s="322">
        <f>'Weather Analysis'!Y15</f>
        <v>27.3</v>
      </c>
      <c r="H94" s="315">
        <f>'Weather Analysis'!Y35</f>
        <v>33.299999999999997</v>
      </c>
      <c r="I94" s="317">
        <v>31</v>
      </c>
      <c r="J94" s="317">
        <v>0</v>
      </c>
      <c r="K94" s="317">
        <v>92</v>
      </c>
      <c r="L94" s="318">
        <v>11.5</v>
      </c>
      <c r="M94" s="319">
        <f>'[18]Annual conv to Monthly'!B322</f>
        <v>153.17850798788936</v>
      </c>
      <c r="N94" s="317">
        <f>'[14]Data Input'!AJ168+'[16]PSP less Loss factor'!AA177</f>
        <v>3486</v>
      </c>
      <c r="O94" s="318">
        <v>163.1</v>
      </c>
      <c r="P94" s="318">
        <v>326.2</v>
      </c>
      <c r="Q94" s="316">
        <f t="shared" si="19"/>
        <v>23852624.413155619</v>
      </c>
      <c r="R94" s="50">
        <f t="shared" si="14"/>
        <v>188578.41315561906</v>
      </c>
      <c r="S94" s="291">
        <f t="shared" si="15"/>
        <v>7.9689843890439968E-3</v>
      </c>
      <c r="T94" s="292">
        <f t="shared" si="16"/>
        <v>7.9689843890439968E-3</v>
      </c>
    </row>
    <row r="95" spans="1:21">
      <c r="A95" s="321">
        <v>42248</v>
      </c>
      <c r="B95" s="314">
        <f>'[14]Data Input'!B169+'[16]PSP less Loss factor'!B178</f>
        <v>21503656</v>
      </c>
      <c r="C95" s="317">
        <f>'CDM Activity'!F138</f>
        <v>931328.74163186294</v>
      </c>
      <c r="D95" s="384">
        <f t="shared" si="21"/>
        <v>1.0699880223556937</v>
      </c>
      <c r="E95" s="314">
        <f t="shared" si="17"/>
        <v>996510.59842169378</v>
      </c>
      <c r="F95" s="314">
        <f t="shared" si="18"/>
        <v>22500166.598421693</v>
      </c>
      <c r="G95" s="322">
        <f>'Weather Analysis'!Y16</f>
        <v>61.5</v>
      </c>
      <c r="H95" s="315">
        <f>'Weather Analysis'!Y36</f>
        <v>41.000000000000007</v>
      </c>
      <c r="I95" s="317">
        <v>30</v>
      </c>
      <c r="J95" s="317">
        <v>1</v>
      </c>
      <c r="K95" s="317">
        <v>93</v>
      </c>
      <c r="L95" s="318">
        <v>11.3</v>
      </c>
      <c r="M95" s="319">
        <f>'[18]Annual conv to Monthly'!B323</f>
        <v>153.4940306344032</v>
      </c>
      <c r="N95" s="317">
        <f>'[14]Data Input'!AJ169+'[16]PSP less Loss factor'!AA178</f>
        <v>3487</v>
      </c>
      <c r="O95" s="318">
        <v>159.80000000000001</v>
      </c>
      <c r="P95" s="318">
        <v>326.39999999999998</v>
      </c>
      <c r="Q95" s="316">
        <f t="shared" si="19"/>
        <v>22669171.854710422</v>
      </c>
      <c r="R95" s="50">
        <f t="shared" si="14"/>
        <v>1165515.8547104225</v>
      </c>
      <c r="S95" s="291">
        <f t="shared" si="15"/>
        <v>5.4200823093078797E-2</v>
      </c>
      <c r="T95" s="292">
        <f t="shared" si="16"/>
        <v>5.4200823093078797E-2</v>
      </c>
    </row>
    <row r="96" spans="1:21">
      <c r="A96" s="321">
        <v>42278</v>
      </c>
      <c r="B96" s="314">
        <f>'[14]Data Input'!B170+'[16]PSP less Loss factor'!B179</f>
        <v>24025252</v>
      </c>
      <c r="C96" s="317">
        <f>'CDM Activity'!F139</f>
        <v>962136.21814601799</v>
      </c>
      <c r="D96" s="384">
        <f t="shared" si="21"/>
        <v>1.0699880223556937</v>
      </c>
      <c r="E96" s="314">
        <f t="shared" si="17"/>
        <v>1029474.2292908441</v>
      </c>
      <c r="F96" s="314">
        <f t="shared" si="18"/>
        <v>25054726.229290843</v>
      </c>
      <c r="G96" s="322">
        <f>'Weather Analysis'!Y17</f>
        <v>346.80000000000007</v>
      </c>
      <c r="H96" s="315">
        <f>'Weather Analysis'!Y37</f>
        <v>0</v>
      </c>
      <c r="I96" s="317">
        <v>31</v>
      </c>
      <c r="J96" s="317">
        <v>1</v>
      </c>
      <c r="K96" s="317">
        <v>94</v>
      </c>
      <c r="L96" s="318">
        <v>12</v>
      </c>
      <c r="M96" s="319">
        <f>'[18]Annual conv to Monthly'!B324</f>
        <v>153.81020320590829</v>
      </c>
      <c r="N96" s="317">
        <f>'[14]Data Input'!AJ170+'[16]PSP less Loss factor'!AA179</f>
        <v>3486</v>
      </c>
      <c r="O96" s="318">
        <v>157.80000000000001</v>
      </c>
      <c r="P96" s="318">
        <v>326.60000000000002</v>
      </c>
      <c r="Q96" s="316">
        <f t="shared" si="19"/>
        <v>25503143.290801894</v>
      </c>
      <c r="R96" s="50">
        <f t="shared" si="14"/>
        <v>1477891.2908018939</v>
      </c>
      <c r="S96" s="291">
        <f t="shared" si="15"/>
        <v>6.1514080718149969E-2</v>
      </c>
      <c r="T96" s="292">
        <f t="shared" si="16"/>
        <v>6.1514080718149969E-2</v>
      </c>
    </row>
    <row r="97" spans="1:20">
      <c r="A97" s="321">
        <v>42309</v>
      </c>
      <c r="B97" s="314">
        <f>'[14]Data Input'!B171+'[16]PSP less Loss factor'!B180</f>
        <v>24608541</v>
      </c>
      <c r="C97" s="317">
        <f>'CDM Activity'!F140</f>
        <v>992943.69466017303</v>
      </c>
      <c r="D97" s="384">
        <f t="shared" si="21"/>
        <v>1.0699880223556937</v>
      </c>
      <c r="E97" s="314">
        <f t="shared" si="17"/>
        <v>1062437.8601599943</v>
      </c>
      <c r="F97" s="314">
        <f t="shared" si="18"/>
        <v>25670978.860159993</v>
      </c>
      <c r="G97" s="322">
        <f>'Weather Analysis'!Y18</f>
        <v>426.4</v>
      </c>
      <c r="H97" s="315">
        <f>'Weather Analysis'!Y38</f>
        <v>0</v>
      </c>
      <c r="I97" s="317">
        <v>30</v>
      </c>
      <c r="J97" s="317">
        <v>1</v>
      </c>
      <c r="K97" s="317">
        <v>95</v>
      </c>
      <c r="L97" s="318">
        <v>11</v>
      </c>
      <c r="M97" s="319">
        <f>'[18]Annual conv to Monthly'!B325</f>
        <v>154.12702704114372</v>
      </c>
      <c r="N97" s="317">
        <f>'[14]Data Input'!AJ171+'[16]PSP less Loss factor'!AA180</f>
        <v>3488</v>
      </c>
      <c r="O97" s="318">
        <v>156.9</v>
      </c>
      <c r="P97" s="318">
        <v>326.8</v>
      </c>
      <c r="Q97" s="316">
        <f t="shared" si="19"/>
        <v>25925900.91228703</v>
      </c>
      <c r="R97" s="50">
        <f t="shared" si="14"/>
        <v>1317359.9122870304</v>
      </c>
      <c r="S97" s="291">
        <f t="shared" si="15"/>
        <v>5.3532629678737571E-2</v>
      </c>
      <c r="T97" s="292">
        <f t="shared" si="16"/>
        <v>5.3532629678737571E-2</v>
      </c>
    </row>
    <row r="98" spans="1:20">
      <c r="A98" s="321">
        <v>42339</v>
      </c>
      <c r="B98" s="314">
        <f>'[14]Data Input'!B172+'[16]PSP less Loss factor'!B181</f>
        <v>26280236</v>
      </c>
      <c r="C98" s="317">
        <f>'CDM Activity'!F141</f>
        <v>1023751.1711743281</v>
      </c>
      <c r="D98" s="384">
        <f t="shared" si="21"/>
        <v>1.0699880223556937</v>
      </c>
      <c r="E98" s="314">
        <f t="shared" si="17"/>
        <v>1095401.4910291445</v>
      </c>
      <c r="F98" s="314">
        <f t="shared" si="18"/>
        <v>27375637.491029143</v>
      </c>
      <c r="G98" s="322">
        <f>'Weather Analysis'!Y19</f>
        <v>513.80000000000007</v>
      </c>
      <c r="H98" s="315">
        <f>'Weather Analysis'!Y39</f>
        <v>0</v>
      </c>
      <c r="I98" s="317">
        <v>31</v>
      </c>
      <c r="J98" s="317">
        <v>0</v>
      </c>
      <c r="K98" s="317">
        <v>96</v>
      </c>
      <c r="L98" s="318">
        <v>10.5</v>
      </c>
      <c r="M98" s="319">
        <f>'[18]Annual conv to Monthly'!B326</f>
        <v>154.44450348160629</v>
      </c>
      <c r="N98" s="317">
        <f>'[14]Data Input'!AJ172+'[16]PSP less Loss factor'!AA181</f>
        <v>3488</v>
      </c>
      <c r="O98" s="318">
        <v>155.69999999999999</v>
      </c>
      <c r="P98" s="318">
        <v>326.89999999999998</v>
      </c>
      <c r="Q98" s="316">
        <f t="shared" si="19"/>
        <v>29137710.161920913</v>
      </c>
      <c r="R98" s="50">
        <f t="shared" si="14"/>
        <v>2857474.1619209126</v>
      </c>
      <c r="S98" s="291">
        <f t="shared" si="15"/>
        <v>0.10873091710138801</v>
      </c>
      <c r="T98" s="292">
        <f t="shared" si="16"/>
        <v>0.10873091710138801</v>
      </c>
    </row>
    <row r="99" spans="1:20">
      <c r="A99" s="321">
        <v>42370</v>
      </c>
      <c r="B99" s="314">
        <f>'[14]Data Input'!B173+'[16]PSP less Loss factor'!B182</f>
        <v>30495180</v>
      </c>
      <c r="C99" s="317">
        <f>'CDM Activity'!F142</f>
        <v>1039849.3704800347</v>
      </c>
      <c r="D99" s="383">
        <f>'Rate Class Energy Model'!F15</f>
        <v>1.0774567014787861</v>
      </c>
      <c r="E99" s="314">
        <f t="shared" si="17"/>
        <v>1120392.6727522104</v>
      </c>
      <c r="F99" s="314">
        <f t="shared" si="18"/>
        <v>31615572.672752209</v>
      </c>
      <c r="G99" s="322">
        <f>'Weather Analysis'!Z8</f>
        <v>730.95238095238085</v>
      </c>
      <c r="H99" s="315">
        <f>'Weather Analysis'!Z28</f>
        <v>0</v>
      </c>
      <c r="I99" s="317">
        <v>31</v>
      </c>
      <c r="J99" s="317">
        <v>0</v>
      </c>
      <c r="K99" s="317">
        <v>97</v>
      </c>
      <c r="L99" s="318">
        <v>8.5</v>
      </c>
      <c r="M99" s="319">
        <f>'[18]Annual conv to Monthly'!B327</f>
        <v>154.72483615659849</v>
      </c>
      <c r="N99" s="317">
        <f>'[14]Data Input'!AJ173+'[16]PSP less Loss factor'!AA182</f>
        <v>3490</v>
      </c>
      <c r="O99" s="318">
        <v>156.69999999999999</v>
      </c>
      <c r="P99" s="318">
        <v>327.10000000000002</v>
      </c>
      <c r="Q99" s="316">
        <f t="shared" si="19"/>
        <v>32152906.65680575</v>
      </c>
      <c r="R99" s="50">
        <f t="shared" ref="R99:R122" si="22">Q99-B99</f>
        <v>1657726.65680575</v>
      </c>
      <c r="S99" s="291">
        <f t="shared" ref="S99:S122" si="23">R99/B99</f>
        <v>5.4360284372997635E-2</v>
      </c>
      <c r="T99" s="292">
        <f t="shared" si="16"/>
        <v>5.4360284372997635E-2</v>
      </c>
    </row>
    <row r="100" spans="1:20">
      <c r="A100" s="321">
        <v>42401</v>
      </c>
      <c r="B100" s="314">
        <f>'[14]Data Input'!B174+'[16]PSP less Loss factor'!B183</f>
        <v>29063252</v>
      </c>
      <c r="C100" s="317">
        <f>'CDM Activity'!F143</f>
        <v>1055947.5697857414</v>
      </c>
      <c r="D100" s="384">
        <f>D99</f>
        <v>1.0774567014787861</v>
      </c>
      <c r="E100" s="314">
        <f t="shared" si="17"/>
        <v>1137737.7854758853</v>
      </c>
      <c r="F100" s="314">
        <f t="shared" si="18"/>
        <v>30200989.785475884</v>
      </c>
      <c r="G100" s="322">
        <f>'Weather Analysis'!Z9</f>
        <v>731.14285714285688</v>
      </c>
      <c r="H100" s="315">
        <f>'Weather Analysis'!Z29</f>
        <v>0</v>
      </c>
      <c r="I100" s="317">
        <v>29</v>
      </c>
      <c r="J100" s="317">
        <v>0</v>
      </c>
      <c r="K100" s="317">
        <v>98</v>
      </c>
      <c r="L100" s="318">
        <v>8.1999999999999993</v>
      </c>
      <c r="M100" s="319">
        <f>'[18]Annual conv to Monthly'!B328</f>
        <v>155.00567766425806</v>
      </c>
      <c r="N100" s="317">
        <f>'[14]Data Input'!AJ174+'[16]PSP less Loss factor'!AA183</f>
        <v>3490</v>
      </c>
      <c r="O100" s="318">
        <v>158.4</v>
      </c>
      <c r="P100" s="318">
        <v>327.2</v>
      </c>
      <c r="Q100" s="316">
        <f t="shared" si="19"/>
        <v>30790548.53112565</v>
      </c>
      <c r="R100" s="50">
        <f t="shared" si="22"/>
        <v>1727296.5311256498</v>
      </c>
      <c r="S100" s="291">
        <f t="shared" si="23"/>
        <v>5.9432321308215949E-2</v>
      </c>
      <c r="T100" s="292">
        <f t="shared" si="16"/>
        <v>5.9432321308215949E-2</v>
      </c>
    </row>
    <row r="101" spans="1:20">
      <c r="A101" s="321">
        <v>42430</v>
      </c>
      <c r="B101" s="314">
        <f>'[14]Data Input'!B175+'[16]PSP less Loss factor'!B184</f>
        <v>27667287</v>
      </c>
      <c r="C101" s="317">
        <f>'CDM Activity'!F144</f>
        <v>1072045.769091448</v>
      </c>
      <c r="D101" s="384">
        <f t="shared" ref="D101:D110" si="24">D100</f>
        <v>1.0774567014787861</v>
      </c>
      <c r="E101" s="314">
        <f t="shared" si="17"/>
        <v>1155082.8981995601</v>
      </c>
      <c r="F101" s="314">
        <f t="shared" si="18"/>
        <v>28822369.898199558</v>
      </c>
      <c r="G101" s="322">
        <f>'Weather Analysis'!Z10</f>
        <v>576.47619047619025</v>
      </c>
      <c r="H101" s="315">
        <f>'Weather Analysis'!Z30</f>
        <v>0</v>
      </c>
      <c r="I101" s="317">
        <v>31</v>
      </c>
      <c r="J101" s="317">
        <v>1</v>
      </c>
      <c r="K101" s="317">
        <v>99</v>
      </c>
      <c r="L101" s="318">
        <v>9.6999999999999993</v>
      </c>
      <c r="M101" s="319">
        <f>'[18]Annual conv to Monthly'!B329</f>
        <v>155.2870289281687</v>
      </c>
      <c r="N101" s="317">
        <f>'[14]Data Input'!AJ175+'[16]PSP less Loss factor'!AA184</f>
        <v>3491</v>
      </c>
      <c r="O101" s="318">
        <v>163.4</v>
      </c>
      <c r="P101" s="318">
        <v>327.39999999999998</v>
      </c>
      <c r="Q101" s="316">
        <f t="shared" si="19"/>
        <v>28692234.939003404</v>
      </c>
      <c r="R101" s="50">
        <f t="shared" si="22"/>
        <v>1024947.9390034042</v>
      </c>
      <c r="S101" s="291">
        <f t="shared" si="23"/>
        <v>3.7045480426158309E-2</v>
      </c>
      <c r="T101" s="292">
        <f t="shared" si="16"/>
        <v>3.7045480426158309E-2</v>
      </c>
    </row>
    <row r="102" spans="1:20">
      <c r="A102" s="321">
        <v>42461</v>
      </c>
      <c r="B102" s="314">
        <f>'[14]Data Input'!B176+'[16]PSP less Loss factor'!B185</f>
        <v>24587318</v>
      </c>
      <c r="C102" s="317">
        <f>'CDM Activity'!F145</f>
        <v>1088143.9683971547</v>
      </c>
      <c r="D102" s="384">
        <f t="shared" si="24"/>
        <v>1.0774567014787861</v>
      </c>
      <c r="E102" s="314">
        <f t="shared" si="17"/>
        <v>1172428.0109232347</v>
      </c>
      <c r="F102" s="314">
        <f t="shared" si="18"/>
        <v>25759746.010923237</v>
      </c>
      <c r="G102" s="322">
        <f>'Weather Analysis'!Z11</f>
        <v>454.28571428571411</v>
      </c>
      <c r="H102" s="315">
        <f>'Weather Analysis'!Z31</f>
        <v>0</v>
      </c>
      <c r="I102" s="317">
        <v>30</v>
      </c>
      <c r="J102" s="317">
        <v>1</v>
      </c>
      <c r="K102" s="317">
        <v>100</v>
      </c>
      <c r="L102" s="318">
        <v>9.9</v>
      </c>
      <c r="M102" s="319">
        <f>'[18]Annual conv to Monthly'!B330</f>
        <v>155.56889087359048</v>
      </c>
      <c r="N102" s="317">
        <f>'[14]Data Input'!AJ176+'[16]PSP less Loss factor'!AA185</f>
        <v>3494</v>
      </c>
      <c r="O102" s="318">
        <v>162.69999999999999</v>
      </c>
      <c r="P102" s="318">
        <v>327.5</v>
      </c>
      <c r="Q102" s="316">
        <f t="shared" si="19"/>
        <v>26313098.63769481</v>
      </c>
      <c r="R102" s="50">
        <f t="shared" si="22"/>
        <v>1725780.6376948096</v>
      </c>
      <c r="S102" s="291">
        <f t="shared" si="23"/>
        <v>7.0189869334053009E-2</v>
      </c>
      <c r="T102" s="292">
        <f t="shared" si="16"/>
        <v>7.0189869334053009E-2</v>
      </c>
    </row>
    <row r="103" spans="1:20">
      <c r="A103" s="321">
        <v>42491</v>
      </c>
      <c r="B103" s="314">
        <f>'[14]Data Input'!B177+'[16]PSP less Loss factor'!B186</f>
        <v>21916797</v>
      </c>
      <c r="C103" s="317">
        <f>'CDM Activity'!F146</f>
        <v>1104242.1677028614</v>
      </c>
      <c r="D103" s="384">
        <f t="shared" si="24"/>
        <v>1.0774567014787861</v>
      </c>
      <c r="E103" s="314">
        <f t="shared" si="17"/>
        <v>1189773.1236469096</v>
      </c>
      <c r="F103" s="314">
        <f t="shared" si="18"/>
        <v>23106570.123646911</v>
      </c>
      <c r="G103" s="322">
        <f>'Weather Analysis'!Z12</f>
        <v>216.28571428571428</v>
      </c>
      <c r="H103" s="315">
        <f>'Weather Analysis'!Z32</f>
        <v>12.7</v>
      </c>
      <c r="I103" s="317">
        <v>31</v>
      </c>
      <c r="J103" s="317">
        <v>1</v>
      </c>
      <c r="K103" s="317">
        <v>101</v>
      </c>
      <c r="L103" s="318">
        <v>10.5</v>
      </c>
      <c r="M103" s="319">
        <f>'[18]Annual conv to Monthly'!B331</f>
        <v>155.85126442746289</v>
      </c>
      <c r="N103" s="317">
        <f>'[14]Data Input'!AJ177+'[16]PSP less Loss factor'!AA186</f>
        <v>3494</v>
      </c>
      <c r="O103" s="318">
        <v>165.7</v>
      </c>
      <c r="P103" s="318">
        <v>327.7</v>
      </c>
      <c r="Q103" s="316">
        <f t="shared" si="19"/>
        <v>24251579.426720813</v>
      </c>
      <c r="R103" s="50">
        <f t="shared" si="22"/>
        <v>2334782.4267208129</v>
      </c>
      <c r="S103" s="291">
        <f t="shared" si="23"/>
        <v>0.10652936315104862</v>
      </c>
      <c r="T103" s="292">
        <f t="shared" si="16"/>
        <v>0.10652936315104862</v>
      </c>
    </row>
    <row r="104" spans="1:20">
      <c r="A104" s="321">
        <v>42522</v>
      </c>
      <c r="B104" s="314">
        <f>'[14]Data Input'!B178+'[16]PSP less Loss factor'!B187</f>
        <v>22063036</v>
      </c>
      <c r="C104" s="317">
        <f>'CDM Activity'!F147</f>
        <v>1120340.367008568</v>
      </c>
      <c r="D104" s="384">
        <f t="shared" si="24"/>
        <v>1.0774567014787861</v>
      </c>
      <c r="E104" s="314">
        <f t="shared" si="17"/>
        <v>1207118.2363705845</v>
      </c>
      <c r="F104" s="314">
        <f t="shared" si="18"/>
        <v>23270154.236370586</v>
      </c>
      <c r="G104" s="322">
        <f>'Weather Analysis'!Z13</f>
        <v>75.904761904761898</v>
      </c>
      <c r="H104" s="315">
        <f>'Weather Analysis'!Z33</f>
        <v>22</v>
      </c>
      <c r="I104" s="317">
        <v>30</v>
      </c>
      <c r="J104" s="317">
        <v>0</v>
      </c>
      <c r="K104" s="317">
        <v>102</v>
      </c>
      <c r="L104" s="318">
        <v>11.1</v>
      </c>
      <c r="M104" s="319">
        <f>'[18]Annual conv to Monthly'!B332</f>
        <v>156.13415051840798</v>
      </c>
      <c r="N104" s="317">
        <f>'[14]Data Input'!AJ178+'[16]PSP less Loss factor'!AA187</f>
        <v>3490</v>
      </c>
      <c r="O104" s="318">
        <v>166.1</v>
      </c>
      <c r="P104" s="318">
        <v>327.9</v>
      </c>
      <c r="Q104" s="316">
        <f t="shared" si="19"/>
        <v>23346163.384377003</v>
      </c>
      <c r="R104" s="50">
        <f t="shared" si="22"/>
        <v>1283127.3843770027</v>
      </c>
      <c r="S104" s="291">
        <f t="shared" si="23"/>
        <v>5.8157335390152227E-2</v>
      </c>
      <c r="T104" s="292">
        <f t="shared" si="16"/>
        <v>5.8157335390152227E-2</v>
      </c>
    </row>
    <row r="105" spans="1:20">
      <c r="A105" s="321">
        <v>42552</v>
      </c>
      <c r="B105" s="314">
        <f>'[14]Data Input'!B179+'[16]PSP less Loss factor'!B188</f>
        <v>24449967</v>
      </c>
      <c r="C105" s="317">
        <f>'CDM Activity'!F148</f>
        <v>1136438.5663142747</v>
      </c>
      <c r="D105" s="384">
        <f t="shared" si="24"/>
        <v>1.0774567014787861</v>
      </c>
      <c r="E105" s="314">
        <f t="shared" si="17"/>
        <v>1224463.3490942591</v>
      </c>
      <c r="F105" s="314">
        <f t="shared" si="18"/>
        <v>25674430.34909426</v>
      </c>
      <c r="G105" s="322">
        <f>'Weather Analysis'!Z14</f>
        <v>28.095238095238091</v>
      </c>
      <c r="H105" s="315">
        <f>'Weather Analysis'!Z34</f>
        <v>64.800000000000011</v>
      </c>
      <c r="I105" s="317">
        <v>31</v>
      </c>
      <c r="J105" s="317">
        <v>0</v>
      </c>
      <c r="K105" s="317">
        <v>103</v>
      </c>
      <c r="L105" s="318">
        <v>13.7</v>
      </c>
      <c r="M105" s="319">
        <f>'[18]Annual conv to Monthly'!B333</f>
        <v>156.41755007673331</v>
      </c>
      <c r="N105" s="317">
        <f>'[14]Data Input'!AJ179+'[16]PSP less Loss factor'!AA188</f>
        <v>3490</v>
      </c>
      <c r="O105" s="318">
        <v>165.3</v>
      </c>
      <c r="P105" s="318">
        <v>328.1</v>
      </c>
      <c r="Q105" s="316">
        <f t="shared" si="19"/>
        <v>25254251.140413258</v>
      </c>
      <c r="R105" s="50">
        <f t="shared" si="22"/>
        <v>804284.14041325822</v>
      </c>
      <c r="S105" s="291">
        <f t="shared" si="23"/>
        <v>3.2895101265914113E-2</v>
      </c>
      <c r="T105" s="292">
        <f t="shared" si="16"/>
        <v>3.2895101265914113E-2</v>
      </c>
    </row>
    <row r="106" spans="1:20">
      <c r="A106" s="321">
        <v>42583</v>
      </c>
      <c r="B106" s="314">
        <f>'[14]Data Input'!B180+'[16]PSP less Loss factor'!B189</f>
        <v>25086525</v>
      </c>
      <c r="C106" s="317">
        <f>'CDM Activity'!F149</f>
        <v>1152536.7656199813</v>
      </c>
      <c r="D106" s="384">
        <f t="shared" si="24"/>
        <v>1.0774567014787861</v>
      </c>
      <c r="E106" s="314">
        <f t="shared" si="17"/>
        <v>1241808.4618179339</v>
      </c>
      <c r="F106" s="314">
        <f t="shared" si="18"/>
        <v>26328333.461817935</v>
      </c>
      <c r="G106" s="322">
        <f>'Weather Analysis'!Z15</f>
        <v>13.428571428571429</v>
      </c>
      <c r="H106" s="315">
        <f>'Weather Analysis'!Z35</f>
        <v>77.700000000000017</v>
      </c>
      <c r="I106" s="317">
        <v>31</v>
      </c>
      <c r="J106" s="317">
        <v>0</v>
      </c>
      <c r="K106" s="317">
        <v>104</v>
      </c>
      <c r="L106" s="318">
        <v>14.6</v>
      </c>
      <c r="M106" s="319">
        <f>'[18]Annual conv to Monthly'!B334</f>
        <v>156.70146403443502</v>
      </c>
      <c r="N106" s="317">
        <f>'[14]Data Input'!AJ180+'[16]PSP less Loss factor'!AA189</f>
        <v>3490</v>
      </c>
      <c r="O106" s="318">
        <v>163.30000000000001</v>
      </c>
      <c r="P106" s="318">
        <v>328.3</v>
      </c>
      <c r="Q106" s="316">
        <f t="shared" si="19"/>
        <v>25620079.613732055</v>
      </c>
      <c r="R106" s="50">
        <f t="shared" si="22"/>
        <v>533554.61373205483</v>
      </c>
      <c r="S106" s="291">
        <f t="shared" si="23"/>
        <v>2.1268574014617601E-2</v>
      </c>
      <c r="T106" s="292">
        <f t="shared" si="16"/>
        <v>2.1268574014617601E-2</v>
      </c>
    </row>
    <row r="107" spans="1:20">
      <c r="A107" s="321">
        <v>42614</v>
      </c>
      <c r="B107" s="314">
        <f>'[14]Data Input'!B181+'[16]PSP less Loss factor'!B190</f>
        <v>21516383</v>
      </c>
      <c r="C107" s="317">
        <f>'CDM Activity'!F150</f>
        <v>1168634.964925688</v>
      </c>
      <c r="D107" s="384">
        <f t="shared" si="24"/>
        <v>1.0774567014787861</v>
      </c>
      <c r="E107" s="314">
        <f t="shared" si="17"/>
        <v>1259153.5745416088</v>
      </c>
      <c r="F107" s="314">
        <f t="shared" si="18"/>
        <v>22775536.57454161</v>
      </c>
      <c r="G107" s="322">
        <f>'Weather Analysis'!Z16</f>
        <v>76.666666666666671</v>
      </c>
      <c r="H107" s="315">
        <f>'Weather Analysis'!Z36</f>
        <v>13.4</v>
      </c>
      <c r="I107" s="317">
        <v>30</v>
      </c>
      <c r="J107" s="317">
        <v>1</v>
      </c>
      <c r="K107" s="317">
        <v>105</v>
      </c>
      <c r="L107" s="318">
        <v>12.7</v>
      </c>
      <c r="M107" s="319">
        <f>'[18]Annual conv to Monthly'!B335</f>
        <v>156.98589332520095</v>
      </c>
      <c r="N107" s="317">
        <f>'[14]Data Input'!AJ181+'[16]PSP less Loss factor'!AA190</f>
        <v>3489</v>
      </c>
      <c r="O107" s="318">
        <v>164.5</v>
      </c>
      <c r="P107" s="318">
        <v>328.5</v>
      </c>
      <c r="Q107" s="316">
        <f t="shared" si="19"/>
        <v>21661346.42960171</v>
      </c>
      <c r="R107" s="50">
        <f t="shared" si="22"/>
        <v>144963.42960171029</v>
      </c>
      <c r="S107" s="291">
        <f t="shared" si="23"/>
        <v>6.73735123611205E-3</v>
      </c>
      <c r="T107" s="292">
        <f t="shared" si="16"/>
        <v>6.73735123611205E-3</v>
      </c>
    </row>
    <row r="108" spans="1:20">
      <c r="A108" s="321">
        <v>42644</v>
      </c>
      <c r="B108" s="314">
        <f>'[14]Data Input'!B182+'[16]PSP less Loss factor'!B191</f>
        <v>22851618</v>
      </c>
      <c r="C108" s="317">
        <f>'CDM Activity'!F151</f>
        <v>1184733.1642313947</v>
      </c>
      <c r="D108" s="384">
        <f t="shared" si="24"/>
        <v>1.0774567014787861</v>
      </c>
      <c r="E108" s="314">
        <f t="shared" si="17"/>
        <v>1276498.6872652834</v>
      </c>
      <c r="F108" s="314">
        <f t="shared" si="18"/>
        <v>24128116.687265284</v>
      </c>
      <c r="G108" s="322">
        <f>'Weather Analysis'!Z17</f>
        <v>287.71428571428578</v>
      </c>
      <c r="H108" s="315">
        <f>'Weather Analysis'!Z37</f>
        <v>0</v>
      </c>
      <c r="I108" s="317">
        <v>31</v>
      </c>
      <c r="J108" s="317">
        <v>1</v>
      </c>
      <c r="K108" s="317">
        <v>106</v>
      </c>
      <c r="L108" s="318">
        <v>9.6999999999999993</v>
      </c>
      <c r="M108" s="319">
        <f>'[18]Annual conv to Monthly'!B336</f>
        <v>157.27083888441365</v>
      </c>
      <c r="N108" s="317">
        <f>'[14]Data Input'!AJ182+'[16]PSP less Loss factor'!AA191</f>
        <v>3489</v>
      </c>
      <c r="O108" s="318">
        <v>175.3</v>
      </c>
      <c r="P108" s="318">
        <v>328.7</v>
      </c>
      <c r="Q108" s="316">
        <f t="shared" si="19"/>
        <v>24682728.438196063</v>
      </c>
      <c r="R108" s="50">
        <f t="shared" si="22"/>
        <v>1831110.438196063</v>
      </c>
      <c r="S108" s="291">
        <f t="shared" si="23"/>
        <v>8.0130450202522338E-2</v>
      </c>
      <c r="T108" s="292">
        <f t="shared" si="16"/>
        <v>8.0130450202522338E-2</v>
      </c>
    </row>
    <row r="109" spans="1:20">
      <c r="A109" s="321">
        <v>42675</v>
      </c>
      <c r="B109" s="314">
        <f>'[14]Data Input'!B183+'[16]PSP less Loss factor'!B192</f>
        <v>24193372</v>
      </c>
      <c r="C109" s="317">
        <f>'CDM Activity'!F152</f>
        <v>1200831.3635371013</v>
      </c>
      <c r="D109" s="384">
        <f t="shared" si="24"/>
        <v>1.0774567014787861</v>
      </c>
      <c r="E109" s="314">
        <f t="shared" si="17"/>
        <v>1293843.7999889583</v>
      </c>
      <c r="F109" s="314">
        <f t="shared" si="18"/>
        <v>25487215.799988959</v>
      </c>
      <c r="G109" s="322">
        <f>'Weather Analysis'!Z18</f>
        <v>414.47619047619054</v>
      </c>
      <c r="H109" s="315">
        <f>'Weather Analysis'!Z38</f>
        <v>0</v>
      </c>
      <c r="I109" s="317">
        <v>30</v>
      </c>
      <c r="J109" s="317">
        <v>1</v>
      </c>
      <c r="K109" s="317">
        <v>107</v>
      </c>
      <c r="L109" s="318">
        <v>8</v>
      </c>
      <c r="M109" s="319">
        <f>'[18]Annual conv to Monthly'!B337</f>
        <v>157.55630164915351</v>
      </c>
      <c r="N109" s="317">
        <f>'[14]Data Input'!AJ183+'[16]PSP less Loss factor'!AA192</f>
        <v>3492</v>
      </c>
      <c r="O109" s="318">
        <v>183.5</v>
      </c>
      <c r="P109" s="318">
        <v>328.9</v>
      </c>
      <c r="Q109" s="316">
        <f t="shared" si="19"/>
        <v>25760336.857570317</v>
      </c>
      <c r="R109" s="50">
        <f t="shared" si="22"/>
        <v>1566964.8575703166</v>
      </c>
      <c r="S109" s="291">
        <f t="shared" si="23"/>
        <v>6.4768352984045249E-2</v>
      </c>
      <c r="T109" s="292">
        <f t="shared" si="16"/>
        <v>6.4768352984045249E-2</v>
      </c>
    </row>
    <row r="110" spans="1:20">
      <c r="A110" s="321">
        <v>42705</v>
      </c>
      <c r="B110" s="314">
        <f>'[14]Data Input'!B184+'[16]PSP less Loss factor'!B193</f>
        <v>28341333</v>
      </c>
      <c r="C110" s="317">
        <f>'CDM Activity'!F153</f>
        <v>1216929.562842808</v>
      </c>
      <c r="D110" s="384">
        <f t="shared" si="24"/>
        <v>1.0774567014787861</v>
      </c>
      <c r="E110" s="314">
        <f t="shared" si="17"/>
        <v>1311188.9127126331</v>
      </c>
      <c r="F110" s="314">
        <f t="shared" si="18"/>
        <v>29652521.912712634</v>
      </c>
      <c r="G110" s="322">
        <f>'Weather Analysis'!Z19</f>
        <v>679.71428571428578</v>
      </c>
      <c r="H110" s="315">
        <f>'Weather Analysis'!Z39</f>
        <v>0</v>
      </c>
      <c r="I110" s="317">
        <v>31</v>
      </c>
      <c r="J110" s="317">
        <v>0</v>
      </c>
      <c r="K110" s="317">
        <v>108</v>
      </c>
      <c r="L110" s="318">
        <v>7.7</v>
      </c>
      <c r="M110" s="319">
        <f>'[18]Annual conv to Monthly'!B338</f>
        <v>157.84228255820162</v>
      </c>
      <c r="N110" s="317">
        <f>'[14]Data Input'!AJ184+'[16]PSP less Loss factor'!AA193</f>
        <v>3495</v>
      </c>
      <c r="O110" s="318">
        <v>188.3</v>
      </c>
      <c r="P110" s="318">
        <v>329.1</v>
      </c>
      <c r="Q110" s="316">
        <f t="shared" si="19"/>
        <v>31441457.28430102</v>
      </c>
      <c r="R110" s="50">
        <f t="shared" si="22"/>
        <v>3100124.2843010202</v>
      </c>
      <c r="S110" s="291">
        <f t="shared" si="23"/>
        <v>0.10938526724558158</v>
      </c>
      <c r="T110" s="292">
        <f t="shared" si="16"/>
        <v>0.10938526724558158</v>
      </c>
    </row>
    <row r="111" spans="1:20">
      <c r="A111" s="321">
        <v>42736</v>
      </c>
      <c r="B111" s="314">
        <f>'[14]Data Input'!B185+'[16]PSP less Loss factor'!B194</f>
        <v>29369246</v>
      </c>
      <c r="C111" s="317">
        <f>'CDM Activity'!F154</f>
        <v>1209692.4569646295</v>
      </c>
      <c r="D111" s="383">
        <f>'Rate Class Energy Model'!F16</f>
        <v>1.066183484186241</v>
      </c>
      <c r="E111" s="314">
        <f t="shared" si="17"/>
        <v>1289754.1185603631</v>
      </c>
      <c r="F111" s="314">
        <f t="shared" si="18"/>
        <v>30659000.118560363</v>
      </c>
      <c r="G111" s="322">
        <f>'Weather Analysis'!AA8</f>
        <v>708.57142857142856</v>
      </c>
      <c r="H111" s="322">
        <f>'Weather Analysis'!AA28</f>
        <v>0</v>
      </c>
      <c r="I111" s="317">
        <v>31</v>
      </c>
      <c r="J111" s="317">
        <v>0</v>
      </c>
      <c r="K111" s="317">
        <v>109</v>
      </c>
      <c r="L111" s="318">
        <v>10.3</v>
      </c>
      <c r="M111" s="319">
        <f>'[18]Annual conv to Monthly'!B339</f>
        <v>158.15454692394951</v>
      </c>
      <c r="N111" s="317">
        <f>'[14]Data Input'!AJ185+'[16]PSP less Loss factor'!AA194</f>
        <v>3492</v>
      </c>
      <c r="O111" s="318">
        <f>'[19]02820122-eng'!E197</f>
        <v>187.9</v>
      </c>
      <c r="P111" s="318"/>
      <c r="Q111" s="316">
        <f t="shared" si="19"/>
        <v>31842143.455061119</v>
      </c>
      <c r="R111" s="50">
        <f t="shared" si="22"/>
        <v>2472897.455061119</v>
      </c>
      <c r="S111" s="291">
        <f t="shared" si="23"/>
        <v>8.420023636497577E-2</v>
      </c>
      <c r="T111" s="292">
        <f t="shared" si="16"/>
        <v>8.420023636497577E-2</v>
      </c>
    </row>
    <row r="112" spans="1:20">
      <c r="A112" s="321">
        <v>42767</v>
      </c>
      <c r="B112" s="314">
        <f>'[14]Data Input'!B186+'[16]PSP less Loss factor'!B195</f>
        <v>26144559</v>
      </c>
      <c r="C112" s="317">
        <f>'CDM Activity'!F155</f>
        <v>1202455.351086451</v>
      </c>
      <c r="D112" s="384">
        <f>D111</f>
        <v>1.066183484186241</v>
      </c>
      <c r="E112" s="314">
        <f t="shared" si="17"/>
        <v>1282038.035799742</v>
      </c>
      <c r="F112" s="314">
        <f t="shared" si="18"/>
        <v>27426597.035799742</v>
      </c>
      <c r="G112" s="322">
        <f>'Weather Analysis'!AA9</f>
        <v>617.14285714285711</v>
      </c>
      <c r="H112" s="322">
        <f>'Weather Analysis'!AA29</f>
        <v>0</v>
      </c>
      <c r="I112" s="317">
        <v>28</v>
      </c>
      <c r="J112" s="317">
        <v>0</v>
      </c>
      <c r="K112" s="317">
        <v>110</v>
      </c>
      <c r="L112" s="318">
        <v>11</v>
      </c>
      <c r="M112" s="319">
        <f>'[18]Annual conv to Monthly'!B340</f>
        <v>158.46742905214063</v>
      </c>
      <c r="N112" s="317">
        <f>'[14]Data Input'!AJ186+'[16]PSP less Loss factor'!AA195</f>
        <v>3490</v>
      </c>
      <c r="O112" s="318">
        <f>'[19]02820122-eng'!E198</f>
        <v>185.8</v>
      </c>
      <c r="P112" s="318"/>
      <c r="Q112" s="316">
        <f t="shared" si="19"/>
        <v>28525138.337689556</v>
      </c>
      <c r="R112" s="50">
        <f t="shared" si="22"/>
        <v>2380579.3376895562</v>
      </c>
      <c r="S112" s="291">
        <f t="shared" si="23"/>
        <v>9.1054484326530669E-2</v>
      </c>
      <c r="T112" s="292">
        <f t="shared" si="16"/>
        <v>9.1054484326530669E-2</v>
      </c>
    </row>
    <row r="113" spans="1:35">
      <c r="A113" s="321">
        <v>42795</v>
      </c>
      <c r="B113" s="314">
        <f>'[14]Data Input'!B187+'[16]PSP less Loss factor'!B196</f>
        <v>28985084</v>
      </c>
      <c r="C113" s="317">
        <f>'CDM Activity'!F156</f>
        <v>1195218.2452082725</v>
      </c>
      <c r="D113" s="384">
        <f t="shared" ref="D113:D122" si="25">D112</f>
        <v>1.066183484186241</v>
      </c>
      <c r="E113" s="314">
        <f t="shared" si="17"/>
        <v>1274321.9530391209</v>
      </c>
      <c r="F113" s="314">
        <f t="shared" si="18"/>
        <v>30259405.953039121</v>
      </c>
      <c r="G113" s="322">
        <f>'Weather Analysis'!AA10</f>
        <v>681.5238095238094</v>
      </c>
      <c r="H113" s="322">
        <f>'Weather Analysis'!AA30</f>
        <v>0</v>
      </c>
      <c r="I113" s="317">
        <v>31</v>
      </c>
      <c r="J113" s="317">
        <v>1</v>
      </c>
      <c r="K113" s="317">
        <v>111</v>
      </c>
      <c r="L113" s="318">
        <v>12.2</v>
      </c>
      <c r="M113" s="319">
        <f>'[18]Annual conv to Monthly'!B341</f>
        <v>158.78093016491388</v>
      </c>
      <c r="N113" s="317">
        <f>'[14]Data Input'!AJ187+'[16]PSP less Loss factor'!AA196</f>
        <v>3487</v>
      </c>
      <c r="O113" s="318">
        <f>'[19]02820122-eng'!E199</f>
        <v>182.2</v>
      </c>
      <c r="P113" s="318"/>
      <c r="Q113" s="316">
        <f t="shared" si="19"/>
        <v>30150838.392298426</v>
      </c>
      <c r="R113" s="50">
        <f t="shared" si="22"/>
        <v>1165754.3922984265</v>
      </c>
      <c r="S113" s="291">
        <f t="shared" si="23"/>
        <v>4.0219113813795622E-2</v>
      </c>
      <c r="T113" s="292">
        <f t="shared" si="16"/>
        <v>4.0219113813795622E-2</v>
      </c>
    </row>
    <row r="114" spans="1:35">
      <c r="A114" s="321">
        <v>42826</v>
      </c>
      <c r="B114" s="314">
        <f>'[14]Data Input'!B188+'[16]PSP less Loss factor'!B197</f>
        <v>22823269</v>
      </c>
      <c r="C114" s="317">
        <f>'CDM Activity'!F157</f>
        <v>1187981.139330094</v>
      </c>
      <c r="D114" s="384">
        <f t="shared" si="25"/>
        <v>1.066183484186241</v>
      </c>
      <c r="E114" s="314">
        <f t="shared" si="17"/>
        <v>1266605.8702784998</v>
      </c>
      <c r="F114" s="314">
        <f t="shared" si="18"/>
        <v>24089874.8702785</v>
      </c>
      <c r="G114" s="322">
        <f>'Weather Analysis'!AA11</f>
        <v>335.71428571428567</v>
      </c>
      <c r="H114" s="322">
        <f>'Weather Analysis'!AA31</f>
        <v>0.1</v>
      </c>
      <c r="I114" s="317">
        <v>30</v>
      </c>
      <c r="J114" s="317">
        <v>1</v>
      </c>
      <c r="K114" s="317">
        <v>112</v>
      </c>
      <c r="L114" s="318">
        <v>12</v>
      </c>
      <c r="M114" s="319">
        <f>'[18]Annual conv to Monthly'!B342</f>
        <v>159.09505148682601</v>
      </c>
      <c r="N114" s="317">
        <f>'[14]Data Input'!AJ188+'[16]PSP less Loss factor'!AA197</f>
        <v>3496</v>
      </c>
      <c r="O114" s="318">
        <f>'[19]02820122-eng'!E200</f>
        <v>179</v>
      </c>
      <c r="P114" s="318"/>
      <c r="Q114" s="316">
        <f t="shared" si="19"/>
        <v>24671129.421402607</v>
      </c>
      <c r="R114" s="50">
        <f t="shared" si="22"/>
        <v>1847860.4214026071</v>
      </c>
      <c r="S114" s="291">
        <f t="shared" si="23"/>
        <v>8.096388038902784E-2</v>
      </c>
      <c r="T114" s="292">
        <f t="shared" si="16"/>
        <v>8.096388038902784E-2</v>
      </c>
    </row>
    <row r="115" spans="1:35">
      <c r="A115" s="321">
        <v>42856</v>
      </c>
      <c r="B115" s="314">
        <f>'[14]Data Input'!B189+'[16]PSP less Loss factor'!B198</f>
        <v>22196746</v>
      </c>
      <c r="C115" s="317">
        <f>'CDM Activity'!F158</f>
        <v>1180744.0334519155</v>
      </c>
      <c r="D115" s="384">
        <f t="shared" si="25"/>
        <v>1.066183484186241</v>
      </c>
      <c r="E115" s="314">
        <f t="shared" si="17"/>
        <v>1258889.7875178787</v>
      </c>
      <c r="F115" s="314">
        <f t="shared" si="18"/>
        <v>23455635.787517879</v>
      </c>
      <c r="G115" s="322">
        <f>'Weather Analysis'!AA12</f>
        <v>226.7619047619047</v>
      </c>
      <c r="H115" s="322">
        <f>'Weather Analysis'!AA32</f>
        <v>5.1999999999999993</v>
      </c>
      <c r="I115" s="317">
        <v>31</v>
      </c>
      <c r="J115" s="317">
        <v>1</v>
      </c>
      <c r="K115" s="317">
        <v>113</v>
      </c>
      <c r="L115" s="318">
        <v>12.5</v>
      </c>
      <c r="M115" s="319">
        <f>'[18]Annual conv to Monthly'!B343</f>
        <v>159.4097942448563</v>
      </c>
      <c r="N115" s="317">
        <f>'[14]Data Input'!AJ189+'[16]PSP less Loss factor'!AA198</f>
        <v>3505</v>
      </c>
      <c r="O115" s="318">
        <f>'[19]02820122-eng'!E201</f>
        <v>178.8</v>
      </c>
      <c r="P115" s="318"/>
      <c r="Q115" s="316">
        <f t="shared" si="19"/>
        <v>24065951.454111937</v>
      </c>
      <c r="R115" s="50">
        <f t="shared" si="22"/>
        <v>1869205.4541119374</v>
      </c>
      <c r="S115" s="291">
        <f t="shared" si="23"/>
        <v>8.4210787207815843E-2</v>
      </c>
      <c r="T115" s="292">
        <f t="shared" si="16"/>
        <v>8.4210787207815843E-2</v>
      </c>
    </row>
    <row r="116" spans="1:35">
      <c r="A116" s="321">
        <v>42887</v>
      </c>
      <c r="B116" s="314">
        <f>'[14]Data Input'!B190+'[16]PSP less Loss factor'!B199</f>
        <v>21339393</v>
      </c>
      <c r="C116" s="317">
        <f>'CDM Activity'!F159</f>
        <v>1173506.927573737</v>
      </c>
      <c r="D116" s="384">
        <f t="shared" si="25"/>
        <v>1.066183484186241</v>
      </c>
      <c r="E116" s="314">
        <f t="shared" si="17"/>
        <v>1251173.7047572576</v>
      </c>
      <c r="F116" s="314">
        <f t="shared" si="18"/>
        <v>22590566.704757258</v>
      </c>
      <c r="G116" s="322">
        <f>'Weather Analysis'!AA13</f>
        <v>84.571428571428584</v>
      </c>
      <c r="H116" s="322">
        <f>'Weather Analysis'!AA33</f>
        <v>19.7</v>
      </c>
      <c r="I116" s="317">
        <v>30</v>
      </c>
      <c r="J116" s="317">
        <v>0</v>
      </c>
      <c r="K116" s="317">
        <v>114</v>
      </c>
      <c r="L116" s="318">
        <v>13.2</v>
      </c>
      <c r="M116" s="319">
        <f>'[18]Annual conv to Monthly'!B344</f>
        <v>159.72515966841141</v>
      </c>
      <c r="N116" s="317">
        <f>'[14]Data Input'!AJ190+'[16]PSP less Loss factor'!AA199</f>
        <v>3531</v>
      </c>
      <c r="O116" s="318">
        <f>'[19]02820122-eng'!E202</f>
        <v>179.8</v>
      </c>
      <c r="P116" s="318"/>
      <c r="Q116" s="316">
        <f t="shared" si="19"/>
        <v>23364966.718251739</v>
      </c>
      <c r="R116" s="50">
        <f t="shared" si="22"/>
        <v>2025573.7182517387</v>
      </c>
      <c r="S116" s="291">
        <f t="shared" si="23"/>
        <v>9.4921805800743192E-2</v>
      </c>
      <c r="T116" s="292">
        <f t="shared" si="16"/>
        <v>9.4921805800743192E-2</v>
      </c>
    </row>
    <row r="117" spans="1:35">
      <c r="A117" s="321">
        <v>42917</v>
      </c>
      <c r="B117" s="314">
        <f>'[14]Data Input'!B191+'[16]PSP less Loss factor'!B200</f>
        <v>22953227</v>
      </c>
      <c r="C117" s="317">
        <f>'CDM Activity'!F160</f>
        <v>1166269.8216955585</v>
      </c>
      <c r="D117" s="384">
        <f t="shared" si="25"/>
        <v>1.066183484186241</v>
      </c>
      <c r="E117" s="314">
        <f t="shared" si="17"/>
        <v>1243457.6219966365</v>
      </c>
      <c r="F117" s="314">
        <f t="shared" si="18"/>
        <v>24196684.621996637</v>
      </c>
      <c r="G117" s="322">
        <f>'Weather Analysis'!AA14</f>
        <v>20.857142857142851</v>
      </c>
      <c r="H117" s="322">
        <f>'Weather Analysis'!AA34</f>
        <v>20.299999999999997</v>
      </c>
      <c r="I117" s="317">
        <v>31</v>
      </c>
      <c r="J117" s="317">
        <v>0</v>
      </c>
      <c r="K117" s="317">
        <v>115</v>
      </c>
      <c r="L117" s="318">
        <v>11.3</v>
      </c>
      <c r="M117" s="319">
        <f>'[18]Annual conv to Monthly'!B345</f>
        <v>160.0411489893302</v>
      </c>
      <c r="N117" s="317">
        <f>'[14]Data Input'!AJ191+'[16]PSP less Loss factor'!AA200</f>
        <v>3531</v>
      </c>
      <c r="O117" s="318">
        <f>'[19]02820122-eng'!E203</f>
        <v>183.8</v>
      </c>
      <c r="P117" s="318"/>
      <c r="Q117" s="316">
        <f t="shared" si="19"/>
        <v>23189272.178091727</v>
      </c>
      <c r="R117" s="50">
        <f t="shared" si="22"/>
        <v>236045.1780917272</v>
      </c>
      <c r="S117" s="291">
        <f t="shared" si="23"/>
        <v>1.0283746947290994E-2</v>
      </c>
      <c r="T117" s="292">
        <f t="shared" si="16"/>
        <v>1.0283746947290994E-2</v>
      </c>
    </row>
    <row r="118" spans="1:35">
      <c r="A118" s="321">
        <v>42948</v>
      </c>
      <c r="B118" s="314">
        <f>'[14]Data Input'!B192+'[16]PSP less Loss factor'!B201</f>
        <v>22947367</v>
      </c>
      <c r="C118" s="317">
        <f>'CDM Activity'!F161</f>
        <v>1159032.71581738</v>
      </c>
      <c r="D118" s="384">
        <f t="shared" si="25"/>
        <v>1.066183484186241</v>
      </c>
      <c r="E118" s="314">
        <f t="shared" si="17"/>
        <v>1235741.5392360154</v>
      </c>
      <c r="F118" s="314">
        <f t="shared" si="18"/>
        <v>24183108.539236017</v>
      </c>
      <c r="G118" s="322">
        <f>'Weather Analysis'!AA15</f>
        <v>59.619047619047613</v>
      </c>
      <c r="H118" s="322">
        <f>'Weather Analysis'!AA35</f>
        <v>19.399999999999999</v>
      </c>
      <c r="I118" s="317">
        <v>31</v>
      </c>
      <c r="J118" s="317">
        <v>0</v>
      </c>
      <c r="K118" s="317">
        <v>116</v>
      </c>
      <c r="L118" s="318">
        <v>12.3</v>
      </c>
      <c r="M118" s="319">
        <f>'[18]Annual conv to Monthly'!B346</f>
        <v>160.35776344188849</v>
      </c>
      <c r="N118" s="317">
        <f>'[14]Data Input'!AJ192+'[16]PSP less Loss factor'!AA201</f>
        <v>3530</v>
      </c>
      <c r="O118" s="318">
        <f>'[19]02820122-eng'!E204</f>
        <v>182.5</v>
      </c>
      <c r="P118" s="318"/>
      <c r="Q118" s="316">
        <f t="shared" si="19"/>
        <v>23687756.603706475</v>
      </c>
      <c r="R118" s="50">
        <f t="shared" si="22"/>
        <v>740389.60370647535</v>
      </c>
      <c r="S118" s="291">
        <f t="shared" si="23"/>
        <v>3.2264686563232954E-2</v>
      </c>
      <c r="T118" s="292">
        <f t="shared" si="16"/>
        <v>3.2264686563232954E-2</v>
      </c>
    </row>
    <row r="119" spans="1:35">
      <c r="A119" s="321">
        <v>42979</v>
      </c>
      <c r="B119" s="314">
        <f>'[14]Data Input'!B193+'[16]PSP less Loss factor'!B202</f>
        <v>21826159</v>
      </c>
      <c r="C119" s="317">
        <f>'CDM Activity'!F162</f>
        <v>1151795.6099392015</v>
      </c>
      <c r="D119" s="384">
        <f t="shared" si="25"/>
        <v>1.066183484186241</v>
      </c>
      <c r="E119" s="314">
        <f t="shared" si="17"/>
        <v>1228025.4564753945</v>
      </c>
      <c r="F119" s="314">
        <f t="shared" si="18"/>
        <v>23054184.456475396</v>
      </c>
      <c r="G119" s="322">
        <f>'Weather Analysis'!AA16</f>
        <v>116.0952380952381</v>
      </c>
      <c r="H119" s="322">
        <f>'Weather Analysis'!AA36</f>
        <v>30</v>
      </c>
      <c r="I119" s="317">
        <v>30</v>
      </c>
      <c r="J119" s="317">
        <v>1</v>
      </c>
      <c r="K119" s="317">
        <v>117</v>
      </c>
      <c r="L119" s="318">
        <v>10.8</v>
      </c>
      <c r="M119" s="319">
        <f>'[18]Annual conv to Monthly'!B347</f>
        <v>160.67500426280395</v>
      </c>
      <c r="N119" s="317">
        <f>'[14]Data Input'!AJ193+'[16]PSP less Loss factor'!AA202</f>
        <v>3530</v>
      </c>
      <c r="O119" s="318">
        <f>'[19]02820122-eng'!E205</f>
        <v>182.7</v>
      </c>
      <c r="P119" s="318"/>
      <c r="Q119" s="316">
        <f t="shared" si="19"/>
        <v>22941634.695672631</v>
      </c>
      <c r="R119" s="50">
        <f t="shared" si="22"/>
        <v>1115475.6956726313</v>
      </c>
      <c r="S119" s="291">
        <f t="shared" si="23"/>
        <v>5.110728349741387E-2</v>
      </c>
      <c r="T119" s="292">
        <f t="shared" si="16"/>
        <v>5.110728349741387E-2</v>
      </c>
    </row>
    <row r="120" spans="1:35">
      <c r="A120" s="321">
        <v>43009</v>
      </c>
      <c r="B120" s="314">
        <f>'[14]Data Input'!B194+'[16]PSP less Loss factor'!B203</f>
        <v>22377976</v>
      </c>
      <c r="C120" s="317">
        <f>'CDM Activity'!F163</f>
        <v>1144558.504061023</v>
      </c>
      <c r="D120" s="384">
        <f t="shared" si="25"/>
        <v>1.066183484186241</v>
      </c>
      <c r="E120" s="314">
        <f t="shared" si="17"/>
        <v>1220309.3737147735</v>
      </c>
      <c r="F120" s="314">
        <f t="shared" si="18"/>
        <v>23598285.373714775</v>
      </c>
      <c r="G120" s="322">
        <f>'Weather Analysis'!AA17</f>
        <v>232.19047619047618</v>
      </c>
      <c r="H120" s="322">
        <f>'Weather Analysis'!AA37</f>
        <v>0</v>
      </c>
      <c r="I120" s="317">
        <v>31</v>
      </c>
      <c r="J120" s="317">
        <v>1</v>
      </c>
      <c r="K120" s="317">
        <v>118</v>
      </c>
      <c r="L120" s="318">
        <v>10.7</v>
      </c>
      <c r="M120" s="319">
        <f>'[18]Annual conv to Monthly'!B348</f>
        <v>160.99287269124085</v>
      </c>
      <c r="N120" s="317">
        <f>'[14]Data Input'!AJ194+'[16]PSP less Loss factor'!AA203</f>
        <v>3536</v>
      </c>
      <c r="O120" s="318">
        <f>'[19]02820122-eng'!E206</f>
        <v>184.3</v>
      </c>
      <c r="P120" s="318"/>
      <c r="Q120" s="316">
        <f t="shared" si="19"/>
        <v>23911771.218548737</v>
      </c>
      <c r="R120" s="50">
        <f t="shared" si="22"/>
        <v>1533795.2185487375</v>
      </c>
      <c r="S120" s="291">
        <f t="shared" si="23"/>
        <v>6.854039071937236E-2</v>
      </c>
      <c r="T120" s="292">
        <f t="shared" si="16"/>
        <v>6.854039071937236E-2</v>
      </c>
    </row>
    <row r="121" spans="1:35">
      <c r="A121" s="321">
        <v>43040</v>
      </c>
      <c r="B121" s="314">
        <f>'[14]Data Input'!B195+'[16]PSP less Loss factor'!B204</f>
        <v>25903115</v>
      </c>
      <c r="C121" s="317">
        <f>'CDM Activity'!F164</f>
        <v>1137321.3981828445</v>
      </c>
      <c r="D121" s="384">
        <f t="shared" si="25"/>
        <v>1.066183484186241</v>
      </c>
      <c r="E121" s="314">
        <f t="shared" si="17"/>
        <v>1212593.2909541524</v>
      </c>
      <c r="F121" s="314">
        <f t="shared" si="18"/>
        <v>27115708.290954154</v>
      </c>
      <c r="G121" s="322">
        <f>'Weather Analysis'!AA18</f>
        <v>356</v>
      </c>
      <c r="H121" s="322">
        <f>'Weather Analysis'!AA38</f>
        <v>0</v>
      </c>
      <c r="I121" s="317">
        <v>30</v>
      </c>
      <c r="J121" s="317">
        <v>1</v>
      </c>
      <c r="K121" s="317">
        <v>119</v>
      </c>
      <c r="L121" s="318">
        <v>9.4</v>
      </c>
      <c r="M121" s="319">
        <f>'[18]Annual conv to Monthly'!B349</f>
        <v>161.31136996881492</v>
      </c>
      <c r="N121" s="317">
        <f>'[14]Data Input'!AJ195+'[16]PSP less Loss factor'!AA204</f>
        <v>3536</v>
      </c>
      <c r="O121" s="318">
        <f>'[19]02820122-eng'!E207</f>
        <v>183.5</v>
      </c>
      <c r="P121" s="318"/>
      <c r="Q121" s="316">
        <f t="shared" si="19"/>
        <v>24948385.343224764</v>
      </c>
      <c r="R121" s="50">
        <f t="shared" si="22"/>
        <v>-954729.65677523613</v>
      </c>
      <c r="S121" s="291">
        <f t="shared" si="23"/>
        <v>-3.6857716022773171E-2</v>
      </c>
      <c r="T121" s="292">
        <f t="shared" si="16"/>
        <v>3.6857716022773171E-2</v>
      </c>
    </row>
    <row r="122" spans="1:35">
      <c r="A122" s="321">
        <v>43070</v>
      </c>
      <c r="B122" s="314">
        <f>'[14]Data Input'!B196+'[16]PSP less Loss factor'!B205</f>
        <v>30421258</v>
      </c>
      <c r="C122" s="317">
        <f>'CDM Activity'!F165</f>
        <v>1130084.292304666</v>
      </c>
      <c r="D122" s="384">
        <f t="shared" si="25"/>
        <v>1.066183484186241</v>
      </c>
      <c r="E122" s="314">
        <f t="shared" si="17"/>
        <v>1204877.2081935313</v>
      </c>
      <c r="F122" s="314">
        <f t="shared" si="18"/>
        <v>31626135.208193533</v>
      </c>
      <c r="G122" s="322">
        <f>'Weather Analysis'!AA19</f>
        <v>843.04761904761892</v>
      </c>
      <c r="H122" s="322">
        <f>'Weather Analysis'!AA39</f>
        <v>0</v>
      </c>
      <c r="I122" s="317">
        <v>31</v>
      </c>
      <c r="J122" s="317">
        <v>0</v>
      </c>
      <c r="K122" s="317">
        <v>120</v>
      </c>
      <c r="L122" s="318">
        <v>9.6</v>
      </c>
      <c r="M122" s="319">
        <f>'[18]Annual conv to Monthly'!B350</f>
        <v>161.63049733959846</v>
      </c>
      <c r="N122" s="317">
        <f>'[14]Data Input'!AJ196+'[16]PSP less Loss factor'!AA205</f>
        <v>3545</v>
      </c>
      <c r="O122" s="318">
        <f>'[19]02820122-eng'!E208</f>
        <v>180.7</v>
      </c>
      <c r="P122" s="318"/>
      <c r="Q122" s="316">
        <f t="shared" si="19"/>
        <v>33709367.45873525</v>
      </c>
      <c r="R122" s="50">
        <f t="shared" si="22"/>
        <v>3288109.4587352499</v>
      </c>
      <c r="S122" s="291">
        <f t="shared" si="23"/>
        <v>0.10808591343379849</v>
      </c>
      <c r="T122" s="292">
        <f t="shared" si="16"/>
        <v>0.10808591343379849</v>
      </c>
    </row>
    <row r="123" spans="1:35" s="33" customFormat="1">
      <c r="A123" s="321">
        <v>43101</v>
      </c>
      <c r="B123" s="314"/>
      <c r="C123" s="317">
        <f>'CDM Activity'!F166</f>
        <v>1142048.925594694</v>
      </c>
      <c r="D123" s="383">
        <f>'Rate Class Energy Model'!F20</f>
        <v>1.0725267186616549</v>
      </c>
      <c r="E123" s="314">
        <f t="shared" si="17"/>
        <v>1224877.9867191457</v>
      </c>
      <c r="F123" s="314"/>
      <c r="G123" s="322">
        <f t="shared" ref="G123:H134" si="26">(G3+G15+G27+G39+G51+G63+G75+G87+G99+G111)/10</f>
        <v>784.93238095238098</v>
      </c>
      <c r="H123" s="322">
        <f t="shared" si="26"/>
        <v>0</v>
      </c>
      <c r="I123" s="317">
        <v>31</v>
      </c>
      <c r="J123" s="317">
        <v>0</v>
      </c>
      <c r="K123" s="317">
        <v>121</v>
      </c>
      <c r="L123" s="318"/>
      <c r="M123" s="319">
        <f>'[18]Annual conv to Monthly'!B351</f>
        <v>161.95025605012432</v>
      </c>
      <c r="N123" s="317"/>
      <c r="O123" s="318"/>
      <c r="P123" s="318"/>
      <c r="Q123" s="316">
        <f t="shared" si="19"/>
        <v>32902427.82751571</v>
      </c>
      <c r="R123" s="50"/>
      <c r="S123" s="283"/>
      <c r="T123" s="5">
        <f>AVERAGE(T3:T122)</f>
        <v>3.5093380869793085E-2</v>
      </c>
      <c r="U123" s="24"/>
      <c r="AB123"/>
      <c r="AC123"/>
      <c r="AD123"/>
      <c r="AE123"/>
      <c r="AF123"/>
      <c r="AG123"/>
      <c r="AH123"/>
      <c r="AI123"/>
    </row>
    <row r="124" spans="1:35" s="33" customFormat="1">
      <c r="A124" s="321">
        <v>43132</v>
      </c>
      <c r="B124" s="314"/>
      <c r="C124" s="317">
        <f>'CDM Activity'!F167</f>
        <v>1154013.5588847219</v>
      </c>
      <c r="D124" s="383">
        <f>D123</f>
        <v>1.0725267186616549</v>
      </c>
      <c r="E124" s="314">
        <f t="shared" si="17"/>
        <v>1237710.3756016893</v>
      </c>
      <c r="F124" s="314"/>
      <c r="G124" s="322">
        <f t="shared" si="26"/>
        <v>739.71857142857129</v>
      </c>
      <c r="H124" s="322">
        <f t="shared" si="26"/>
        <v>0</v>
      </c>
      <c r="I124" s="317">
        <v>28</v>
      </c>
      <c r="J124" s="317">
        <v>0</v>
      </c>
      <c r="K124" s="317">
        <v>122</v>
      </c>
      <c r="L124" s="318"/>
      <c r="M124" s="319">
        <f>'[18]Annual conv to Monthly'!B352</f>
        <v>162.27064734939202</v>
      </c>
      <c r="N124" s="317"/>
      <c r="O124" s="318"/>
      <c r="P124" s="318"/>
      <c r="Q124" s="316">
        <f t="shared" si="19"/>
        <v>30227122.273814753</v>
      </c>
      <c r="R124" s="10"/>
      <c r="S124" s="10"/>
      <c r="T124" s="36"/>
      <c r="U124" s="24"/>
      <c r="AB124"/>
      <c r="AC124"/>
      <c r="AD124"/>
      <c r="AE124"/>
      <c r="AF124"/>
      <c r="AG124"/>
      <c r="AH124"/>
      <c r="AI124"/>
    </row>
    <row r="125" spans="1:35" s="33" customFormat="1">
      <c r="A125" s="321">
        <v>43160</v>
      </c>
      <c r="B125" s="314"/>
      <c r="C125" s="317">
        <f>'CDM Activity'!F168</f>
        <v>1165978.1921747499</v>
      </c>
      <c r="D125" s="383">
        <f t="shared" ref="D125:D146" si="27">D124</f>
        <v>1.0725267186616549</v>
      </c>
      <c r="E125" s="314">
        <f t="shared" si="17"/>
        <v>1250542.764484233</v>
      </c>
      <c r="F125" s="314"/>
      <c r="G125" s="322">
        <f t="shared" si="26"/>
        <v>622.95999999999992</v>
      </c>
      <c r="H125" s="322">
        <f t="shared" si="26"/>
        <v>0</v>
      </c>
      <c r="I125" s="317">
        <v>31</v>
      </c>
      <c r="J125" s="317">
        <v>1</v>
      </c>
      <c r="K125" s="317">
        <v>123</v>
      </c>
      <c r="L125" s="318"/>
      <c r="M125" s="319">
        <f>'[18]Annual conv to Monthly'!B353</f>
        <v>162.59167248887184</v>
      </c>
      <c r="N125" s="317"/>
      <c r="O125" s="318"/>
      <c r="P125" s="318"/>
      <c r="Q125" s="316">
        <f t="shared" si="19"/>
        <v>29337670.273077961</v>
      </c>
      <c r="R125" s="10"/>
      <c r="S125" s="10"/>
      <c r="T125" s="36"/>
      <c r="U125" s="24"/>
      <c r="AB125"/>
      <c r="AC125"/>
      <c r="AD125"/>
      <c r="AE125"/>
      <c r="AF125"/>
      <c r="AG125"/>
      <c r="AH125"/>
      <c r="AI125"/>
    </row>
    <row r="126" spans="1:35" s="33" customFormat="1">
      <c r="A126" s="321">
        <v>43191</v>
      </c>
      <c r="B126" s="314"/>
      <c r="C126" s="317">
        <f>'CDM Activity'!F169</f>
        <v>1177942.8254647779</v>
      </c>
      <c r="D126" s="383">
        <f t="shared" si="27"/>
        <v>1.0725267186616549</v>
      </c>
      <c r="E126" s="314">
        <f t="shared" si="17"/>
        <v>1263375.1533667766</v>
      </c>
      <c r="F126" s="314"/>
      <c r="G126" s="322">
        <f t="shared" si="26"/>
        <v>379.45</v>
      </c>
      <c r="H126" s="322">
        <f t="shared" si="26"/>
        <v>0.01</v>
      </c>
      <c r="I126" s="317">
        <v>30</v>
      </c>
      <c r="J126" s="317">
        <v>1</v>
      </c>
      <c r="K126" s="317">
        <v>124</v>
      </c>
      <c r="L126" s="318"/>
      <c r="M126" s="319">
        <f>'[18]Annual conv to Monthly'!B354</f>
        <v>162.91333272250986</v>
      </c>
      <c r="N126" s="317"/>
      <c r="O126" s="318"/>
      <c r="P126" s="318"/>
      <c r="Q126" s="316">
        <f t="shared" si="19"/>
        <v>25274433.902305242</v>
      </c>
      <c r="R126" s="10"/>
      <c r="S126" s="10"/>
      <c r="T126" s="36"/>
      <c r="U126" s="24"/>
      <c r="AB126"/>
      <c r="AC126"/>
      <c r="AD126"/>
      <c r="AE126"/>
      <c r="AF126"/>
      <c r="AG126"/>
      <c r="AH126"/>
      <c r="AI126"/>
    </row>
    <row r="127" spans="1:35" s="33" customFormat="1">
      <c r="A127" s="321">
        <v>43221</v>
      </c>
      <c r="B127" s="314"/>
      <c r="C127" s="317">
        <f>'CDM Activity'!F170</f>
        <v>1189907.4587548058</v>
      </c>
      <c r="D127" s="383">
        <f t="shared" si="27"/>
        <v>1.0725267186616549</v>
      </c>
      <c r="E127" s="314">
        <f t="shared" si="17"/>
        <v>1276207.5422493205</v>
      </c>
      <c r="F127" s="314"/>
      <c r="G127" s="322">
        <f t="shared" si="26"/>
        <v>190.97476190476192</v>
      </c>
      <c r="H127" s="322">
        <f t="shared" si="26"/>
        <v>8.77</v>
      </c>
      <c r="I127" s="317">
        <v>31</v>
      </c>
      <c r="J127" s="317">
        <v>1</v>
      </c>
      <c r="K127" s="317">
        <v>125</v>
      </c>
      <c r="L127" s="318"/>
      <c r="M127" s="319">
        <f>'[18]Annual conv to Monthly'!B355</f>
        <v>163.23562930673287</v>
      </c>
      <c r="N127" s="317"/>
      <c r="O127" s="318"/>
      <c r="P127" s="318"/>
      <c r="Q127" s="316">
        <f t="shared" si="19"/>
        <v>23726640.695626006</v>
      </c>
      <c r="R127" s="10"/>
      <c r="S127" s="10"/>
      <c r="T127" s="36"/>
      <c r="U127" s="24"/>
      <c r="AB127"/>
      <c r="AC127"/>
      <c r="AD127"/>
      <c r="AE127"/>
      <c r="AF127"/>
      <c r="AG127"/>
      <c r="AH127"/>
      <c r="AI127"/>
    </row>
    <row r="128" spans="1:35" s="33" customFormat="1">
      <c r="A128" s="321">
        <v>43252</v>
      </c>
      <c r="B128" s="314"/>
      <c r="C128" s="317">
        <f>'CDM Activity'!F171</f>
        <v>1201872.0920448338</v>
      </c>
      <c r="D128" s="383">
        <f t="shared" si="27"/>
        <v>1.0725267186616549</v>
      </c>
      <c r="E128" s="314">
        <f t="shared" si="17"/>
        <v>1289039.9311318642</v>
      </c>
      <c r="F128" s="314"/>
      <c r="G128" s="322">
        <f t="shared" si="26"/>
        <v>69.127619047619049</v>
      </c>
      <c r="H128" s="322">
        <f t="shared" si="26"/>
        <v>22.15</v>
      </c>
      <c r="I128" s="317">
        <v>30</v>
      </c>
      <c r="J128" s="317">
        <v>0</v>
      </c>
      <c r="K128" s="317">
        <v>126</v>
      </c>
      <c r="L128" s="318"/>
      <c r="M128" s="319">
        <f>'[18]Annual conv to Monthly'!B356</f>
        <v>163.55856350045332</v>
      </c>
      <c r="N128" s="317"/>
      <c r="O128" s="318"/>
      <c r="P128" s="318"/>
      <c r="Q128" s="316">
        <f t="shared" si="19"/>
        <v>23258683.474074669</v>
      </c>
      <c r="R128" s="10"/>
      <c r="S128" s="10"/>
      <c r="T128" s="36"/>
      <c r="U128" s="24"/>
      <c r="AB128"/>
      <c r="AC128"/>
      <c r="AD128"/>
      <c r="AE128"/>
      <c r="AF128"/>
      <c r="AG128"/>
      <c r="AH128"/>
      <c r="AI128"/>
    </row>
    <row r="129" spans="1:35" s="33" customFormat="1">
      <c r="A129" s="321">
        <v>43282</v>
      </c>
      <c r="B129" s="314"/>
      <c r="C129" s="317">
        <f>'CDM Activity'!F172</f>
        <v>1213836.7253348618</v>
      </c>
      <c r="D129" s="383">
        <f t="shared" si="27"/>
        <v>1.0725267186616549</v>
      </c>
      <c r="E129" s="314">
        <f t="shared" si="17"/>
        <v>1301872.3200144079</v>
      </c>
      <c r="F129" s="314"/>
      <c r="G129" s="322">
        <f t="shared" si="26"/>
        <v>22.305238095238096</v>
      </c>
      <c r="H129" s="322">
        <f t="shared" si="26"/>
        <v>53.85</v>
      </c>
      <c r="I129" s="317">
        <v>31</v>
      </c>
      <c r="J129" s="317">
        <v>0</v>
      </c>
      <c r="K129" s="317">
        <v>127</v>
      </c>
      <c r="L129" s="318"/>
      <c r="M129" s="319">
        <f>'[18]Annual conv to Monthly'!B357</f>
        <v>163.88213656507418</v>
      </c>
      <c r="N129" s="317"/>
      <c r="O129" s="318"/>
      <c r="P129" s="318"/>
      <c r="Q129" s="316">
        <f t="shared" si="19"/>
        <v>24690462.304445781</v>
      </c>
      <c r="R129" s="10"/>
      <c r="S129" s="10"/>
      <c r="T129" s="36"/>
      <c r="U129" s="24"/>
      <c r="AB129"/>
      <c r="AC129"/>
      <c r="AD129"/>
      <c r="AE129"/>
      <c r="AF129"/>
      <c r="AG129"/>
      <c r="AH129"/>
      <c r="AI129"/>
    </row>
    <row r="130" spans="1:35" s="33" customFormat="1">
      <c r="A130" s="321">
        <v>43313</v>
      </c>
      <c r="B130" s="314"/>
      <c r="C130" s="317">
        <f>'CDM Activity'!F173</f>
        <v>1225801.3586248897</v>
      </c>
      <c r="D130" s="383">
        <f t="shared" si="27"/>
        <v>1.0725267186616549</v>
      </c>
      <c r="E130" s="314">
        <f t="shared" si="17"/>
        <v>1314704.7088969515</v>
      </c>
      <c r="F130" s="314"/>
      <c r="G130" s="322">
        <f t="shared" si="26"/>
        <v>35.084761904761905</v>
      </c>
      <c r="H130" s="322">
        <f t="shared" si="26"/>
        <v>38.71</v>
      </c>
      <c r="I130" s="317">
        <v>31</v>
      </c>
      <c r="J130" s="317">
        <v>0</v>
      </c>
      <c r="K130" s="317">
        <v>128</v>
      </c>
      <c r="L130" s="318"/>
      <c r="M130" s="319">
        <f>'[18]Annual conv to Monthly'!B358</f>
        <v>164.20634976449389</v>
      </c>
      <c r="N130" s="317"/>
      <c r="O130" s="318"/>
      <c r="P130" s="318"/>
      <c r="Q130" s="316">
        <f t="shared" si="19"/>
        <v>24199544.518213246</v>
      </c>
      <c r="R130" s="10"/>
      <c r="S130" s="10"/>
      <c r="T130" s="36"/>
      <c r="U130" s="24"/>
      <c r="AB130"/>
      <c r="AC130"/>
      <c r="AD130"/>
      <c r="AE130"/>
      <c r="AF130"/>
      <c r="AG130"/>
      <c r="AH130"/>
      <c r="AI130"/>
    </row>
    <row r="131" spans="1:35" s="33" customFormat="1">
      <c r="A131" s="321">
        <v>43344</v>
      </c>
      <c r="B131" s="314"/>
      <c r="C131" s="317">
        <f>'CDM Activity'!F174</f>
        <v>1237765.9919149177</v>
      </c>
      <c r="D131" s="383">
        <f t="shared" si="27"/>
        <v>1.0725267186616549</v>
      </c>
      <c r="E131" s="314">
        <f t="shared" si="17"/>
        <v>1327537.0977794952</v>
      </c>
      <c r="F131" s="314"/>
      <c r="G131" s="322">
        <f t="shared" si="26"/>
        <v>119.32619047619046</v>
      </c>
      <c r="H131" s="322">
        <f t="shared" si="26"/>
        <v>14.820000000000002</v>
      </c>
      <c r="I131" s="317">
        <v>30</v>
      </c>
      <c r="J131" s="317">
        <v>1</v>
      </c>
      <c r="K131" s="317">
        <v>129</v>
      </c>
      <c r="L131" s="318"/>
      <c r="M131" s="319">
        <f>'[18]Annual conv to Monthly'!B359</f>
        <v>164.53120436511134</v>
      </c>
      <c r="N131" s="317"/>
      <c r="O131" s="318"/>
      <c r="P131" s="318"/>
      <c r="Q131" s="316">
        <f t="shared" si="19"/>
        <v>22316367.6041453</v>
      </c>
      <c r="R131" s="10"/>
      <c r="S131" s="10"/>
      <c r="T131" s="36"/>
      <c r="U131" s="24"/>
      <c r="AB131"/>
      <c r="AC131"/>
      <c r="AD131"/>
      <c r="AE131"/>
      <c r="AF131"/>
      <c r="AG131"/>
      <c r="AH131"/>
      <c r="AI131"/>
    </row>
    <row r="132" spans="1:35" s="33" customFormat="1">
      <c r="A132" s="321">
        <v>43374</v>
      </c>
      <c r="B132" s="314"/>
      <c r="C132" s="317">
        <f>'CDM Activity'!F175</f>
        <v>1249730.6252049457</v>
      </c>
      <c r="D132" s="383">
        <f t="shared" si="27"/>
        <v>1.0725267186616549</v>
      </c>
      <c r="E132" s="314">
        <f t="shared" ref="E132:E146" si="28">C132*D132</f>
        <v>1340369.4866620388</v>
      </c>
      <c r="F132" s="314"/>
      <c r="G132" s="322">
        <f t="shared" si="26"/>
        <v>307.71047619047624</v>
      </c>
      <c r="H132" s="322">
        <f t="shared" si="26"/>
        <v>0.03</v>
      </c>
      <c r="I132" s="317">
        <v>31</v>
      </c>
      <c r="J132" s="317">
        <v>1</v>
      </c>
      <c r="K132" s="317">
        <v>130</v>
      </c>
      <c r="L132" s="318"/>
      <c r="M132" s="319">
        <f>'[18]Annual conv to Monthly'!B360</f>
        <v>164.85670163583072</v>
      </c>
      <c r="N132" s="323"/>
      <c r="O132" s="319"/>
      <c r="P132" s="319"/>
      <c r="Q132" s="316">
        <f t="shared" ref="Q132:Q146" si="29">$V$18+G132*$V$19+H132*$V$20+I132*$V$21+J132*$V$22</f>
        <v>24961703.195393182</v>
      </c>
      <c r="R132" s="10"/>
      <c r="S132" s="10"/>
      <c r="T132" s="36"/>
      <c r="U132" s="24"/>
      <c r="AB132"/>
      <c r="AC132"/>
      <c r="AD132"/>
      <c r="AE132"/>
      <c r="AF132"/>
      <c r="AG132"/>
      <c r="AH132"/>
      <c r="AI132"/>
    </row>
    <row r="133" spans="1:35" s="33" customFormat="1">
      <c r="A133" s="321">
        <v>43405</v>
      </c>
      <c r="B133" s="314"/>
      <c r="C133" s="317">
        <f>'CDM Activity'!F176</f>
        <v>1261695.2584949736</v>
      </c>
      <c r="D133" s="383">
        <f t="shared" si="27"/>
        <v>1.0725267186616549</v>
      </c>
      <c r="E133" s="314">
        <f t="shared" si="28"/>
        <v>1353201.8755445827</v>
      </c>
      <c r="F133" s="314"/>
      <c r="G133" s="322">
        <f t="shared" si="26"/>
        <v>465.15761904761905</v>
      </c>
      <c r="H133" s="322">
        <f t="shared" si="26"/>
        <v>0</v>
      </c>
      <c r="I133" s="317">
        <v>30</v>
      </c>
      <c r="J133" s="317">
        <v>1</v>
      </c>
      <c r="K133" s="317">
        <v>131</v>
      </c>
      <c r="L133" s="318"/>
      <c r="M133" s="319">
        <f>'[18]Annual conv to Monthly'!B361</f>
        <v>165.18284284806657</v>
      </c>
      <c r="N133" s="323"/>
      <c r="O133" s="319"/>
      <c r="P133" s="319"/>
      <c r="Q133" s="316">
        <f t="shared" si="29"/>
        <v>26464056.821929529</v>
      </c>
      <c r="R133" s="10"/>
      <c r="S133" s="10"/>
      <c r="T133" s="36"/>
      <c r="U133" s="24"/>
      <c r="AB133"/>
      <c r="AC133"/>
      <c r="AD133"/>
      <c r="AE133"/>
      <c r="AF133"/>
      <c r="AG133"/>
      <c r="AH133"/>
      <c r="AI133"/>
    </row>
    <row r="134" spans="1:35" s="33" customFormat="1">
      <c r="A134" s="321">
        <v>43435</v>
      </c>
      <c r="B134" s="314"/>
      <c r="C134" s="317">
        <f>'CDM Activity'!F177</f>
        <v>1273659.8917850016</v>
      </c>
      <c r="D134" s="383">
        <f t="shared" si="27"/>
        <v>1.0725267186616549</v>
      </c>
      <c r="E134" s="314">
        <f t="shared" si="28"/>
        <v>1366034.2644271264</v>
      </c>
      <c r="F134" s="314"/>
      <c r="G134" s="322">
        <f t="shared" si="26"/>
        <v>710.40619047619066</v>
      </c>
      <c r="H134" s="322">
        <f t="shared" si="26"/>
        <v>0</v>
      </c>
      <c r="I134" s="317">
        <v>31</v>
      </c>
      <c r="J134" s="317">
        <v>0</v>
      </c>
      <c r="K134" s="317">
        <v>132</v>
      </c>
      <c r="L134" s="318"/>
      <c r="M134" s="319">
        <f>'[18]Annual conv to Monthly'!B362</f>
        <v>165.18636828106963</v>
      </c>
      <c r="N134" s="323"/>
      <c r="O134" s="319"/>
      <c r="P134" s="319"/>
      <c r="Q134" s="316">
        <f t="shared" si="29"/>
        <v>31867619.425621167</v>
      </c>
      <c r="R134" s="10"/>
      <c r="S134" s="10"/>
      <c r="T134" s="36"/>
      <c r="U134" s="24"/>
      <c r="AB134"/>
      <c r="AC134"/>
      <c r="AD134"/>
      <c r="AE134"/>
      <c r="AF134"/>
      <c r="AG134"/>
      <c r="AH134"/>
      <c r="AI134"/>
    </row>
    <row r="135" spans="1:35" s="33" customFormat="1">
      <c r="A135" s="321">
        <v>43466</v>
      </c>
      <c r="B135" s="314"/>
      <c r="C135" s="317">
        <f>'CDM Activity'!F178</f>
        <v>1262660.9258392768</v>
      </c>
      <c r="D135" s="383">
        <f t="shared" si="27"/>
        <v>1.0725267186616549</v>
      </c>
      <c r="E135" s="314">
        <f t="shared" si="28"/>
        <v>1354237.5795726867</v>
      </c>
      <c r="F135" s="314"/>
      <c r="G135" s="322">
        <f t="shared" ref="G135:H135" si="30">G123</f>
        <v>784.93238095238098</v>
      </c>
      <c r="H135" s="322">
        <f t="shared" si="30"/>
        <v>0</v>
      </c>
      <c r="I135" s="317">
        <v>31</v>
      </c>
      <c r="J135" s="317">
        <v>0</v>
      </c>
      <c r="K135" s="317">
        <v>133</v>
      </c>
      <c r="L135" s="318"/>
      <c r="M135" s="319"/>
      <c r="N135" s="323"/>
      <c r="O135" s="319"/>
      <c r="P135" s="319"/>
      <c r="Q135" s="316">
        <f t="shared" si="29"/>
        <v>32902427.82751571</v>
      </c>
      <c r="R135" s="10"/>
      <c r="S135" s="10"/>
      <c r="T135" s="36"/>
      <c r="U135" s="24"/>
      <c r="AB135"/>
      <c r="AC135"/>
      <c r="AD135"/>
      <c r="AE135"/>
      <c r="AF135"/>
      <c r="AG135"/>
      <c r="AH135"/>
      <c r="AI135"/>
    </row>
    <row r="136" spans="1:35" s="33" customFormat="1">
      <c r="A136" s="321">
        <v>43497</v>
      </c>
      <c r="B136" s="314"/>
      <c r="C136" s="317">
        <f>'CDM Activity'!F179</f>
        <v>1251661.9598935519</v>
      </c>
      <c r="D136" s="383">
        <f t="shared" si="27"/>
        <v>1.0725267186616549</v>
      </c>
      <c r="E136" s="314">
        <f t="shared" si="28"/>
        <v>1342440.8947182472</v>
      </c>
      <c r="F136" s="314"/>
      <c r="G136" s="322">
        <f t="shared" ref="G136:H136" si="31">G124</f>
        <v>739.71857142857129</v>
      </c>
      <c r="H136" s="322">
        <f t="shared" si="31"/>
        <v>0</v>
      </c>
      <c r="I136" s="317">
        <v>28</v>
      </c>
      <c r="J136" s="317">
        <v>0</v>
      </c>
      <c r="K136" s="317">
        <v>134</v>
      </c>
      <c r="L136" s="318"/>
      <c r="M136" s="319"/>
      <c r="N136" s="323"/>
      <c r="O136" s="319"/>
      <c r="P136" s="319"/>
      <c r="Q136" s="316">
        <f t="shared" si="29"/>
        <v>30227122.273814753</v>
      </c>
      <c r="R136" s="10"/>
      <c r="S136" s="10"/>
      <c r="T136" s="36"/>
      <c r="U136" s="24"/>
      <c r="AB136"/>
      <c r="AC136"/>
      <c r="AD136"/>
      <c r="AE136"/>
      <c r="AF136"/>
      <c r="AG136"/>
      <c r="AH136"/>
      <c r="AI136"/>
    </row>
    <row r="137" spans="1:35" s="33" customFormat="1">
      <c r="A137" s="321">
        <v>43525</v>
      </c>
      <c r="B137" s="314"/>
      <c r="C137" s="317">
        <f>'CDM Activity'!F180</f>
        <v>1240662.993947827</v>
      </c>
      <c r="D137" s="383">
        <f t="shared" si="27"/>
        <v>1.0725267186616549</v>
      </c>
      <c r="E137" s="314">
        <f t="shared" si="28"/>
        <v>1330644.2098638075</v>
      </c>
      <c r="F137" s="314"/>
      <c r="G137" s="322">
        <f t="shared" ref="G137:H137" si="32">G125</f>
        <v>622.95999999999992</v>
      </c>
      <c r="H137" s="322">
        <f t="shared" si="32"/>
        <v>0</v>
      </c>
      <c r="I137" s="317">
        <v>31</v>
      </c>
      <c r="J137" s="317">
        <v>1</v>
      </c>
      <c r="K137" s="317">
        <v>135</v>
      </c>
      <c r="L137" s="318"/>
      <c r="M137" s="319"/>
      <c r="N137" s="323"/>
      <c r="O137" s="319"/>
      <c r="P137" s="319"/>
      <c r="Q137" s="316">
        <f t="shared" si="29"/>
        <v>29337670.273077961</v>
      </c>
      <c r="R137" s="10"/>
      <c r="S137" s="10"/>
      <c r="T137" s="36"/>
      <c r="U137" s="24"/>
      <c r="AB137"/>
      <c r="AC137"/>
      <c r="AD137"/>
      <c r="AE137"/>
      <c r="AF137"/>
      <c r="AG137"/>
      <c r="AH137"/>
      <c r="AI137"/>
    </row>
    <row r="138" spans="1:35" s="33" customFormat="1">
      <c r="A138" s="321">
        <v>43556</v>
      </c>
      <c r="B138" s="314"/>
      <c r="C138" s="317">
        <f>'CDM Activity'!F181</f>
        <v>1229664.0280021022</v>
      </c>
      <c r="D138" s="383">
        <f t="shared" si="27"/>
        <v>1.0725267186616549</v>
      </c>
      <c r="E138" s="314">
        <f t="shared" si="28"/>
        <v>1318847.5250093681</v>
      </c>
      <c r="F138" s="314"/>
      <c r="G138" s="322">
        <f t="shared" ref="G138:H138" si="33">G126</f>
        <v>379.45</v>
      </c>
      <c r="H138" s="322">
        <f t="shared" si="33"/>
        <v>0.01</v>
      </c>
      <c r="I138" s="317">
        <v>30</v>
      </c>
      <c r="J138" s="317">
        <v>1</v>
      </c>
      <c r="K138" s="317">
        <v>136</v>
      </c>
      <c r="L138" s="318"/>
      <c r="M138" s="319"/>
      <c r="N138" s="323"/>
      <c r="O138" s="319"/>
      <c r="P138" s="319"/>
      <c r="Q138" s="316">
        <f t="shared" si="29"/>
        <v>25274433.902305242</v>
      </c>
      <c r="R138" s="10"/>
      <c r="S138" s="10"/>
      <c r="T138" s="36"/>
      <c r="U138" s="24"/>
      <c r="AB138"/>
      <c r="AC138"/>
      <c r="AD138"/>
      <c r="AE138"/>
      <c r="AF138"/>
      <c r="AG138"/>
      <c r="AH138"/>
      <c r="AI138"/>
    </row>
    <row r="139" spans="1:35" s="33" customFormat="1">
      <c r="A139" s="321">
        <v>43586</v>
      </c>
      <c r="B139" s="314"/>
      <c r="C139" s="317">
        <f>'CDM Activity'!F182</f>
        <v>1218665.0620563773</v>
      </c>
      <c r="D139" s="383">
        <f t="shared" si="27"/>
        <v>1.0725267186616549</v>
      </c>
      <c r="E139" s="314">
        <f t="shared" si="28"/>
        <v>1307050.8401549284</v>
      </c>
      <c r="F139" s="314"/>
      <c r="G139" s="322">
        <f t="shared" ref="G139:H139" si="34">G127</f>
        <v>190.97476190476192</v>
      </c>
      <c r="H139" s="322">
        <f t="shared" si="34"/>
        <v>8.77</v>
      </c>
      <c r="I139" s="317">
        <v>31</v>
      </c>
      <c r="J139" s="317">
        <v>1</v>
      </c>
      <c r="K139" s="317">
        <v>137</v>
      </c>
      <c r="L139" s="318"/>
      <c r="M139" s="319"/>
      <c r="N139" s="323"/>
      <c r="O139" s="319"/>
      <c r="P139" s="319"/>
      <c r="Q139" s="316">
        <f t="shared" si="29"/>
        <v>23726640.695626006</v>
      </c>
      <c r="R139" s="10"/>
      <c r="S139" s="10"/>
      <c r="T139" s="36"/>
      <c r="U139" s="24"/>
      <c r="AB139"/>
      <c r="AC139"/>
      <c r="AD139"/>
      <c r="AE139"/>
      <c r="AF139"/>
      <c r="AG139"/>
      <c r="AH139"/>
      <c r="AI139"/>
    </row>
    <row r="140" spans="1:35" s="33" customFormat="1">
      <c r="A140" s="321">
        <v>43617</v>
      </c>
      <c r="B140" s="314"/>
      <c r="C140" s="317">
        <f>'CDM Activity'!F183</f>
        <v>1207666.0961106524</v>
      </c>
      <c r="D140" s="383">
        <f t="shared" si="27"/>
        <v>1.0725267186616549</v>
      </c>
      <c r="E140" s="314">
        <f t="shared" si="28"/>
        <v>1295254.1553004889</v>
      </c>
      <c r="F140" s="314"/>
      <c r="G140" s="322">
        <f t="shared" ref="G140:H140" si="35">G128</f>
        <v>69.127619047619049</v>
      </c>
      <c r="H140" s="322">
        <f t="shared" si="35"/>
        <v>22.15</v>
      </c>
      <c r="I140" s="317">
        <v>30</v>
      </c>
      <c r="J140" s="317">
        <v>0</v>
      </c>
      <c r="K140" s="317">
        <v>138</v>
      </c>
      <c r="L140" s="318"/>
      <c r="M140" s="319"/>
      <c r="N140" s="323"/>
      <c r="O140" s="319"/>
      <c r="P140" s="319"/>
      <c r="Q140" s="316">
        <f t="shared" si="29"/>
        <v>23258683.474074669</v>
      </c>
      <c r="R140" s="10"/>
      <c r="S140" s="10"/>
      <c r="T140" s="36"/>
      <c r="U140" s="24"/>
      <c r="AB140"/>
      <c r="AC140"/>
      <c r="AD140"/>
      <c r="AE140"/>
      <c r="AF140"/>
      <c r="AG140"/>
      <c r="AH140"/>
      <c r="AI140"/>
    </row>
    <row r="141" spans="1:35" s="33" customFormat="1">
      <c r="A141" s="321">
        <v>43647</v>
      </c>
      <c r="B141" s="314"/>
      <c r="C141" s="317">
        <f>'CDM Activity'!F184</f>
        <v>1196667.1301649276</v>
      </c>
      <c r="D141" s="383">
        <f t="shared" si="27"/>
        <v>1.0725267186616549</v>
      </c>
      <c r="E141" s="314">
        <f t="shared" si="28"/>
        <v>1283457.4704460492</v>
      </c>
      <c r="F141" s="314"/>
      <c r="G141" s="322">
        <f t="shared" ref="G141:H141" si="36">G129</f>
        <v>22.305238095238096</v>
      </c>
      <c r="H141" s="322">
        <f t="shared" si="36"/>
        <v>53.85</v>
      </c>
      <c r="I141" s="317">
        <v>31</v>
      </c>
      <c r="J141" s="317">
        <v>0</v>
      </c>
      <c r="K141" s="317">
        <v>139</v>
      </c>
      <c r="L141" s="318"/>
      <c r="M141" s="319"/>
      <c r="N141" s="323"/>
      <c r="O141" s="319"/>
      <c r="P141" s="319"/>
      <c r="Q141" s="316">
        <f t="shared" si="29"/>
        <v>24690462.304445781</v>
      </c>
      <c r="R141" s="10"/>
      <c r="S141" s="10"/>
      <c r="T141" s="36"/>
      <c r="U141" s="24"/>
      <c r="AB141"/>
      <c r="AC141"/>
      <c r="AD141"/>
      <c r="AE141"/>
      <c r="AF141"/>
      <c r="AG141"/>
      <c r="AH141"/>
      <c r="AI141"/>
    </row>
    <row r="142" spans="1:35" s="33" customFormat="1">
      <c r="A142" s="321">
        <v>43678</v>
      </c>
      <c r="B142" s="314"/>
      <c r="C142" s="317">
        <f>'CDM Activity'!F185</f>
        <v>1185668.1642192027</v>
      </c>
      <c r="D142" s="383">
        <f t="shared" si="27"/>
        <v>1.0725267186616549</v>
      </c>
      <c r="E142" s="314">
        <f t="shared" si="28"/>
        <v>1271660.7855916098</v>
      </c>
      <c r="F142" s="314"/>
      <c r="G142" s="322">
        <f t="shared" ref="G142:H142" si="37">G130</f>
        <v>35.084761904761905</v>
      </c>
      <c r="H142" s="322">
        <f t="shared" si="37"/>
        <v>38.71</v>
      </c>
      <c r="I142" s="317">
        <v>31</v>
      </c>
      <c r="J142" s="317">
        <v>0</v>
      </c>
      <c r="K142" s="317">
        <v>140</v>
      </c>
      <c r="L142" s="318"/>
      <c r="M142" s="319"/>
      <c r="N142" s="323"/>
      <c r="O142" s="319"/>
      <c r="P142" s="319"/>
      <c r="Q142" s="316">
        <f t="shared" si="29"/>
        <v>24199544.518213246</v>
      </c>
      <c r="R142" s="10"/>
      <c r="S142" s="10"/>
      <c r="T142" s="36"/>
      <c r="U142" s="24"/>
      <c r="AB142"/>
      <c r="AC142"/>
      <c r="AD142"/>
      <c r="AE142"/>
      <c r="AF142"/>
      <c r="AG142"/>
      <c r="AH142"/>
      <c r="AI142"/>
    </row>
    <row r="143" spans="1:35" s="33" customFormat="1">
      <c r="A143" s="321">
        <v>43709</v>
      </c>
      <c r="B143" s="314"/>
      <c r="C143" s="317">
        <f>'CDM Activity'!F186</f>
        <v>1174669.1982734778</v>
      </c>
      <c r="D143" s="383">
        <f t="shared" si="27"/>
        <v>1.0725267186616549</v>
      </c>
      <c r="E143" s="314">
        <f t="shared" si="28"/>
        <v>1259864.1007371701</v>
      </c>
      <c r="F143" s="314"/>
      <c r="G143" s="322">
        <f t="shared" ref="G143:H143" si="38">G131</f>
        <v>119.32619047619046</v>
      </c>
      <c r="H143" s="322">
        <f t="shared" si="38"/>
        <v>14.820000000000002</v>
      </c>
      <c r="I143" s="317">
        <v>30</v>
      </c>
      <c r="J143" s="317">
        <v>1</v>
      </c>
      <c r="K143" s="317">
        <v>141</v>
      </c>
      <c r="L143" s="318"/>
      <c r="M143" s="319"/>
      <c r="N143" s="323"/>
      <c r="O143" s="319"/>
      <c r="P143" s="319"/>
      <c r="Q143" s="316">
        <f t="shared" si="29"/>
        <v>22316367.6041453</v>
      </c>
      <c r="R143" s="10"/>
      <c r="S143" s="10"/>
      <c r="T143" s="36"/>
      <c r="U143" s="24"/>
      <c r="AB143"/>
      <c r="AC143"/>
      <c r="AD143"/>
      <c r="AE143"/>
      <c r="AF143"/>
      <c r="AG143"/>
      <c r="AH143"/>
      <c r="AI143"/>
    </row>
    <row r="144" spans="1:35" s="33" customFormat="1">
      <c r="A144" s="321">
        <v>43739</v>
      </c>
      <c r="B144" s="314"/>
      <c r="C144" s="317">
        <f>'CDM Activity'!F187</f>
        <v>1163670.232327753</v>
      </c>
      <c r="D144" s="383">
        <f t="shared" si="27"/>
        <v>1.0725267186616549</v>
      </c>
      <c r="E144" s="314">
        <f t="shared" si="28"/>
        <v>1248067.4158827306</v>
      </c>
      <c r="F144" s="314"/>
      <c r="G144" s="322">
        <f t="shared" ref="G144:H144" si="39">G132</f>
        <v>307.71047619047624</v>
      </c>
      <c r="H144" s="322">
        <f t="shared" si="39"/>
        <v>0.03</v>
      </c>
      <c r="I144" s="317">
        <v>31</v>
      </c>
      <c r="J144" s="317">
        <v>1</v>
      </c>
      <c r="K144" s="317">
        <v>142</v>
      </c>
      <c r="L144" s="318"/>
      <c r="M144" s="319"/>
      <c r="N144" s="323"/>
      <c r="O144" s="319"/>
      <c r="P144" s="319"/>
      <c r="Q144" s="316">
        <f t="shared" si="29"/>
        <v>24961703.195393182</v>
      </c>
      <c r="R144" s="10"/>
      <c r="S144" s="10"/>
      <c r="T144" s="36"/>
      <c r="U144" s="24"/>
      <c r="AB144"/>
      <c r="AC144"/>
      <c r="AD144"/>
      <c r="AE144"/>
      <c r="AF144"/>
      <c r="AG144"/>
      <c r="AH144"/>
      <c r="AI144"/>
    </row>
    <row r="145" spans="1:35" s="33" customFormat="1">
      <c r="A145" s="321">
        <v>43770</v>
      </c>
      <c r="B145" s="314"/>
      <c r="C145" s="317">
        <f>'CDM Activity'!F188</f>
        <v>1152671.2663820281</v>
      </c>
      <c r="D145" s="383">
        <f t="shared" si="27"/>
        <v>1.0725267186616549</v>
      </c>
      <c r="E145" s="314">
        <f t="shared" si="28"/>
        <v>1236270.7310282909</v>
      </c>
      <c r="F145" s="314"/>
      <c r="G145" s="322">
        <f t="shared" ref="G145:H145" si="40">G133</f>
        <v>465.15761904761905</v>
      </c>
      <c r="H145" s="322">
        <f t="shared" si="40"/>
        <v>0</v>
      </c>
      <c r="I145" s="317">
        <v>30</v>
      </c>
      <c r="J145" s="317">
        <v>1</v>
      </c>
      <c r="K145" s="317">
        <v>143</v>
      </c>
      <c r="L145" s="318"/>
      <c r="M145" s="319"/>
      <c r="N145" s="323"/>
      <c r="O145" s="319"/>
      <c r="P145" s="319"/>
      <c r="Q145" s="316">
        <f t="shared" si="29"/>
        <v>26464056.821929529</v>
      </c>
      <c r="R145" s="10"/>
      <c r="S145" s="10"/>
      <c r="T145" s="36"/>
      <c r="U145" s="24"/>
      <c r="AB145"/>
      <c r="AC145"/>
      <c r="AD145"/>
      <c r="AE145"/>
      <c r="AF145"/>
      <c r="AG145"/>
      <c r="AH145"/>
      <c r="AI145"/>
    </row>
    <row r="146" spans="1:35" s="33" customFormat="1">
      <c r="A146" s="321">
        <v>43800</v>
      </c>
      <c r="B146" s="314"/>
      <c r="C146" s="317">
        <f>'CDM Activity'!F189</f>
        <v>1141672.3004363033</v>
      </c>
      <c r="D146" s="383">
        <f t="shared" si="27"/>
        <v>1.0725267186616549</v>
      </c>
      <c r="E146" s="314">
        <f t="shared" si="28"/>
        <v>1224474.0461738515</v>
      </c>
      <c r="F146" s="314"/>
      <c r="G146" s="322">
        <f t="shared" ref="G146:H146" si="41">G134</f>
        <v>710.40619047619066</v>
      </c>
      <c r="H146" s="322">
        <f t="shared" si="41"/>
        <v>0</v>
      </c>
      <c r="I146" s="317">
        <v>31</v>
      </c>
      <c r="J146" s="317">
        <v>0</v>
      </c>
      <c r="K146" s="317">
        <v>144</v>
      </c>
      <c r="L146" s="318"/>
      <c r="M146" s="319"/>
      <c r="N146" s="323"/>
      <c r="O146" s="319"/>
      <c r="P146" s="319"/>
      <c r="Q146" s="316">
        <f t="shared" si="29"/>
        <v>31867619.425621167</v>
      </c>
      <c r="R146" s="10"/>
      <c r="S146" s="10"/>
      <c r="T146" s="36"/>
      <c r="U146" s="24"/>
      <c r="AB146"/>
      <c r="AC146"/>
      <c r="AD146"/>
      <c r="AE146"/>
      <c r="AF146"/>
      <c r="AG146"/>
      <c r="AH146"/>
      <c r="AI146"/>
    </row>
    <row r="147" spans="1:35" s="33" customFormat="1">
      <c r="A147" s="32"/>
      <c r="B147" s="28"/>
      <c r="C147" s="18"/>
      <c r="D147" s="18"/>
      <c r="E147" s="28"/>
      <c r="F147" s="28"/>
      <c r="G147" s="99"/>
      <c r="H147" s="99"/>
      <c r="I147" s="18"/>
      <c r="J147" s="18"/>
      <c r="K147" s="18"/>
      <c r="L147" s="34"/>
      <c r="M147" s="36"/>
      <c r="N147" s="24"/>
      <c r="O147" s="36"/>
      <c r="P147" s="36"/>
      <c r="Q147" s="10"/>
      <c r="R147" s="10"/>
      <c r="S147" s="10"/>
      <c r="T147" s="36"/>
      <c r="U147" s="24"/>
      <c r="AB147"/>
      <c r="AC147"/>
      <c r="AD147"/>
      <c r="AE147"/>
      <c r="AF147"/>
      <c r="AG147"/>
      <c r="AH147"/>
      <c r="AI147"/>
    </row>
    <row r="148" spans="1:35" s="33" customFormat="1">
      <c r="A148" s="3"/>
      <c r="B148" s="28"/>
      <c r="C148" s="24"/>
      <c r="D148" s="24"/>
      <c r="E148" s="28"/>
      <c r="F148" s="28"/>
      <c r="G148" s="100"/>
      <c r="H148"/>
      <c r="I148"/>
      <c r="J148" s="1"/>
      <c r="K148" s="24"/>
      <c r="L148" s="36"/>
      <c r="M148" s="36"/>
      <c r="N148" s="24"/>
      <c r="O148" s="36"/>
      <c r="P148" s="36"/>
      <c r="Q148" s="50">
        <f>SUM(Q3:Q146)</f>
        <v>3832768292.1722784</v>
      </c>
      <c r="R148" s="36"/>
      <c r="S148" s="24"/>
      <c r="Z148"/>
      <c r="AA148"/>
      <c r="AB148"/>
      <c r="AC148"/>
      <c r="AD148"/>
      <c r="AE148"/>
      <c r="AF148"/>
      <c r="AG148"/>
    </row>
    <row r="149" spans="1:35" s="33" customFormat="1">
      <c r="A149" s="3"/>
      <c r="B149" s="28"/>
      <c r="C149" s="24"/>
      <c r="D149" s="24"/>
      <c r="E149" s="28"/>
      <c r="F149" s="28"/>
      <c r="G149" s="100"/>
      <c r="H149"/>
      <c r="I149"/>
      <c r="J149" s="382"/>
      <c r="K149" s="24"/>
      <c r="L149" s="36"/>
      <c r="M149" s="36"/>
      <c r="N149" s="24"/>
      <c r="O149" s="36"/>
      <c r="P149" s="36"/>
      <c r="Q149" s="50"/>
      <c r="R149" s="36"/>
      <c r="S149" s="24"/>
      <c r="Z149"/>
      <c r="AA149"/>
      <c r="AB149"/>
      <c r="AC149"/>
      <c r="AD149"/>
      <c r="AE149"/>
      <c r="AF149"/>
      <c r="AG149"/>
    </row>
    <row r="150" spans="1:35" s="33" customFormat="1" ht="62.5">
      <c r="A150" s="3"/>
      <c r="B150" s="28"/>
      <c r="C150" s="24"/>
      <c r="D150" s="24"/>
      <c r="E150" s="28"/>
      <c r="F150" s="28"/>
      <c r="G150" s="100"/>
      <c r="H150" s="100"/>
      <c r="I150" s="388" t="s">
        <v>352</v>
      </c>
      <c r="J150" s="388" t="s">
        <v>348</v>
      </c>
      <c r="K150" s="24"/>
      <c r="L150" s="36"/>
      <c r="M150" s="36"/>
      <c r="N150" s="24"/>
      <c r="O150" s="36"/>
      <c r="P150" s="36"/>
      <c r="Q150" s="388" t="s">
        <v>350</v>
      </c>
      <c r="R150" s="36"/>
      <c r="S150" s="24"/>
      <c r="Z150"/>
      <c r="AA150"/>
      <c r="AB150"/>
      <c r="AC150"/>
      <c r="AD150"/>
      <c r="AE150"/>
      <c r="AF150"/>
      <c r="AG150"/>
    </row>
    <row r="151" spans="1:35" s="33" customFormat="1">
      <c r="A151">
        <v>2008</v>
      </c>
      <c r="B151" s="28">
        <f>SUM(B3:B14)</f>
        <v>326411407.022681</v>
      </c>
      <c r="C151" s="24"/>
      <c r="D151" s="24"/>
      <c r="E151" s="28">
        <f>SUM(E3:E14)</f>
        <v>2154623.996872589</v>
      </c>
      <c r="F151" s="28">
        <f>SUM(F3:F14)</f>
        <v>328566031.01955354</v>
      </c>
      <c r="G151" s="28"/>
      <c r="H151" s="100"/>
      <c r="I151" s="28">
        <f>SUM($Q$3:$Q$14)</f>
        <v>325465023.68135697</v>
      </c>
      <c r="J151" s="386">
        <f>E151</f>
        <v>2154623.996872589</v>
      </c>
      <c r="K151" s="24"/>
      <c r="L151" s="36"/>
      <c r="M151" s="36"/>
      <c r="N151" s="24"/>
      <c r="O151" s="36"/>
      <c r="P151" s="36"/>
      <c r="Q151" s="28">
        <f>I151-J151</f>
        <v>323310399.68448436</v>
      </c>
      <c r="R151" s="28">
        <f>'Purchased Power Model - WN'!Q151</f>
        <v>317754609.77873313</v>
      </c>
      <c r="S151" s="274">
        <f t="shared" ref="S151:S162" si="42">R151/Q151</f>
        <v>0.9828159257754373</v>
      </c>
      <c r="T151" s="38">
        <f t="shared" ref="T151:T160" si="43">Q151-B151</f>
        <v>-3101007.3381966352</v>
      </c>
      <c r="U151" s="5">
        <f t="shared" ref="U151:U160" si="44">T151/B151</f>
        <v>-9.5003032108530415E-3</v>
      </c>
      <c r="Z151"/>
      <c r="AA151"/>
      <c r="AB151"/>
      <c r="AC151"/>
      <c r="AD151"/>
      <c r="AE151"/>
      <c r="AF151"/>
      <c r="AG151"/>
    </row>
    <row r="152" spans="1:35" s="33" customFormat="1">
      <c r="A152" s="17">
        <v>2009</v>
      </c>
      <c r="B152" s="28">
        <f>SUM(B15:B26)</f>
        <v>318733350.66887528</v>
      </c>
      <c r="C152" s="24"/>
      <c r="D152" s="24"/>
      <c r="E152" s="28">
        <f>SUM(E15:E26)</f>
        <v>3186144.8456580103</v>
      </c>
      <c r="F152" s="28">
        <f>SUM(F15:F26)</f>
        <v>321919495.51453322</v>
      </c>
      <c r="G152" s="28"/>
      <c r="H152" s="100"/>
      <c r="I152" s="28">
        <f>SUM($Q$15:$Q$26)</f>
        <v>321258289.8163619</v>
      </c>
      <c r="J152" s="386">
        <f t="shared" ref="J152:J162" si="45">E152</f>
        <v>3186144.8456580103</v>
      </c>
      <c r="K152" s="24"/>
      <c r="L152" s="36"/>
      <c r="M152" s="36"/>
      <c r="N152" s="24"/>
      <c r="O152" s="36"/>
      <c r="P152" s="36"/>
      <c r="Q152" s="28">
        <f>I152-J152</f>
        <v>318072144.9707039</v>
      </c>
      <c r="R152" s="28">
        <f>'Purchased Power Model - WN'!Q152</f>
        <v>316040587.47050452</v>
      </c>
      <c r="S152" s="274">
        <f t="shared" si="42"/>
        <v>0.99361290344872388</v>
      </c>
      <c r="T152" s="38">
        <f t="shared" si="43"/>
        <v>-661205.69817137718</v>
      </c>
      <c r="U152" s="5">
        <f t="shared" si="44"/>
        <v>-2.0744791744692214E-3</v>
      </c>
      <c r="Z152"/>
      <c r="AA152"/>
      <c r="AB152"/>
      <c r="AC152"/>
      <c r="AD152"/>
      <c r="AE152"/>
      <c r="AF152"/>
      <c r="AG152"/>
    </row>
    <row r="153" spans="1:35" s="33" customFormat="1">
      <c r="A153">
        <v>2010</v>
      </c>
      <c r="B153" s="28">
        <f>SUM(B27:B38)</f>
        <v>311592501.22999996</v>
      </c>
      <c r="C153" s="24"/>
      <c r="D153" s="24"/>
      <c r="E153" s="28">
        <f>SUM(E27:E38)</f>
        <v>3347553.1667862744</v>
      </c>
      <c r="F153" s="28">
        <f>SUM(F27:F38)</f>
        <v>314940054.39678627</v>
      </c>
      <c r="G153" s="28"/>
      <c r="H153" s="100"/>
      <c r="I153" s="28">
        <f>SUM($Q$27:$Q$38)</f>
        <v>317456841.1286869</v>
      </c>
      <c r="J153" s="386">
        <f t="shared" si="45"/>
        <v>3347553.1667862744</v>
      </c>
      <c r="K153" s="24"/>
      <c r="L153" s="36"/>
      <c r="M153" s="36"/>
      <c r="N153" s="24"/>
      <c r="O153" s="36"/>
      <c r="P153" s="36"/>
      <c r="Q153" s="28">
        <f>I153-J153</f>
        <v>314109287.96190065</v>
      </c>
      <c r="R153" s="28">
        <f>'Purchased Power Model - WN'!Q153</f>
        <v>315879179.14937627</v>
      </c>
      <c r="S153" s="274">
        <f t="shared" si="42"/>
        <v>1.0056346349990462</v>
      </c>
      <c r="T153" s="38">
        <f t="shared" si="43"/>
        <v>2516786.731900692</v>
      </c>
      <c r="U153" s="5">
        <f t="shared" si="44"/>
        <v>8.0771736224901722E-3</v>
      </c>
      <c r="Z153"/>
      <c r="AA153"/>
      <c r="AB153"/>
      <c r="AC153"/>
      <c r="AD153"/>
      <c r="AE153"/>
      <c r="AF153"/>
      <c r="AG153"/>
    </row>
    <row r="154" spans="1:35" s="33" customFormat="1">
      <c r="A154">
        <v>2011</v>
      </c>
      <c r="B154" s="28">
        <f>SUM(B39:B50)</f>
        <v>312740386.70999998</v>
      </c>
      <c r="C154" s="24"/>
      <c r="D154" s="24"/>
      <c r="E154" s="28">
        <f>SUM(E39:E50)</f>
        <v>3776577.9219721039</v>
      </c>
      <c r="F154" s="28">
        <f>SUM(F39:F50)</f>
        <v>316516964.63197213</v>
      </c>
      <c r="G154" s="28"/>
      <c r="H154" s="100"/>
      <c r="I154" s="28">
        <f>SUM($Q$39:$Q$50)</f>
        <v>316458569.12070972</v>
      </c>
      <c r="J154" s="386">
        <f t="shared" si="45"/>
        <v>3776577.9219721039</v>
      </c>
      <c r="K154" s="24"/>
      <c r="L154" s="36"/>
      <c r="M154" s="36"/>
      <c r="N154" s="24"/>
      <c r="O154" s="36"/>
      <c r="P154" s="36"/>
      <c r="Q154" s="28">
        <f>I154-J154</f>
        <v>312681991.19873762</v>
      </c>
      <c r="R154" s="28">
        <f>'Purchased Power Model - WN'!Q154</f>
        <v>315450154.39419043</v>
      </c>
      <c r="S154" s="274">
        <f t="shared" si="42"/>
        <v>1.0088529665070907</v>
      </c>
      <c r="T154" s="38">
        <f t="shared" si="43"/>
        <v>-58395.511262357235</v>
      </c>
      <c r="U154" s="5">
        <f t="shared" si="44"/>
        <v>-1.8672200247838992E-4</v>
      </c>
      <c r="Z154"/>
      <c r="AA154"/>
      <c r="AB154"/>
      <c r="AC154"/>
      <c r="AD154"/>
      <c r="AE154"/>
      <c r="AF154"/>
      <c r="AG154"/>
    </row>
    <row r="155" spans="1:35" s="33" customFormat="1">
      <c r="A155">
        <v>2012</v>
      </c>
      <c r="B155" s="28">
        <f>SUM(B51:B62)</f>
        <v>309445216.88000005</v>
      </c>
      <c r="C155" s="24"/>
      <c r="D155" s="24"/>
      <c r="E155" s="28">
        <f>SUM(E51:E62)</f>
        <v>5006260.7801691676</v>
      </c>
      <c r="F155" s="28">
        <f>SUM(F51:F62)</f>
        <v>314451477.66016918</v>
      </c>
      <c r="G155" s="28"/>
      <c r="H155" s="100"/>
      <c r="I155" s="28">
        <f>SUM($Q$51:$Q$62)</f>
        <v>315978620.85644329</v>
      </c>
      <c r="J155" s="386">
        <f t="shared" si="45"/>
        <v>5006260.7801691676</v>
      </c>
      <c r="K155" s="24"/>
      <c r="L155" s="36"/>
      <c r="M155" s="36"/>
      <c r="N155" s="24"/>
      <c r="O155" s="36"/>
      <c r="P155" s="36"/>
      <c r="Q155" s="28">
        <f>I155-J155</f>
        <v>310972360.0762741</v>
      </c>
      <c r="R155" s="28">
        <f>'Purchased Power Model - WN'!Q155</f>
        <v>314902972.99543655</v>
      </c>
      <c r="S155" s="274">
        <f t="shared" si="42"/>
        <v>1.0126397500993283</v>
      </c>
      <c r="T155" s="38">
        <f t="shared" si="43"/>
        <v>1527143.1962740421</v>
      </c>
      <c r="U155" s="5">
        <f t="shared" si="44"/>
        <v>4.9351003440012906E-3</v>
      </c>
      <c r="Z155"/>
      <c r="AA155"/>
      <c r="AB155"/>
      <c r="AC155"/>
      <c r="AD155"/>
      <c r="AE155"/>
      <c r="AF155"/>
      <c r="AG155"/>
    </row>
    <row r="156" spans="1:35" s="33" customFormat="1">
      <c r="A156">
        <v>2013</v>
      </c>
      <c r="B156" s="28">
        <f>SUM(B63:B74)</f>
        <v>315512631.28999996</v>
      </c>
      <c r="C156" s="24"/>
      <c r="D156" s="24"/>
      <c r="E156" s="28">
        <f>SUM(E63:E74)</f>
        <v>6367940.0721887713</v>
      </c>
      <c r="F156" s="28">
        <f>SUM(F63:F74)</f>
        <v>321880571.36218876</v>
      </c>
      <c r="G156" s="28"/>
      <c r="H156" s="100"/>
      <c r="I156" s="28">
        <f>SUM($Q$63:$Q$74)</f>
        <v>318431828.08723575</v>
      </c>
      <c r="J156" s="386">
        <f t="shared" si="45"/>
        <v>6367940.0721887713</v>
      </c>
      <c r="K156" s="24"/>
      <c r="L156" s="36"/>
      <c r="M156" s="36"/>
      <c r="N156" s="24"/>
      <c r="O156" s="36"/>
      <c r="P156" s="36"/>
      <c r="Q156" s="28">
        <f>I156-J156</f>
        <v>312063888.01504695</v>
      </c>
      <c r="R156" s="28">
        <f>'Purchased Power Model - WN'!Q156</f>
        <v>312858792.24397373</v>
      </c>
      <c r="S156" s="274">
        <f t="shared" si="42"/>
        <v>1.0025472483662976</v>
      </c>
      <c r="T156" s="38">
        <f t="shared" si="43"/>
        <v>-3448743.2749530077</v>
      </c>
      <c r="U156" s="5">
        <f t="shared" si="44"/>
        <v>-1.0930602875873876E-2</v>
      </c>
      <c r="Z156"/>
      <c r="AA156"/>
      <c r="AB156"/>
      <c r="AC156"/>
      <c r="AD156"/>
      <c r="AE156"/>
      <c r="AF156"/>
      <c r="AG156"/>
    </row>
    <row r="157" spans="1:35" s="33" customFormat="1">
      <c r="A157">
        <v>2014</v>
      </c>
      <c r="B157" s="28">
        <f>SUM(B75:B86)</f>
        <v>319149657</v>
      </c>
      <c r="C157" s="24"/>
      <c r="D157" s="24"/>
      <c r="E157" s="28">
        <f>SUM(E75:E86)</f>
        <v>7883159.2264545523</v>
      </c>
      <c r="F157" s="28">
        <f>SUM(F75:F86)</f>
        <v>327032816.22645462</v>
      </c>
      <c r="G157" s="28"/>
      <c r="H157" s="100"/>
      <c r="I157" s="28">
        <f>SUM($Q$75:$Q$86)</f>
        <v>323140024.96913362</v>
      </c>
      <c r="J157" s="386">
        <f t="shared" si="45"/>
        <v>7883159.2264545523</v>
      </c>
      <c r="K157" s="24"/>
      <c r="L157" s="36"/>
      <c r="M157" s="36"/>
      <c r="N157" s="24"/>
      <c r="O157" s="36"/>
      <c r="P157" s="36"/>
      <c r="Q157" s="28">
        <f>I157-J157</f>
        <v>315256865.74267906</v>
      </c>
      <c r="R157" s="28">
        <f>'Purchased Power Model - WN'!Q157</f>
        <v>311343573.08970797</v>
      </c>
      <c r="S157" s="274">
        <f t="shared" si="42"/>
        <v>0.98758697088562308</v>
      </c>
      <c r="T157" s="38">
        <f t="shared" si="43"/>
        <v>-3892791.2573209405</v>
      </c>
      <c r="U157" s="5">
        <f t="shared" si="44"/>
        <v>-1.2197385057258391E-2</v>
      </c>
      <c r="Z157"/>
      <c r="AA157"/>
      <c r="AB157"/>
      <c r="AC157"/>
      <c r="AD157"/>
      <c r="AE157"/>
      <c r="AF157"/>
      <c r="AG157"/>
    </row>
    <row r="158" spans="1:35" s="33" customFormat="1">
      <c r="A158" s="17">
        <v>2015</v>
      </c>
      <c r="B158" s="28">
        <f>SUM(B87:B98)</f>
        <v>308961454</v>
      </c>
      <c r="C158" s="24"/>
      <c r="D158" s="24"/>
      <c r="E158" s="28">
        <f>SUM(E87:E98)</f>
        <v>10969218.254985821</v>
      </c>
      <c r="F158" s="28">
        <f>SUM(F87:F98)</f>
        <v>319930672.25498581</v>
      </c>
      <c r="G158" s="28"/>
      <c r="H158" s="100"/>
      <c r="I158" s="28">
        <f>SUM($Q$87:$Q$98)</f>
        <v>321150543.26369017</v>
      </c>
      <c r="J158" s="386">
        <f t="shared" si="45"/>
        <v>10969218.254985821</v>
      </c>
      <c r="K158" s="24"/>
      <c r="L158" s="36"/>
      <c r="M158" s="36"/>
      <c r="N158" s="24"/>
      <c r="O158" s="36"/>
      <c r="P158" s="36"/>
      <c r="Q158" s="28">
        <f>I158-J158</f>
        <v>310181325.00870436</v>
      </c>
      <c r="R158" s="28">
        <f>'Purchased Power Model - WN'!Q158</f>
        <v>308257514.06117672</v>
      </c>
      <c r="S158" s="274">
        <f t="shared" si="42"/>
        <v>0.99379778602895041</v>
      </c>
      <c r="T158" s="38">
        <f t="shared" si="43"/>
        <v>1219871.0087043643</v>
      </c>
      <c r="U158" s="5">
        <f t="shared" si="44"/>
        <v>3.9482951446246249E-3</v>
      </c>
      <c r="Z158"/>
      <c r="AA158"/>
      <c r="AB158"/>
      <c r="AC158"/>
      <c r="AD158"/>
      <c r="AE158"/>
      <c r="AF158"/>
      <c r="AG158"/>
    </row>
    <row r="159" spans="1:35" s="33" customFormat="1">
      <c r="A159" s="17">
        <v>2016</v>
      </c>
      <c r="B159" s="28">
        <f>SUM(B99:B110)</f>
        <v>302232068</v>
      </c>
      <c r="C159" s="24"/>
      <c r="D159" s="24"/>
      <c r="E159" s="28">
        <f>SUM(E99:E110)</f>
        <v>14589489.512789063</v>
      </c>
      <c r="F159" s="28">
        <f>SUM(F99:F110)</f>
        <v>316821557.51278907</v>
      </c>
      <c r="G159" s="28"/>
      <c r="H159" s="100"/>
      <c r="I159" s="28">
        <f>SUM($Q$99:$Q$110)</f>
        <v>319966731.33954185</v>
      </c>
      <c r="J159" s="386">
        <f t="shared" si="45"/>
        <v>14589489.512789063</v>
      </c>
      <c r="K159" s="24"/>
      <c r="L159" s="36"/>
      <c r="M159" s="36"/>
      <c r="N159" s="24"/>
      <c r="O159" s="36"/>
      <c r="P159" s="36"/>
      <c r="Q159" s="28">
        <f>I159-J159</f>
        <v>305377241.82675278</v>
      </c>
      <c r="R159" s="28">
        <f>'Purchased Power Model - WN'!Q159</f>
        <v>305319744.26281667</v>
      </c>
      <c r="S159" s="274">
        <f t="shared" si="42"/>
        <v>0.99981171627724397</v>
      </c>
      <c r="T159" s="38">
        <f t="shared" si="43"/>
        <v>3145173.8267527819</v>
      </c>
      <c r="U159" s="5">
        <f t="shared" si="44"/>
        <v>1.0406486140156318E-2</v>
      </c>
      <c r="Z159"/>
      <c r="AA159"/>
      <c r="AB159"/>
      <c r="AC159"/>
      <c r="AD159"/>
      <c r="AE159"/>
      <c r="AF159"/>
      <c r="AG159"/>
    </row>
    <row r="160" spans="1:35" s="33" customFormat="1">
      <c r="A160" s="17">
        <v>2017</v>
      </c>
      <c r="B160" s="28">
        <f>SUM(B111:B122)</f>
        <v>297287399</v>
      </c>
      <c r="C160" s="24"/>
      <c r="D160" s="24"/>
      <c r="E160" s="28">
        <f>SUM(E111:E122)</f>
        <v>14967787.960523363</v>
      </c>
      <c r="F160" s="28">
        <f>SUM(F111:F122)</f>
        <v>312255186.96052343</v>
      </c>
      <c r="G160" s="100"/>
      <c r="H160" s="100"/>
      <c r="I160" s="28">
        <f>SUM($Q$111:$Q$122)</f>
        <v>315008355.27679497</v>
      </c>
      <c r="J160" s="386">
        <f t="shared" si="45"/>
        <v>14967787.960523363</v>
      </c>
      <c r="K160" s="24"/>
      <c r="L160" s="36"/>
      <c r="M160" s="36"/>
      <c r="N160" s="24"/>
      <c r="O160" s="36"/>
      <c r="P160" s="36"/>
      <c r="Q160" s="28">
        <f>I160-J160</f>
        <v>300040567.3162716</v>
      </c>
      <c r="R160" s="28">
        <f>'Purchased Power Model - WN'!Q160</f>
        <v>304258944.35563916</v>
      </c>
      <c r="S160" s="274">
        <f t="shared" si="42"/>
        <v>1.0140593556301372</v>
      </c>
      <c r="T160" s="38">
        <f t="shared" si="43"/>
        <v>2753168.3162716031</v>
      </c>
      <c r="U160" s="5">
        <f t="shared" si="44"/>
        <v>9.2609654009304411E-3</v>
      </c>
      <c r="Z160"/>
      <c r="AA160"/>
      <c r="AB160"/>
      <c r="AC160"/>
      <c r="AD160"/>
      <c r="AE160"/>
      <c r="AF160"/>
      <c r="AG160"/>
    </row>
    <row r="161" spans="1:33" s="33" customFormat="1">
      <c r="A161">
        <v>2018</v>
      </c>
      <c r="B161" s="28"/>
      <c r="C161" s="24"/>
      <c r="D161" s="24"/>
      <c r="E161" s="28">
        <f>SUM(E123:E134)</f>
        <v>15545473.506877635</v>
      </c>
      <c r="F161" s="28"/>
      <c r="G161" s="100"/>
      <c r="H161" s="100"/>
      <c r="I161" s="28">
        <f>SUM($Q$123:$Q$134)</f>
        <v>319226732.31616253</v>
      </c>
      <c r="J161" s="386">
        <f t="shared" si="45"/>
        <v>15545473.506877635</v>
      </c>
      <c r="K161" s="24"/>
      <c r="L161" s="36"/>
      <c r="M161" s="36"/>
      <c r="N161" s="24"/>
      <c r="O161" s="36"/>
      <c r="P161" s="36"/>
      <c r="Q161" s="28">
        <f>I161-J161</f>
        <v>303681258.80928487</v>
      </c>
      <c r="R161" s="28">
        <f>'Purchased Power Model - WN'!Q161</f>
        <v>303681258.80928487</v>
      </c>
      <c r="S161" s="274">
        <f t="shared" si="42"/>
        <v>1</v>
      </c>
      <c r="Z161"/>
      <c r="AA161"/>
      <c r="AB161"/>
      <c r="AC161"/>
      <c r="AD161"/>
      <c r="AE161"/>
      <c r="AF161"/>
      <c r="AG161"/>
    </row>
    <row r="162" spans="1:33" s="33" customFormat="1">
      <c r="A162" s="17">
        <v>2019</v>
      </c>
      <c r="B162" s="28"/>
      <c r="C162" s="24"/>
      <c r="D162" s="24"/>
      <c r="E162" s="28">
        <f>SUM(E135:E146)</f>
        <v>15472269.754479228</v>
      </c>
      <c r="F162" s="28"/>
      <c r="G162" s="100"/>
      <c r="H162" s="100"/>
      <c r="I162" s="28">
        <f>SUM($Q$135:$Q$146)</f>
        <v>319226732.31616253</v>
      </c>
      <c r="J162" s="386">
        <f t="shared" si="45"/>
        <v>15472269.754479228</v>
      </c>
      <c r="K162" s="24"/>
      <c r="L162" s="36"/>
      <c r="M162" s="36"/>
      <c r="N162" s="24"/>
      <c r="O162" s="36"/>
      <c r="P162" s="36"/>
      <c r="Q162" s="28">
        <f>I162-J162</f>
        <v>303754462.5616833</v>
      </c>
      <c r="R162" s="28">
        <f>'Purchased Power Model - WN'!Q162</f>
        <v>303754462.5616833</v>
      </c>
      <c r="S162" s="274">
        <f t="shared" si="42"/>
        <v>1</v>
      </c>
      <c r="Z162"/>
      <c r="AA162"/>
      <c r="AB162"/>
      <c r="AC162"/>
      <c r="AD162"/>
      <c r="AE162"/>
      <c r="AF162"/>
      <c r="AG162"/>
    </row>
    <row r="163" spans="1:33" s="33" customFormat="1">
      <c r="A163"/>
      <c r="B163"/>
      <c r="C163"/>
      <c r="D163"/>
      <c r="E163"/>
      <c r="F163"/>
      <c r="G163"/>
      <c r="H163"/>
      <c r="I163"/>
      <c r="J163"/>
      <c r="K163"/>
      <c r="L163"/>
      <c r="M163"/>
      <c r="N163"/>
      <c r="O163"/>
      <c r="P163"/>
      <c r="Q163"/>
      <c r="R163"/>
      <c r="Z163"/>
      <c r="AA163"/>
      <c r="AB163"/>
      <c r="AC163"/>
      <c r="AD163"/>
      <c r="AE163"/>
      <c r="AF163"/>
      <c r="AG163"/>
    </row>
    <row r="164" spans="1:33" s="33" customFormat="1">
      <c r="A164" s="105" t="s">
        <v>164</v>
      </c>
      <c r="B164" s="28">
        <f>SUM(B151:B160)</f>
        <v>3122066071.8015566</v>
      </c>
      <c r="C164" s="24"/>
      <c r="D164" s="24"/>
      <c r="E164" s="28">
        <f>SUM(E151:E162)</f>
        <v>103266498.99975657</v>
      </c>
      <c r="F164" s="28">
        <f>SUM(F151:F160)</f>
        <v>3194314827.5399561</v>
      </c>
      <c r="G164" s="100"/>
      <c r="H164" s="100"/>
      <c r="I164" s="28">
        <f>SUM(I151:I160)</f>
        <v>3194314827.5399547</v>
      </c>
      <c r="J164" s="386">
        <f>I164-F164</f>
        <v>0</v>
      </c>
      <c r="K164" s="24"/>
      <c r="L164" s="36"/>
      <c r="M164" s="36"/>
      <c r="N164" s="24"/>
      <c r="O164" s="36"/>
      <c r="P164" s="36"/>
      <c r="Q164" s="28"/>
      <c r="R164" s="6"/>
      <c r="Z164"/>
      <c r="AA164"/>
      <c r="AB164"/>
      <c r="AC164"/>
      <c r="AD164"/>
      <c r="AE164"/>
      <c r="AF164"/>
      <c r="AG164"/>
    </row>
    <row r="165" spans="1:33" s="33" customFormat="1">
      <c r="A165"/>
      <c r="B165" s="28"/>
      <c r="C165" s="24"/>
      <c r="D165" s="24"/>
      <c r="E165" s="28">
        <f>SUM(E151:E160)</f>
        <v>72248755.738399714</v>
      </c>
      <c r="F165" s="28"/>
      <c r="G165" s="100"/>
      <c r="H165" s="100"/>
      <c r="I165" s="387"/>
      <c r="J165" s="1"/>
      <c r="K165" s="24"/>
      <c r="L165" s="36"/>
      <c r="M165" s="36"/>
      <c r="N165" s="24"/>
      <c r="O165" s="36"/>
      <c r="P165" s="36"/>
      <c r="Q165" s="1"/>
      <c r="R165" s="110"/>
      <c r="Z165"/>
      <c r="AA165"/>
      <c r="AB165"/>
      <c r="AC165"/>
      <c r="AD165"/>
      <c r="AE165"/>
      <c r="AF165"/>
      <c r="AG165"/>
    </row>
    <row r="166" spans="1:33" s="33" customFormat="1">
      <c r="A166"/>
      <c r="B166" s="28"/>
      <c r="C166" s="24"/>
      <c r="D166" s="24"/>
      <c r="E166" s="28"/>
      <c r="F166" s="28"/>
      <c r="G166" s="100"/>
      <c r="H166" s="100"/>
      <c r="I166" s="386">
        <f>SUM(I151:I162)</f>
        <v>3832768292.1722798</v>
      </c>
      <c r="J166" s="386">
        <f>I166-Q148</f>
        <v>0</v>
      </c>
      <c r="K166" s="24"/>
      <c r="L166" s="36"/>
      <c r="M166" s="36"/>
      <c r="N166" s="24"/>
      <c r="O166" s="36"/>
      <c r="P166" s="36"/>
      <c r="Q166" s="6"/>
      <c r="R166" s="50"/>
      <c r="Z166"/>
      <c r="AA166"/>
      <c r="AB166"/>
      <c r="AC166"/>
      <c r="AD166"/>
      <c r="AE166"/>
      <c r="AF166"/>
      <c r="AG166"/>
    </row>
    <row r="167" spans="1:33" s="33" customFormat="1">
      <c r="A167"/>
      <c r="B167" s="28"/>
      <c r="C167" s="24"/>
      <c r="D167" s="24"/>
      <c r="E167" s="28"/>
      <c r="F167" s="28"/>
      <c r="G167" s="100"/>
      <c r="H167" s="100"/>
      <c r="I167" s="109"/>
      <c r="J167" s="389" t="s">
        <v>351</v>
      </c>
      <c r="K167" s="24"/>
      <c r="L167"/>
      <c r="M167"/>
      <c r="N167" s="24"/>
      <c r="O167"/>
      <c r="P167"/>
      <c r="Q167" s="19"/>
      <c r="S167"/>
      <c r="Z167"/>
      <c r="AA167"/>
      <c r="AB167"/>
      <c r="AC167"/>
      <c r="AD167"/>
      <c r="AE167"/>
      <c r="AF167"/>
      <c r="AG167"/>
    </row>
    <row r="168" spans="1:33" s="33" customFormat="1">
      <c r="A168"/>
      <c r="B168" s="28"/>
      <c r="C168" s="24"/>
      <c r="D168" s="24"/>
      <c r="E168" s="28"/>
      <c r="F168" s="28"/>
      <c r="G168" s="100"/>
      <c r="H168" s="100"/>
      <c r="I168" s="1"/>
      <c r="J168" s="1"/>
      <c r="K168" s="24"/>
      <c r="L168" s="36"/>
      <c r="M168" s="36"/>
      <c r="N168" s="24"/>
      <c r="O168" s="36"/>
      <c r="P168" s="36"/>
      <c r="Q168" s="1"/>
      <c r="R168" s="36"/>
      <c r="Z168"/>
      <c r="AA168"/>
      <c r="AB168"/>
      <c r="AC168"/>
      <c r="AD168"/>
      <c r="AE168"/>
      <c r="AF168"/>
      <c r="AG168"/>
    </row>
    <row r="169" spans="1:33" s="33" customFormat="1">
      <c r="A169"/>
      <c r="B169" s="28" t="s">
        <v>90</v>
      </c>
      <c r="C169" s="24"/>
      <c r="D169" s="24"/>
      <c r="E169" s="28"/>
      <c r="F169" s="28"/>
      <c r="G169" s="100"/>
      <c r="H169" s="100"/>
      <c r="I169" s="1"/>
      <c r="J169" s="1"/>
      <c r="K169" s="24"/>
      <c r="L169" s="36"/>
      <c r="M169" s="36"/>
      <c r="N169" s="24"/>
      <c r="O169" s="36"/>
      <c r="P169" s="36"/>
      <c r="Q169" s="1"/>
      <c r="R169" s="36"/>
      <c r="S169" s="24"/>
      <c r="Z169"/>
      <c r="AA169"/>
      <c r="AB169"/>
      <c r="AC169"/>
      <c r="AD169"/>
      <c r="AE169"/>
      <c r="AF169"/>
      <c r="AG169"/>
    </row>
    <row r="170" spans="1:33" s="33" customFormat="1">
      <c r="A170" s="3">
        <v>43466</v>
      </c>
      <c r="B170" s="28"/>
      <c r="C170" s="87">
        <f t="shared" ref="C170" si="46">C135</f>
        <v>1262660.9258392768</v>
      </c>
      <c r="D170" s="87"/>
      <c r="E170" s="28"/>
      <c r="F170" s="28"/>
      <c r="G170" s="101">
        <f>'Weather Analysis'!AC8</f>
        <v>755.56968492660235</v>
      </c>
      <c r="H170" s="101">
        <f>'Weather Analysis'!AC28</f>
        <v>0</v>
      </c>
      <c r="I170" s="87">
        <f t="shared" ref="I170:K171" si="47">I135</f>
        <v>31</v>
      </c>
      <c r="J170" s="87">
        <f t="shared" si="47"/>
        <v>0</v>
      </c>
      <c r="K170" s="87">
        <f t="shared" si="47"/>
        <v>133</v>
      </c>
      <c r="L170" s="88"/>
      <c r="M170" s="88"/>
      <c r="N170" s="87"/>
      <c r="O170" s="88"/>
      <c r="P170" s="88"/>
      <c r="Q170" s="87">
        <f t="shared" ref="Q170:Q181" si="48">$V$18+G170*$V$19+H170*$V$20+I170*$V$21+J170*$V$22+K170*$V$23</f>
        <v>32494721.967929896</v>
      </c>
      <c r="R170" s="36"/>
      <c r="S170" s="24"/>
      <c r="Z170"/>
      <c r="AA170"/>
      <c r="AB170"/>
      <c r="AC170"/>
      <c r="AD170"/>
      <c r="AE170"/>
      <c r="AF170"/>
      <c r="AG170"/>
    </row>
    <row r="171" spans="1:33" s="33" customFormat="1">
      <c r="A171" s="3">
        <v>43497</v>
      </c>
      <c r="B171" s="28"/>
      <c r="C171" s="87">
        <f t="shared" ref="C171:C181" si="49">C136</f>
        <v>1251661.9598935519</v>
      </c>
      <c r="D171" s="87"/>
      <c r="E171" s="28"/>
      <c r="F171" s="28"/>
      <c r="G171" s="101">
        <f>'Weather Analysis'!AC9</f>
        <v>782.74221267454323</v>
      </c>
      <c r="H171" s="101">
        <f>'Weather Analysis'!AC29</f>
        <v>0</v>
      </c>
      <c r="I171" s="87">
        <f t="shared" si="47"/>
        <v>28</v>
      </c>
      <c r="J171" s="87">
        <f t="shared" si="47"/>
        <v>0</v>
      </c>
      <c r="K171" s="87">
        <f t="shared" si="47"/>
        <v>134</v>
      </c>
      <c r="L171" s="88"/>
      <c r="M171" s="88"/>
      <c r="N171" s="87"/>
      <c r="O171" s="88"/>
      <c r="P171" s="88"/>
      <c r="Q171" s="87">
        <f t="shared" si="48"/>
        <v>30824512.602730758</v>
      </c>
      <c r="R171" s="36"/>
      <c r="S171" s="24"/>
      <c r="Z171"/>
      <c r="AA171"/>
      <c r="AB171"/>
      <c r="AC171"/>
      <c r="AD171"/>
      <c r="AE171"/>
      <c r="AF171"/>
      <c r="AG171"/>
    </row>
    <row r="172" spans="1:33" s="33" customFormat="1">
      <c r="A172" s="3">
        <v>43525</v>
      </c>
      <c r="B172" s="28"/>
      <c r="C172" s="87">
        <f t="shared" si="49"/>
        <v>1240662.993947827</v>
      </c>
      <c r="D172" s="87"/>
      <c r="E172" s="28"/>
      <c r="F172" s="28"/>
      <c r="G172" s="101">
        <f>'Weather Analysis'!AC10</f>
        <v>643.01898317221594</v>
      </c>
      <c r="H172" s="101">
        <f>'Weather Analysis'!AC30</f>
        <v>0</v>
      </c>
      <c r="I172" s="87">
        <f t="shared" ref="I172:J181" si="50">I137</f>
        <v>31</v>
      </c>
      <c r="J172" s="87">
        <f t="shared" si="50"/>
        <v>1</v>
      </c>
      <c r="K172" s="87">
        <f t="shared" ref="K172" si="51">K137</f>
        <v>135</v>
      </c>
      <c r="L172" s="88"/>
      <c r="M172" s="88"/>
      <c r="N172" s="87"/>
      <c r="O172" s="88"/>
      <c r="P172" s="88"/>
      <c r="Q172" s="87">
        <f t="shared" si="48"/>
        <v>29616192.550782494</v>
      </c>
      <c r="R172" s="36"/>
      <c r="S172" s="24"/>
      <c r="Z172"/>
      <c r="AA172"/>
      <c r="AB172"/>
      <c r="AC172"/>
      <c r="AD172"/>
      <c r="AE172"/>
      <c r="AF172"/>
      <c r="AG172"/>
    </row>
    <row r="173" spans="1:33" s="33" customFormat="1">
      <c r="A173" s="3">
        <v>43556</v>
      </c>
      <c r="B173" s="28"/>
      <c r="C173" s="87">
        <f t="shared" si="49"/>
        <v>1229664.0280021022</v>
      </c>
      <c r="D173" s="87"/>
      <c r="E173" s="28"/>
      <c r="F173" s="28"/>
      <c r="G173" s="101">
        <f>'Weather Analysis'!AC11</f>
        <v>390.75904403866787</v>
      </c>
      <c r="H173" s="101">
        <f>'Weather Analysis'!AC31</f>
        <v>-0.12969924812030342</v>
      </c>
      <c r="I173" s="87">
        <f t="shared" si="50"/>
        <v>30</v>
      </c>
      <c r="J173" s="87">
        <f t="shared" si="50"/>
        <v>1</v>
      </c>
      <c r="K173" s="87">
        <f t="shared" ref="K173" si="52">K138</f>
        <v>136</v>
      </c>
      <c r="L173" s="88"/>
      <c r="M173" s="88"/>
      <c r="N173" s="87"/>
      <c r="O173" s="88"/>
      <c r="P173" s="88"/>
      <c r="Q173" s="87">
        <f t="shared" si="48"/>
        <v>25425294.737576567</v>
      </c>
      <c r="R173" s="36"/>
      <c r="S173" s="24"/>
      <c r="Z173"/>
      <c r="AA173"/>
      <c r="AB173"/>
      <c r="AC173"/>
      <c r="AD173"/>
      <c r="AE173"/>
      <c r="AF173"/>
      <c r="AG173"/>
    </row>
    <row r="174" spans="1:33" s="33" customFormat="1">
      <c r="A174" s="3">
        <v>43586</v>
      </c>
      <c r="B174" s="28"/>
      <c r="C174" s="87">
        <f t="shared" si="49"/>
        <v>1218665.0620563773</v>
      </c>
      <c r="D174" s="87"/>
      <c r="E174" s="28"/>
      <c r="F174" s="28"/>
      <c r="G174" s="101">
        <f>'Weather Analysis'!AC12</f>
        <v>205.78646616541346</v>
      </c>
      <c r="H174" s="101">
        <f>'Weather Analysis'!AC32</f>
        <v>12.756541353383454</v>
      </c>
      <c r="I174" s="87">
        <f t="shared" si="50"/>
        <v>31</v>
      </c>
      <c r="J174" s="87">
        <f t="shared" si="50"/>
        <v>1</v>
      </c>
      <c r="K174" s="87">
        <f t="shared" ref="K174" si="53">K139</f>
        <v>137</v>
      </c>
      <c r="L174" s="88"/>
      <c r="M174" s="88"/>
      <c r="N174" s="87"/>
      <c r="O174" s="88"/>
      <c r="P174" s="88"/>
      <c r="Q174" s="87">
        <f t="shared" si="48"/>
        <v>24108291.690141175</v>
      </c>
      <c r="R174" s="36"/>
      <c r="S174" s="24"/>
      <c r="Z174"/>
      <c r="AA174"/>
      <c r="AB174"/>
      <c r="AC174"/>
      <c r="AD174"/>
      <c r="AE174"/>
      <c r="AF174"/>
      <c r="AG174"/>
    </row>
    <row r="175" spans="1:33">
      <c r="A175" s="3">
        <v>43617</v>
      </c>
      <c r="C175" s="87">
        <f t="shared" si="49"/>
        <v>1207666.0961106524</v>
      </c>
      <c r="D175" s="87"/>
      <c r="G175" s="101">
        <f>'Weather Analysis'!AC13</f>
        <v>65.881131399928449</v>
      </c>
      <c r="H175" s="101">
        <f>'Weather Analysis'!AC33</f>
        <v>19.404812030075163</v>
      </c>
      <c r="I175" s="87">
        <f t="shared" si="50"/>
        <v>30</v>
      </c>
      <c r="J175" s="87">
        <f t="shared" si="50"/>
        <v>0</v>
      </c>
      <c r="K175" s="87">
        <f t="shared" ref="K175" si="54">K140</f>
        <v>138</v>
      </c>
      <c r="L175" s="88"/>
      <c r="M175" s="88"/>
      <c r="N175" s="87"/>
      <c r="O175" s="88"/>
      <c r="P175" s="88"/>
      <c r="Q175" s="87">
        <f t="shared" si="48"/>
        <v>23092417.636327073</v>
      </c>
      <c r="R175" s="36"/>
      <c r="S175"/>
      <c r="T175"/>
      <c r="U175"/>
    </row>
    <row r="176" spans="1:33" s="33" customFormat="1">
      <c r="A176" s="3">
        <v>43647</v>
      </c>
      <c r="B176" s="28"/>
      <c r="C176" s="87">
        <f t="shared" si="49"/>
        <v>1196667.1301649276</v>
      </c>
      <c r="D176" s="87"/>
      <c r="E176" s="28"/>
      <c r="F176" s="28"/>
      <c r="G176" s="101">
        <f>'Weather Analysis'!AC14</f>
        <v>21.02228428213391</v>
      </c>
      <c r="H176" s="101">
        <f>'Weather Analysis'!AC34</f>
        <v>65.23195488721808</v>
      </c>
      <c r="I176" s="87">
        <f t="shared" si="50"/>
        <v>31</v>
      </c>
      <c r="J176" s="87">
        <f t="shared" si="50"/>
        <v>0</v>
      </c>
      <c r="K176" s="87">
        <f t="shared" ref="K176" si="55">K141</f>
        <v>139</v>
      </c>
      <c r="L176" s="88"/>
      <c r="M176" s="88"/>
      <c r="N176" s="87"/>
      <c r="O176" s="88"/>
      <c r="P176" s="88"/>
      <c r="Q176" s="87">
        <f t="shared" si="48"/>
        <v>25175110.898968205</v>
      </c>
      <c r="R176" s="36"/>
      <c r="S176" s="24"/>
      <c r="Z176"/>
      <c r="AA176"/>
      <c r="AB176"/>
      <c r="AC176"/>
      <c r="AD176"/>
      <c r="AE176"/>
      <c r="AF176"/>
      <c r="AG176"/>
    </row>
    <row r="177" spans="1:35" s="33" customFormat="1">
      <c r="A177" s="3">
        <v>43678</v>
      </c>
      <c r="B177" s="28"/>
      <c r="C177" s="87">
        <f t="shared" si="49"/>
        <v>1185668.1642192027</v>
      </c>
      <c r="D177" s="87"/>
      <c r="E177" s="28"/>
      <c r="F177" s="28"/>
      <c r="G177" s="101">
        <f>'Weather Analysis'!AC15</f>
        <v>37.470837808807687</v>
      </c>
      <c r="H177" s="101">
        <f>'Weather Analysis'!AC35</f>
        <v>45.260601503759347</v>
      </c>
      <c r="I177" s="87">
        <f t="shared" si="50"/>
        <v>31</v>
      </c>
      <c r="J177" s="87">
        <f t="shared" si="50"/>
        <v>0</v>
      </c>
      <c r="K177" s="87">
        <f t="shared" ref="K177" si="56">K142</f>
        <v>140</v>
      </c>
      <c r="L177" s="88"/>
      <c r="M177" s="88"/>
      <c r="N177" s="87"/>
      <c r="O177" s="88"/>
      <c r="P177" s="88"/>
      <c r="Q177" s="87">
        <f t="shared" si="48"/>
        <v>24521855.457720924</v>
      </c>
      <c r="R177" s="36"/>
      <c r="S177" s="24"/>
      <c r="Z177"/>
      <c r="AA177"/>
      <c r="AB177"/>
      <c r="AC177"/>
      <c r="AD177"/>
      <c r="AE177"/>
      <c r="AF177"/>
      <c r="AG177"/>
    </row>
    <row r="178" spans="1:35" s="33" customFormat="1">
      <c r="A178" s="3">
        <v>43709</v>
      </c>
      <c r="B178" s="28"/>
      <c r="C178" s="87">
        <f t="shared" si="49"/>
        <v>1174669.1982734778</v>
      </c>
      <c r="D178" s="87"/>
      <c r="E178" s="28"/>
      <c r="F178" s="28"/>
      <c r="G178" s="101">
        <f>'Weather Analysis'!AC16</f>
        <v>110.70053347654857</v>
      </c>
      <c r="H178" s="101">
        <f>'Weather Analysis'!AC36</f>
        <v>16.821879699248029</v>
      </c>
      <c r="I178" s="87">
        <f t="shared" si="50"/>
        <v>30</v>
      </c>
      <c r="J178" s="87">
        <f t="shared" si="50"/>
        <v>1</v>
      </c>
      <c r="K178" s="87">
        <f t="shared" ref="K178" si="57">K143</f>
        <v>141</v>
      </c>
      <c r="L178" s="88"/>
      <c r="M178" s="88"/>
      <c r="N178" s="87"/>
      <c r="O178" s="88"/>
      <c r="P178" s="88"/>
      <c r="Q178" s="87">
        <f t="shared" si="48"/>
        <v>22284973.012628771</v>
      </c>
      <c r="R178" s="36"/>
      <c r="S178" s="24"/>
      <c r="Z178"/>
      <c r="AA178"/>
      <c r="AB178"/>
      <c r="AC178"/>
      <c r="AD178"/>
      <c r="AE178"/>
      <c r="AF178"/>
      <c r="AG178"/>
    </row>
    <row r="179" spans="1:35" s="33" customFormat="1">
      <c r="A179" s="3">
        <v>43739</v>
      </c>
      <c r="B179" s="28"/>
      <c r="C179" s="87">
        <f t="shared" si="49"/>
        <v>1163670.232327753</v>
      </c>
      <c r="D179" s="87"/>
      <c r="E179" s="28"/>
      <c r="F179" s="28"/>
      <c r="G179" s="101">
        <f>'Weather Analysis'!AC17</f>
        <v>284.00799140708932</v>
      </c>
      <c r="H179" s="101">
        <f>'Weather Analysis'!AC37</f>
        <v>8.1879699248119664E-2</v>
      </c>
      <c r="I179" s="87">
        <f t="shared" si="50"/>
        <v>31</v>
      </c>
      <c r="J179" s="87">
        <f t="shared" si="50"/>
        <v>1</v>
      </c>
      <c r="K179" s="87">
        <f t="shared" ref="K179" si="58">K144</f>
        <v>142</v>
      </c>
      <c r="L179" s="88"/>
      <c r="M179" s="88"/>
      <c r="N179" s="87"/>
      <c r="O179" s="88"/>
      <c r="P179" s="88"/>
      <c r="Q179" s="87">
        <f t="shared" si="48"/>
        <v>24634880.556746002</v>
      </c>
      <c r="R179" s="36"/>
      <c r="Z179"/>
      <c r="AA179"/>
      <c r="AB179"/>
      <c r="AC179"/>
      <c r="AD179"/>
      <c r="AE179"/>
      <c r="AF179"/>
      <c r="AG179"/>
    </row>
    <row r="180" spans="1:35" s="33" customFormat="1">
      <c r="A180" s="3">
        <v>43770</v>
      </c>
      <c r="B180" s="28"/>
      <c r="C180" s="87">
        <f t="shared" si="49"/>
        <v>1152671.2663820281</v>
      </c>
      <c r="D180" s="87"/>
      <c r="E180" s="28"/>
      <c r="F180" s="28"/>
      <c r="G180" s="101">
        <f>'Weather Analysis'!AC18</f>
        <v>449.04982098102482</v>
      </c>
      <c r="H180" s="101">
        <f>'Weather Analysis'!AC38</f>
        <v>0</v>
      </c>
      <c r="I180" s="87">
        <f t="shared" si="50"/>
        <v>30</v>
      </c>
      <c r="J180" s="87">
        <f t="shared" si="50"/>
        <v>1</v>
      </c>
      <c r="K180" s="87">
        <f t="shared" ref="K180" si="59">K145</f>
        <v>143</v>
      </c>
      <c r="L180" s="88"/>
      <c r="M180" s="88"/>
      <c r="N180" s="87"/>
      <c r="O180" s="88"/>
      <c r="P180" s="88"/>
      <c r="Q180" s="87">
        <f t="shared" si="48"/>
        <v>26240397.398727726</v>
      </c>
      <c r="R180" s="36"/>
      <c r="S180" s="24"/>
      <c r="Z180"/>
      <c r="AA180"/>
      <c r="AB180"/>
      <c r="AC180"/>
      <c r="AD180"/>
      <c r="AE180"/>
      <c r="AF180"/>
      <c r="AG180"/>
    </row>
    <row r="181" spans="1:35" s="33" customFormat="1">
      <c r="A181" s="3">
        <v>43800</v>
      </c>
      <c r="B181" s="28"/>
      <c r="C181" s="87">
        <f t="shared" si="49"/>
        <v>1141672.3004363033</v>
      </c>
      <c r="D181" s="87"/>
      <c r="E181" s="28"/>
      <c r="F181" s="28"/>
      <c r="G181" s="101">
        <f>'Weather Analysis'!AC19</f>
        <v>702.41429645542394</v>
      </c>
      <c r="H181" s="101">
        <f>'Weather Analysis'!AC39</f>
        <v>0</v>
      </c>
      <c r="I181" s="87">
        <f t="shared" si="50"/>
        <v>31</v>
      </c>
      <c r="J181" s="87">
        <f t="shared" si="50"/>
        <v>0</v>
      </c>
      <c r="K181" s="87">
        <f t="shared" ref="K181" si="60">K146</f>
        <v>144</v>
      </c>
      <c r="L181" s="88"/>
      <c r="M181" s="88"/>
      <c r="N181" s="87"/>
      <c r="O181" s="88"/>
      <c r="P181" s="88"/>
      <c r="Q181" s="87">
        <f t="shared" si="48"/>
        <v>31756650.663808733</v>
      </c>
      <c r="R181" s="6">
        <f>SUM(Q170:Q181)</f>
        <v>320175299.17408836</v>
      </c>
      <c r="S181" s="24"/>
      <c r="Z181"/>
      <c r="AA181"/>
      <c r="AB181"/>
      <c r="AC181"/>
      <c r="AD181"/>
      <c r="AE181"/>
      <c r="AF181"/>
      <c r="AG181"/>
    </row>
    <row r="182" spans="1:35" s="33" customFormat="1">
      <c r="A182"/>
      <c r="B182" s="28"/>
      <c r="C182" s="24"/>
      <c r="D182" s="24"/>
      <c r="E182" s="28"/>
      <c r="F182" s="28"/>
      <c r="G182" s="100"/>
      <c r="H182" s="100"/>
      <c r="I182" s="1"/>
      <c r="J182" s="1"/>
      <c r="K182" s="24"/>
      <c r="L182" s="36"/>
      <c r="M182" s="36"/>
      <c r="N182" s="24"/>
      <c r="O182" s="36"/>
      <c r="P182" s="36"/>
      <c r="Q182" s="1"/>
      <c r="R182" s="283"/>
      <c r="S182" s="283"/>
      <c r="T182" s="36"/>
      <c r="U182" s="24"/>
      <c r="AB182"/>
      <c r="AC182"/>
      <c r="AD182"/>
      <c r="AE182"/>
      <c r="AF182"/>
      <c r="AG182"/>
      <c r="AH182"/>
      <c r="AI182"/>
    </row>
    <row r="183" spans="1:35" s="33" customFormat="1">
      <c r="A183"/>
      <c r="B183" s="28"/>
      <c r="C183" s="24"/>
      <c r="D183" s="24"/>
      <c r="E183" s="28"/>
      <c r="F183" s="28"/>
      <c r="G183" s="100"/>
      <c r="H183" s="100"/>
      <c r="I183" s="1"/>
      <c r="J183" s="1"/>
      <c r="K183" s="24"/>
      <c r="L183" s="36"/>
      <c r="M183" s="36"/>
      <c r="N183" s="24"/>
      <c r="O183" s="36"/>
      <c r="P183" s="36"/>
      <c r="Q183" s="1"/>
      <c r="R183" s="283"/>
      <c r="S183" s="283"/>
      <c r="T183" s="36"/>
      <c r="U183" s="24"/>
      <c r="AB183"/>
      <c r="AC183"/>
      <c r="AD183"/>
      <c r="AE183"/>
      <c r="AF183"/>
      <c r="AG183"/>
      <c r="AH183"/>
      <c r="AI183"/>
    </row>
    <row r="184" spans="1:35" s="33" customFormat="1">
      <c r="A184"/>
      <c r="B184" s="28"/>
      <c r="C184" s="24"/>
      <c r="D184" s="24"/>
      <c r="E184" s="28"/>
      <c r="F184" s="28"/>
      <c r="G184" s="100"/>
      <c r="H184" s="100"/>
      <c r="I184" s="1"/>
      <c r="J184" s="1"/>
      <c r="K184" s="24"/>
      <c r="L184" s="36"/>
      <c r="M184" s="36"/>
      <c r="N184" s="24"/>
      <c r="O184" s="36"/>
      <c r="P184" s="36"/>
      <c r="Q184" s="1"/>
      <c r="R184" s="283"/>
      <c r="S184" s="283"/>
      <c r="T184" s="36"/>
      <c r="U184" s="24"/>
      <c r="AB184"/>
      <c r="AC184"/>
      <c r="AD184"/>
      <c r="AE184"/>
      <c r="AF184"/>
      <c r="AG184"/>
      <c r="AH184"/>
      <c r="AI184"/>
    </row>
    <row r="185" spans="1:35" s="33" customFormat="1">
      <c r="A185"/>
      <c r="B185" s="28"/>
      <c r="C185" s="24"/>
      <c r="D185" s="24"/>
      <c r="E185" s="28"/>
      <c r="F185" s="28"/>
      <c r="G185" s="100"/>
      <c r="H185" s="100"/>
      <c r="I185" s="1"/>
      <c r="J185" s="1"/>
      <c r="K185" s="24"/>
      <c r="L185" s="36"/>
      <c r="M185" s="36"/>
      <c r="N185" s="24"/>
      <c r="O185" s="36"/>
      <c r="P185" s="36"/>
      <c r="Q185" s="1"/>
      <c r="R185" s="283"/>
      <c r="S185" s="283"/>
      <c r="T185" s="36"/>
      <c r="U185" s="24"/>
      <c r="AB185"/>
      <c r="AC185"/>
      <c r="AD185"/>
      <c r="AE185"/>
      <c r="AF185"/>
      <c r="AG185"/>
      <c r="AH185"/>
      <c r="AI185"/>
    </row>
    <row r="186" spans="1:35" s="33" customFormat="1">
      <c r="A186"/>
      <c r="B186" s="28"/>
      <c r="C186" s="24"/>
      <c r="D186" s="24"/>
      <c r="E186" s="28"/>
      <c r="F186" s="28"/>
      <c r="G186" s="100"/>
      <c r="H186" s="100"/>
      <c r="I186" s="1"/>
      <c r="J186" s="1"/>
      <c r="K186" s="24"/>
      <c r="L186" s="36"/>
      <c r="M186" s="36"/>
      <c r="N186" s="24"/>
      <c r="O186" s="36"/>
      <c r="P186" s="36"/>
      <c r="Q186" s="1"/>
      <c r="R186" s="283"/>
      <c r="S186" s="283"/>
      <c r="T186" s="36"/>
      <c r="U186" s="24"/>
      <c r="AB186"/>
      <c r="AC186"/>
      <c r="AD186"/>
      <c r="AE186"/>
      <c r="AF186"/>
      <c r="AG186"/>
      <c r="AH186"/>
      <c r="AI186"/>
    </row>
    <row r="187" spans="1:35" s="33" customFormat="1">
      <c r="A187"/>
      <c r="B187" s="28"/>
      <c r="C187" s="24"/>
      <c r="D187" s="24"/>
      <c r="E187" s="28"/>
      <c r="F187" s="28"/>
      <c r="G187" s="100"/>
      <c r="H187" s="100"/>
      <c r="I187" s="1"/>
      <c r="J187" s="1"/>
      <c r="K187" s="24"/>
      <c r="L187" s="36"/>
      <c r="M187" s="36"/>
      <c r="N187" s="24"/>
      <c r="O187" s="36"/>
      <c r="P187" s="36"/>
      <c r="Q187" s="1"/>
      <c r="R187" s="283"/>
      <c r="S187" s="283"/>
      <c r="T187" s="36"/>
      <c r="U187" s="24"/>
      <c r="AB187"/>
      <c r="AC187"/>
      <c r="AD187"/>
      <c r="AE187"/>
      <c r="AF187"/>
      <c r="AG187"/>
      <c r="AH187"/>
      <c r="AI187"/>
    </row>
    <row r="188" spans="1:35" s="33" customFormat="1">
      <c r="A188"/>
      <c r="B188" s="28"/>
      <c r="C188" s="24"/>
      <c r="D188" s="24"/>
      <c r="E188" s="28"/>
      <c r="F188" s="28"/>
      <c r="G188" s="100"/>
      <c r="H188" s="100"/>
      <c r="I188" s="1"/>
      <c r="J188" s="1"/>
      <c r="K188" s="24"/>
      <c r="L188" s="36"/>
      <c r="M188" s="36"/>
      <c r="N188" s="24"/>
      <c r="O188" s="36"/>
      <c r="P188" s="36"/>
      <c r="Q188" s="1"/>
      <c r="R188" s="283"/>
      <c r="S188" s="283"/>
      <c r="T188" s="36"/>
      <c r="U188" s="24"/>
      <c r="AB188"/>
      <c r="AC188"/>
      <c r="AD188"/>
      <c r="AE188"/>
      <c r="AF188"/>
      <c r="AG188"/>
      <c r="AH188"/>
      <c r="AI188"/>
    </row>
    <row r="189" spans="1:35" s="33" customFormat="1">
      <c r="A189"/>
      <c r="B189" s="28"/>
      <c r="C189" s="24"/>
      <c r="D189" s="24"/>
      <c r="E189" s="28"/>
      <c r="F189" s="28"/>
      <c r="G189" s="100"/>
      <c r="H189" s="100"/>
      <c r="I189" s="1"/>
      <c r="J189" s="1"/>
      <c r="K189" s="24"/>
      <c r="L189" s="36"/>
      <c r="M189" s="36"/>
      <c r="N189" s="24"/>
      <c r="O189" s="36"/>
      <c r="P189" s="36"/>
      <c r="Q189" s="1"/>
      <c r="R189" s="283"/>
      <c r="S189" s="283"/>
      <c r="T189" s="36"/>
      <c r="U189" s="24"/>
      <c r="AB189"/>
      <c r="AC189"/>
      <c r="AD189"/>
      <c r="AE189"/>
      <c r="AF189"/>
      <c r="AG189"/>
      <c r="AH189"/>
      <c r="AI189"/>
    </row>
    <row r="190" spans="1:35" s="33" customFormat="1">
      <c r="A190"/>
      <c r="B190" s="28"/>
      <c r="C190" s="24"/>
      <c r="D190" s="24"/>
      <c r="E190" s="28"/>
      <c r="F190" s="28"/>
      <c r="G190" s="100"/>
      <c r="H190" s="100"/>
      <c r="I190" s="1"/>
      <c r="J190" s="1"/>
      <c r="K190" s="24"/>
      <c r="L190" s="36"/>
      <c r="M190" s="36"/>
      <c r="N190" s="24"/>
      <c r="O190" s="36"/>
      <c r="P190" s="36"/>
      <c r="Q190" s="1"/>
      <c r="R190" s="283"/>
      <c r="S190" s="283"/>
      <c r="T190" s="36"/>
      <c r="U190" s="24"/>
      <c r="AB190"/>
      <c r="AC190"/>
      <c r="AD190"/>
      <c r="AE190"/>
      <c r="AF190"/>
      <c r="AG190"/>
      <c r="AH190"/>
      <c r="AI190"/>
    </row>
    <row r="191" spans="1:35" s="33" customFormat="1">
      <c r="A191"/>
      <c r="B191" s="28"/>
      <c r="C191" s="24"/>
      <c r="D191" s="24"/>
      <c r="E191" s="28"/>
      <c r="F191" s="28"/>
      <c r="G191" s="100"/>
      <c r="H191" s="100"/>
      <c r="I191" s="1"/>
      <c r="J191" s="1"/>
      <c r="K191" s="24"/>
      <c r="L191" s="36"/>
      <c r="M191" s="36"/>
      <c r="N191" s="24"/>
      <c r="O191" s="36"/>
      <c r="P191" s="36"/>
      <c r="Q191" s="1"/>
      <c r="R191" s="283"/>
      <c r="S191" s="283"/>
      <c r="T191" s="36"/>
      <c r="U191" s="24"/>
      <c r="AB191"/>
      <c r="AC191"/>
      <c r="AD191"/>
      <c r="AE191"/>
      <c r="AF191"/>
      <c r="AG191"/>
      <c r="AH191"/>
      <c r="AI191"/>
    </row>
    <row r="192" spans="1:35" s="33" customFormat="1">
      <c r="A192"/>
      <c r="B192" s="28"/>
      <c r="C192" s="24"/>
      <c r="D192" s="24"/>
      <c r="E192" s="28"/>
      <c r="F192" s="28"/>
      <c r="G192" s="100"/>
      <c r="H192" s="100"/>
      <c r="I192" s="1"/>
      <c r="J192" s="1"/>
      <c r="K192" s="24"/>
      <c r="L192" s="36"/>
      <c r="M192" s="36"/>
      <c r="N192" s="24"/>
      <c r="O192" s="36"/>
      <c r="P192" s="36"/>
      <c r="Q192" s="1"/>
      <c r="R192" s="283"/>
      <c r="S192" s="283"/>
      <c r="T192" s="36"/>
      <c r="U192" s="24"/>
      <c r="AB192"/>
      <c r="AC192"/>
      <c r="AD192"/>
      <c r="AE192"/>
      <c r="AF192"/>
      <c r="AG192"/>
      <c r="AH192"/>
      <c r="AI192"/>
    </row>
    <row r="193" spans="1:35" s="33" customFormat="1">
      <c r="A193"/>
      <c r="B193" s="28"/>
      <c r="C193" s="24"/>
      <c r="D193" s="24"/>
      <c r="E193" s="28"/>
      <c r="F193" s="28"/>
      <c r="G193" s="100"/>
      <c r="H193" s="100"/>
      <c r="I193" s="1"/>
      <c r="J193" s="1"/>
      <c r="K193" s="24"/>
      <c r="L193" s="36"/>
      <c r="M193" s="36"/>
      <c r="N193" s="24"/>
      <c r="O193" s="36"/>
      <c r="P193" s="36"/>
      <c r="Q193" s="1"/>
      <c r="R193" s="283"/>
      <c r="S193" s="283"/>
      <c r="T193" s="36"/>
      <c r="U193" s="24"/>
      <c r="AB193"/>
      <c r="AC193"/>
      <c r="AD193"/>
      <c r="AE193"/>
      <c r="AF193"/>
      <c r="AG193"/>
      <c r="AH193"/>
      <c r="AI193"/>
    </row>
    <row r="194" spans="1:35" s="33" customFormat="1">
      <c r="A194"/>
      <c r="B194" s="28"/>
      <c r="C194" s="24"/>
      <c r="D194" s="24"/>
      <c r="E194" s="28"/>
      <c r="F194" s="28"/>
      <c r="G194" s="100"/>
      <c r="H194" s="100"/>
      <c r="I194" s="1"/>
      <c r="J194" s="1"/>
      <c r="K194" s="24"/>
      <c r="L194" s="36"/>
      <c r="M194" s="36"/>
      <c r="N194" s="24"/>
      <c r="O194" s="36"/>
      <c r="P194" s="36"/>
      <c r="Q194" s="1"/>
      <c r="R194" s="283"/>
      <c r="S194" s="283"/>
      <c r="T194" s="36"/>
      <c r="U194" s="24"/>
      <c r="AB194"/>
      <c r="AC194"/>
      <c r="AD194"/>
      <c r="AE194"/>
      <c r="AF194"/>
      <c r="AG194"/>
      <c r="AH194"/>
      <c r="AI194"/>
    </row>
    <row r="195" spans="1:35" s="33" customFormat="1">
      <c r="A195"/>
      <c r="B195" s="28"/>
      <c r="C195" s="24"/>
      <c r="D195" s="24"/>
      <c r="E195" s="28"/>
      <c r="F195" s="28"/>
      <c r="G195" s="100"/>
      <c r="H195" s="100"/>
      <c r="I195" s="1"/>
      <c r="J195" s="1"/>
      <c r="K195" s="24"/>
      <c r="L195" s="36"/>
      <c r="M195" s="36"/>
      <c r="N195" s="24"/>
      <c r="O195" s="36"/>
      <c r="P195" s="36"/>
      <c r="Q195" s="1"/>
      <c r="R195" s="283"/>
      <c r="S195" s="283"/>
      <c r="T195" s="36"/>
      <c r="U195" s="24"/>
      <c r="AB195"/>
      <c r="AC195"/>
      <c r="AD195"/>
      <c r="AE195"/>
      <c r="AF195"/>
      <c r="AG195"/>
      <c r="AH195"/>
      <c r="AI195"/>
    </row>
    <row r="196" spans="1:35" s="33" customFormat="1">
      <c r="A196"/>
      <c r="B196" s="28"/>
      <c r="C196" s="24"/>
      <c r="D196" s="24"/>
      <c r="E196" s="28"/>
      <c r="F196" s="28"/>
      <c r="G196" s="100"/>
      <c r="H196" s="100"/>
      <c r="I196" s="1"/>
      <c r="J196" s="1"/>
      <c r="K196" s="24"/>
      <c r="L196" s="36"/>
      <c r="M196" s="36"/>
      <c r="N196" s="24"/>
      <c r="O196" s="36"/>
      <c r="P196" s="36"/>
      <c r="Q196" s="1"/>
      <c r="R196" s="283"/>
      <c r="S196" s="283"/>
      <c r="T196" s="36"/>
      <c r="U196" s="24"/>
      <c r="AB196"/>
      <c r="AC196"/>
      <c r="AD196"/>
      <c r="AE196"/>
      <c r="AF196"/>
      <c r="AG196"/>
      <c r="AH196"/>
      <c r="AI196"/>
    </row>
    <row r="197" spans="1:35" s="33" customFormat="1">
      <c r="A197"/>
      <c r="B197" s="28"/>
      <c r="C197" s="24"/>
      <c r="D197" s="24"/>
      <c r="E197" s="28"/>
      <c r="F197" s="28"/>
      <c r="G197" s="100"/>
      <c r="H197" s="100"/>
      <c r="I197" s="1"/>
      <c r="J197" s="1"/>
      <c r="K197" s="24"/>
      <c r="L197" s="36"/>
      <c r="M197" s="36"/>
      <c r="N197" s="24"/>
      <c r="O197" s="36"/>
      <c r="P197" s="36"/>
      <c r="Q197" s="1"/>
      <c r="R197" s="283"/>
      <c r="S197" s="283"/>
      <c r="T197" s="1"/>
      <c r="U197" s="24"/>
      <c r="AB197"/>
      <c r="AC197"/>
      <c r="AD197"/>
      <c r="AE197"/>
      <c r="AF197"/>
      <c r="AG197"/>
      <c r="AH197"/>
      <c r="AI197"/>
    </row>
    <row r="198" spans="1:35" s="33" customFormat="1">
      <c r="A198"/>
      <c r="B198" s="28"/>
      <c r="C198" s="24"/>
      <c r="D198" s="24"/>
      <c r="E198" s="28"/>
      <c r="F198" s="28"/>
      <c r="G198" s="100"/>
      <c r="H198" s="100"/>
      <c r="I198" s="1"/>
      <c r="J198" s="1"/>
      <c r="K198" s="24"/>
      <c r="L198" s="36"/>
      <c r="M198" s="36"/>
      <c r="N198" s="24"/>
      <c r="O198" s="36"/>
      <c r="P198" s="36"/>
      <c r="Q198" s="1"/>
      <c r="R198" s="283"/>
      <c r="S198" s="283"/>
      <c r="T198" s="1"/>
      <c r="U198" s="24"/>
      <c r="AB198"/>
      <c r="AC198"/>
      <c r="AD198"/>
      <c r="AE198"/>
      <c r="AF198"/>
      <c r="AG198"/>
      <c r="AH198"/>
      <c r="AI198"/>
    </row>
    <row r="199" spans="1:35" s="33" customFormat="1">
      <c r="A199"/>
      <c r="B199" s="28"/>
      <c r="C199" s="24"/>
      <c r="D199" s="24"/>
      <c r="E199" s="28"/>
      <c r="F199" s="28"/>
      <c r="G199" s="100"/>
      <c r="H199" s="100"/>
      <c r="I199" s="1"/>
      <c r="J199" s="1"/>
      <c r="K199" s="24"/>
      <c r="L199" s="36"/>
      <c r="M199" s="36"/>
      <c r="N199" s="24"/>
      <c r="O199" s="36"/>
      <c r="P199" s="36"/>
      <c r="Q199" s="1"/>
      <c r="R199" s="283"/>
      <c r="S199" s="283"/>
      <c r="T199" s="1"/>
      <c r="U199" s="24"/>
      <c r="AB199"/>
      <c r="AC199"/>
      <c r="AD199"/>
      <c r="AE199"/>
      <c r="AF199"/>
      <c r="AG199"/>
      <c r="AH199"/>
      <c r="AI199"/>
    </row>
    <row r="200" spans="1:35" s="33" customFormat="1">
      <c r="A200"/>
      <c r="B200" s="28"/>
      <c r="C200" s="24"/>
      <c r="D200" s="24"/>
      <c r="E200" s="28"/>
      <c r="F200" s="28"/>
      <c r="G200" s="100"/>
      <c r="H200" s="100"/>
      <c r="I200" s="1"/>
      <c r="J200" s="1"/>
      <c r="K200" s="24"/>
      <c r="L200" s="36"/>
      <c r="M200" s="36"/>
      <c r="N200" s="24"/>
      <c r="O200" s="36"/>
      <c r="P200" s="36"/>
      <c r="Q200" s="1"/>
      <c r="R200" s="283"/>
      <c r="S200" s="283"/>
      <c r="T200" s="1"/>
      <c r="U200" s="24"/>
      <c r="AB200"/>
      <c r="AC200"/>
      <c r="AD200"/>
      <c r="AE200"/>
      <c r="AF200"/>
      <c r="AG200"/>
      <c r="AH200"/>
      <c r="AI200"/>
    </row>
    <row r="201" spans="1:35" s="33" customFormat="1">
      <c r="A201"/>
      <c r="B201" s="28"/>
      <c r="C201" s="24"/>
      <c r="D201" s="24"/>
      <c r="E201" s="28"/>
      <c r="F201" s="28"/>
      <c r="G201" s="100"/>
      <c r="H201" s="100"/>
      <c r="I201" s="1"/>
      <c r="J201" s="1"/>
      <c r="K201" s="24"/>
      <c r="L201" s="36"/>
      <c r="M201" s="36"/>
      <c r="N201" s="24"/>
      <c r="O201" s="36"/>
      <c r="P201" s="36"/>
      <c r="Q201" s="1"/>
      <c r="R201" s="283"/>
      <c r="S201" s="283"/>
      <c r="T201" s="1"/>
      <c r="U201" s="24"/>
      <c r="AB201"/>
      <c r="AC201"/>
      <c r="AD201"/>
      <c r="AE201"/>
      <c r="AF201"/>
      <c r="AG201"/>
      <c r="AH201"/>
      <c r="AI201"/>
    </row>
    <row r="202" spans="1:35" s="33" customFormat="1">
      <c r="A202"/>
      <c r="B202" s="28"/>
      <c r="C202" s="24"/>
      <c r="D202" s="24"/>
      <c r="E202" s="28"/>
      <c r="F202" s="28"/>
      <c r="G202" s="100"/>
      <c r="H202" s="100"/>
      <c r="I202" s="1"/>
      <c r="J202" s="1"/>
      <c r="K202" s="24"/>
      <c r="L202" s="36"/>
      <c r="M202" s="36"/>
      <c r="N202" s="24"/>
      <c r="O202" s="36"/>
      <c r="P202" s="36"/>
      <c r="Q202"/>
      <c r="R202"/>
      <c r="S202"/>
      <c r="T202"/>
      <c r="U202" s="24"/>
      <c r="AB202"/>
      <c r="AC202"/>
      <c r="AD202"/>
      <c r="AE202"/>
      <c r="AF202"/>
      <c r="AG202"/>
      <c r="AH202"/>
      <c r="AI202"/>
    </row>
    <row r="203" spans="1:35" s="33" customFormat="1">
      <c r="A203"/>
      <c r="B203" s="28"/>
      <c r="C203" s="24"/>
      <c r="D203" s="24"/>
      <c r="E203" s="28"/>
      <c r="F203" s="28"/>
      <c r="G203" s="100"/>
      <c r="H203" s="100"/>
      <c r="I203" s="1"/>
      <c r="J203" s="1"/>
      <c r="K203" s="24"/>
      <c r="L203" s="36"/>
      <c r="M203" s="36"/>
      <c r="N203" s="24"/>
      <c r="O203" s="36"/>
      <c r="P203" s="36"/>
      <c r="Q203"/>
      <c r="R203"/>
      <c r="S203"/>
      <c r="T203"/>
      <c r="U203" s="24"/>
      <c r="AB203"/>
      <c r="AC203"/>
      <c r="AD203"/>
      <c r="AE203"/>
      <c r="AF203"/>
      <c r="AG203"/>
      <c r="AH203"/>
      <c r="AI203"/>
    </row>
    <row r="204" spans="1:35" s="33" customFormat="1">
      <c r="A204"/>
      <c r="B204" s="28"/>
      <c r="C204" s="24"/>
      <c r="D204" s="24"/>
      <c r="E204" s="28"/>
      <c r="F204" s="28"/>
      <c r="G204" s="100"/>
      <c r="H204" s="100"/>
      <c r="I204" s="1"/>
      <c r="J204" s="1"/>
      <c r="K204" s="24"/>
      <c r="L204" s="36"/>
      <c r="M204" s="36"/>
      <c r="N204" s="24"/>
      <c r="O204" s="36"/>
      <c r="P204" s="36"/>
      <c r="Q204"/>
      <c r="R204"/>
      <c r="S204"/>
      <c r="T204"/>
      <c r="U204" s="24"/>
      <c r="AB204"/>
      <c r="AC204"/>
      <c r="AD204"/>
      <c r="AE204"/>
      <c r="AF204"/>
      <c r="AG204"/>
      <c r="AH204"/>
      <c r="AI204"/>
    </row>
    <row r="205" spans="1:35" s="33" customFormat="1">
      <c r="A205"/>
      <c r="B205" s="28"/>
      <c r="C205" s="24"/>
      <c r="D205" s="24"/>
      <c r="E205" s="28"/>
      <c r="F205" s="28"/>
      <c r="G205" s="100"/>
      <c r="H205" s="100"/>
      <c r="I205" s="1"/>
      <c r="J205" s="1"/>
      <c r="K205" s="24"/>
      <c r="L205" s="36"/>
      <c r="M205" s="36"/>
      <c r="N205" s="24"/>
      <c r="O205" s="36"/>
      <c r="P205" s="36"/>
      <c r="Q205"/>
      <c r="R205"/>
      <c r="S205"/>
      <c r="T205"/>
      <c r="U205" s="24"/>
      <c r="AB205"/>
      <c r="AC205"/>
      <c r="AD205"/>
      <c r="AE205"/>
      <c r="AF205"/>
      <c r="AG205"/>
      <c r="AH205"/>
      <c r="AI205"/>
    </row>
    <row r="206" spans="1:35" s="33" customFormat="1">
      <c r="A206"/>
      <c r="B206" s="28"/>
      <c r="C206" s="24"/>
      <c r="D206" s="24"/>
      <c r="E206" s="28"/>
      <c r="F206" s="28"/>
      <c r="G206" s="100"/>
      <c r="H206" s="100"/>
      <c r="I206" s="1"/>
      <c r="J206" s="1"/>
      <c r="K206" s="24"/>
      <c r="L206" s="36"/>
      <c r="M206" s="36"/>
      <c r="N206" s="24"/>
      <c r="O206" s="36"/>
      <c r="P206" s="36"/>
      <c r="Q206"/>
      <c r="R206"/>
      <c r="S206"/>
      <c r="T206"/>
      <c r="U206" s="24"/>
      <c r="AB206"/>
      <c r="AC206"/>
      <c r="AD206"/>
      <c r="AE206"/>
      <c r="AF206"/>
      <c r="AG206"/>
      <c r="AH206"/>
      <c r="AI206"/>
    </row>
    <row r="207" spans="1:35" s="33" customFormat="1">
      <c r="A207"/>
      <c r="B207" s="28"/>
      <c r="C207" s="24"/>
      <c r="D207" s="24"/>
      <c r="E207" s="28"/>
      <c r="F207" s="28"/>
      <c r="G207" s="100"/>
      <c r="H207" s="100"/>
      <c r="I207" s="1"/>
      <c r="J207" s="1"/>
      <c r="K207" s="24"/>
      <c r="L207" s="36"/>
      <c r="M207" s="36"/>
      <c r="N207" s="24"/>
      <c r="O207" s="36"/>
      <c r="P207" s="36"/>
      <c r="Q207"/>
      <c r="R207"/>
      <c r="S207"/>
      <c r="T207"/>
      <c r="U207" s="24"/>
      <c r="AB207"/>
      <c r="AC207"/>
      <c r="AD207"/>
      <c r="AE207"/>
      <c r="AF207"/>
      <c r="AG207"/>
      <c r="AH207"/>
      <c r="AI207"/>
    </row>
    <row r="208" spans="1:35" s="33" customFormat="1">
      <c r="A208"/>
      <c r="B208" s="28"/>
      <c r="C208" s="24"/>
      <c r="D208" s="24"/>
      <c r="E208" s="28"/>
      <c r="F208" s="28"/>
      <c r="G208" s="100"/>
      <c r="H208" s="100"/>
      <c r="I208" s="1"/>
      <c r="J208" s="1"/>
      <c r="K208" s="24"/>
      <c r="L208" s="36"/>
      <c r="M208" s="36"/>
      <c r="N208" s="24"/>
      <c r="O208" s="36"/>
      <c r="P208" s="36"/>
      <c r="Q208"/>
      <c r="R208"/>
      <c r="S208"/>
      <c r="T208"/>
      <c r="U208" s="24"/>
      <c r="AB208"/>
      <c r="AC208"/>
      <c r="AD208"/>
      <c r="AE208"/>
      <c r="AF208"/>
      <c r="AG208"/>
      <c r="AH208"/>
      <c r="AI208"/>
    </row>
    <row r="209" spans="17:21">
      <c r="Q209"/>
      <c r="R209"/>
      <c r="S209"/>
      <c r="T209"/>
    </row>
    <row r="210" spans="17:21">
      <c r="Q210"/>
      <c r="R210"/>
      <c r="S210"/>
      <c r="T210"/>
    </row>
    <row r="211" spans="17:21">
      <c r="Q211"/>
      <c r="R211"/>
      <c r="S211"/>
      <c r="T211"/>
    </row>
    <row r="212" spans="17:21">
      <c r="Q212"/>
      <c r="R212"/>
      <c r="S212"/>
      <c r="T212"/>
    </row>
    <row r="213" spans="17:21">
      <c r="Q213"/>
      <c r="R213"/>
      <c r="S213"/>
      <c r="T213"/>
    </row>
    <row r="214" spans="17:21">
      <c r="Q214"/>
      <c r="R214"/>
      <c r="S214"/>
      <c r="T214"/>
      <c r="U214"/>
    </row>
    <row r="215" spans="17:21">
      <c r="Q215"/>
      <c r="R215"/>
      <c r="S215"/>
      <c r="T215"/>
      <c r="U215"/>
    </row>
    <row r="216" spans="17:21">
      <c r="Q216"/>
      <c r="R216"/>
      <c r="S216"/>
      <c r="T216"/>
      <c r="U216"/>
    </row>
    <row r="217" spans="17:21">
      <c r="Q217"/>
      <c r="R217"/>
      <c r="S217"/>
      <c r="T217"/>
      <c r="U217"/>
    </row>
    <row r="218" spans="17:21">
      <c r="Q218"/>
      <c r="R218"/>
      <c r="S218"/>
      <c r="T218"/>
      <c r="U218"/>
    </row>
    <row r="219" spans="17:21">
      <c r="Q219"/>
      <c r="R219"/>
      <c r="S219"/>
      <c r="T219"/>
      <c r="U219"/>
    </row>
    <row r="220" spans="17:21">
      <c r="Q220"/>
      <c r="R220"/>
      <c r="S220"/>
      <c r="T220"/>
      <c r="U220"/>
    </row>
    <row r="221" spans="17:21">
      <c r="Q221"/>
      <c r="R221"/>
      <c r="S221"/>
      <c r="T221"/>
      <c r="U221"/>
    </row>
    <row r="222" spans="17:21">
      <c r="Q222"/>
      <c r="R222"/>
      <c r="S222"/>
      <c r="T222"/>
      <c r="U222"/>
    </row>
    <row r="223" spans="17:21">
      <c r="Q223"/>
      <c r="R223"/>
      <c r="S223"/>
      <c r="T223"/>
      <c r="U223"/>
    </row>
    <row r="224" spans="17:21">
      <c r="Q224"/>
      <c r="R224"/>
      <c r="S224"/>
      <c r="T224"/>
      <c r="U224"/>
    </row>
    <row r="225" spans="17:22">
      <c r="Q225"/>
      <c r="R225"/>
      <c r="S225"/>
      <c r="T225"/>
      <c r="U225"/>
    </row>
    <row r="226" spans="17:22">
      <c r="Q226"/>
      <c r="R226"/>
      <c r="S226"/>
      <c r="T226"/>
      <c r="U226"/>
    </row>
    <row r="227" spans="17:22">
      <c r="Q227"/>
      <c r="R227"/>
      <c r="S227"/>
      <c r="T227"/>
      <c r="U227"/>
    </row>
    <row r="228" spans="17:22">
      <c r="U228"/>
      <c r="V228" s="95"/>
    </row>
    <row r="229" spans="17:22">
      <c r="U229"/>
      <c r="V229" s="95"/>
    </row>
    <row r="230" spans="17:22">
      <c r="T230" s="35"/>
      <c r="U230"/>
      <c r="V230" s="95"/>
    </row>
    <row r="231" spans="17:22">
      <c r="T231" s="35"/>
      <c r="U231"/>
      <c r="V231" s="95"/>
    </row>
    <row r="232" spans="17:22">
      <c r="T232" s="35"/>
      <c r="U232"/>
      <c r="V232" s="95"/>
    </row>
    <row r="233" spans="17:22">
      <c r="T233" s="35"/>
      <c r="U233"/>
      <c r="V233" s="95"/>
    </row>
    <row r="234" spans="17:22">
      <c r="T234" s="35"/>
      <c r="U234"/>
      <c r="V234" s="95"/>
    </row>
    <row r="235" spans="17:22">
      <c r="T235" s="35"/>
      <c r="U235"/>
      <c r="V235" s="95"/>
    </row>
    <row r="236" spans="17:22">
      <c r="T236" s="35"/>
      <c r="U236"/>
    </row>
    <row r="237" spans="17:22">
      <c r="T237" s="35"/>
      <c r="U237"/>
    </row>
    <row r="238" spans="17:22">
      <c r="T238" s="35"/>
      <c r="U238"/>
    </row>
    <row r="239" spans="17:22">
      <c r="T239" s="35"/>
      <c r="U239"/>
    </row>
    <row r="240" spans="17:22">
      <c r="T240" s="35"/>
    </row>
    <row r="241" spans="20:20">
      <c r="T241" s="35">
        <f>SUM(Q170:Q181)</f>
        <v>320175299.17408836</v>
      </c>
    </row>
  </sheetData>
  <phoneticPr fontId="0" type="noConversion"/>
  <pageMargins left="0.38" right="0.22" top="0.49" bottom="0.74" header="0.5" footer="0.5"/>
  <pageSetup orientation="landscape"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241"/>
  <sheetViews>
    <sheetView topLeftCell="D9" workbookViewId="0">
      <selection activeCell="S159" sqref="S159"/>
    </sheetView>
  </sheetViews>
  <sheetFormatPr defaultRowHeight="12.5"/>
  <cols>
    <col min="1" max="1" width="15.81640625" customWidth="1"/>
    <col min="2" max="2" width="18" style="28" customWidth="1"/>
    <col min="3" max="4" width="15.81640625" style="24" customWidth="1"/>
    <col min="5" max="6" width="18" style="28" customWidth="1"/>
    <col min="7" max="7" width="11.81640625" style="100" customWidth="1"/>
    <col min="8" max="8" width="13.453125" style="100" customWidth="1"/>
    <col min="9" max="9" width="12.453125" style="382" bestFit="1" customWidth="1"/>
    <col min="10" max="10" width="12.453125" style="382" customWidth="1"/>
    <col min="11" max="11" width="15.81640625" style="24" hidden="1" customWidth="1"/>
    <col min="12" max="13" width="15.81640625" style="36" hidden="1" customWidth="1"/>
    <col min="14" max="14" width="15.81640625" style="24" hidden="1" customWidth="1"/>
    <col min="15" max="16" width="15.81640625" style="36" hidden="1" customWidth="1"/>
    <col min="17" max="19" width="15.81640625" style="382" customWidth="1"/>
    <col min="20" max="20" width="17" style="382" customWidth="1"/>
    <col min="21" max="21" width="34.453125" style="382" bestFit="1" customWidth="1"/>
    <col min="22" max="22" width="25.81640625" bestFit="1" customWidth="1"/>
    <col min="23" max="25" width="18" customWidth="1"/>
    <col min="26" max="26" width="17.1796875" customWidth="1"/>
    <col min="27" max="28" width="15.81640625" customWidth="1"/>
    <col min="29" max="29" width="15" customWidth="1"/>
    <col min="30" max="30" width="22.453125" bestFit="1" customWidth="1"/>
  </cols>
  <sheetData>
    <row r="1" spans="1:35" ht="15.5">
      <c r="A1" s="44" t="str">
        <f>Summary!A1</f>
        <v>Lakeland Power Load Forecast for 2019 Rate Application</v>
      </c>
      <c r="L1" s="104"/>
      <c r="M1" s="104"/>
      <c r="N1" s="104"/>
      <c r="O1" s="104"/>
      <c r="P1" s="104"/>
      <c r="Q1"/>
      <c r="R1"/>
      <c r="S1"/>
    </row>
    <row r="2" spans="1:35" ht="42" customHeight="1">
      <c r="A2" s="96"/>
      <c r="B2" s="308" t="s">
        <v>0</v>
      </c>
      <c r="C2" s="311" t="s">
        <v>70</v>
      </c>
      <c r="D2" s="311" t="s">
        <v>346</v>
      </c>
      <c r="E2" s="308" t="s">
        <v>348</v>
      </c>
      <c r="F2" s="385" t="s">
        <v>349</v>
      </c>
      <c r="G2" s="309" t="s">
        <v>3</v>
      </c>
      <c r="H2" s="309" t="s">
        <v>4</v>
      </c>
      <c r="I2" s="310" t="s">
        <v>5</v>
      </c>
      <c r="J2" s="310" t="s">
        <v>19</v>
      </c>
      <c r="K2" s="311" t="s">
        <v>347</v>
      </c>
      <c r="L2" s="312" t="s">
        <v>117</v>
      </c>
      <c r="M2" s="312" t="s">
        <v>6</v>
      </c>
      <c r="N2" s="311" t="s">
        <v>72</v>
      </c>
      <c r="O2" s="312" t="s">
        <v>116</v>
      </c>
      <c r="P2" s="312" t="s">
        <v>115</v>
      </c>
      <c r="Q2" s="310" t="s">
        <v>11</v>
      </c>
      <c r="R2" s="12" t="s">
        <v>12</v>
      </c>
      <c r="S2" s="12" t="s">
        <v>261</v>
      </c>
      <c r="T2" s="12" t="s">
        <v>262</v>
      </c>
      <c r="U2" t="s">
        <v>120</v>
      </c>
    </row>
    <row r="3" spans="1:35" s="15" customFormat="1" ht="13" thickBot="1">
      <c r="A3" s="313">
        <v>39448</v>
      </c>
      <c r="B3" s="314">
        <f>'[14]Data Input'!B77+'[16]PSP less Loss factor'!B86</f>
        <v>33081269.249729559</v>
      </c>
      <c r="C3" s="317">
        <f>'CDM Activity'!F46</f>
        <v>172834.94840596907</v>
      </c>
      <c r="D3" s="383">
        <f>'Rate Class Energy Model'!F7</f>
        <v>1.0584179349428064</v>
      </c>
      <c r="E3" s="314">
        <f>C3*D3</f>
        <v>182931.60917779227</v>
      </c>
      <c r="F3" s="314">
        <f>B3+E3</f>
        <v>33264200.858907349</v>
      </c>
      <c r="G3" s="315">
        <f>'Purchased Power Model '!G123</f>
        <v>784.93238095238098</v>
      </c>
      <c r="H3" s="315">
        <f>'Purchased Power Model '!H123</f>
        <v>0</v>
      </c>
      <c r="I3" s="316">
        <v>31</v>
      </c>
      <c r="J3" s="316">
        <v>0</v>
      </c>
      <c r="K3" s="317">
        <v>1</v>
      </c>
      <c r="L3" s="318">
        <v>14.1</v>
      </c>
      <c r="M3" s="319">
        <f>'[18]Annual conv to Monthly'!B231</f>
        <v>139.96642175819056</v>
      </c>
      <c r="N3" s="317">
        <f>'[14]Data Input'!AJ77+'[16]PSP less Loss factor'!AA86</f>
        <v>3259</v>
      </c>
      <c r="O3" s="318">
        <v>172.6</v>
      </c>
      <c r="P3" s="318">
        <v>311.2</v>
      </c>
      <c r="Q3" s="316">
        <f>$V$18+G3*$V$19+H3*$V$20+I3*$V$21+J3*$V$22</f>
        <v>32902427.82751571</v>
      </c>
      <c r="R3" s="50">
        <f t="shared" ref="R3:R66" si="0">Q3-B3</f>
        <v>-178841.42221384868</v>
      </c>
      <c r="S3" s="291">
        <f t="shared" ref="S3:S66" si="1">R3/B3</f>
        <v>-5.4061233522746631E-3</v>
      </c>
      <c r="T3" s="292">
        <f t="shared" ref="T3:T66" si="2">ABS(S3)</f>
        <v>5.4061233522746631E-3</v>
      </c>
      <c r="U3"/>
      <c r="V3"/>
      <c r="W3"/>
      <c r="X3"/>
      <c r="Y3"/>
      <c r="Z3"/>
      <c r="AA3"/>
      <c r="AB3"/>
      <c r="AC3"/>
      <c r="AD3"/>
      <c r="AE3"/>
      <c r="AF3"/>
      <c r="AG3"/>
      <c r="AH3"/>
      <c r="AI3"/>
    </row>
    <row r="4" spans="1:35" ht="13">
      <c r="A4" s="313">
        <v>39479</v>
      </c>
      <c r="B4" s="314">
        <f>'[14]Data Input'!B78+'[16]PSP less Loss factor'!B87</f>
        <v>32015006.763418756</v>
      </c>
      <c r="C4" s="317">
        <f>'CDM Activity'!F47</f>
        <v>172254.38904178893</v>
      </c>
      <c r="D4" s="384">
        <f>D3</f>
        <v>1.0584179349428064</v>
      </c>
      <c r="E4" s="314">
        <f t="shared" ref="E4:E67" si="3">C4*D4</f>
        <v>182317.13473444502</v>
      </c>
      <c r="F4" s="314">
        <f t="shared" ref="F4:F67" si="4">B4+E4</f>
        <v>32197323.898153201</v>
      </c>
      <c r="G4" s="315">
        <f>'Purchased Power Model '!G124</f>
        <v>739.71857142857129</v>
      </c>
      <c r="H4" s="315">
        <f>'Purchased Power Model '!H124</f>
        <v>0</v>
      </c>
      <c r="I4" s="316">
        <v>29</v>
      </c>
      <c r="J4" s="316">
        <v>0</v>
      </c>
      <c r="K4" s="317">
        <v>2</v>
      </c>
      <c r="L4" s="318">
        <v>15.2</v>
      </c>
      <c r="M4" s="319">
        <f>'[18]Annual conv to Monthly'!B232</f>
        <v>139.86101141442734</v>
      </c>
      <c r="N4" s="317">
        <f>'[14]Data Input'!AJ78+'[16]PSP less Loss factor'!AA87</f>
        <v>3260</v>
      </c>
      <c r="O4" s="318">
        <v>171.6</v>
      </c>
      <c r="P4" s="318">
        <v>311.3</v>
      </c>
      <c r="Q4" s="316">
        <f t="shared" ref="Q4:Q67" si="5">$V$18+G4*$V$19+H4*$V$20+I4*$V$21+J4*$V$22</f>
        <v>30909623.733257972</v>
      </c>
      <c r="R4" s="50">
        <f t="shared" si="0"/>
        <v>-1105383.0301607847</v>
      </c>
      <c r="S4" s="291">
        <f t="shared" si="1"/>
        <v>-3.452702785069614E-2</v>
      </c>
      <c r="T4" s="292">
        <f t="shared" si="2"/>
        <v>3.452702785069614E-2</v>
      </c>
      <c r="U4" s="112" t="s">
        <v>20</v>
      </c>
      <c r="V4" s="112"/>
      <c r="W4" s="111"/>
      <c r="X4" s="111"/>
      <c r="Y4" s="111"/>
      <c r="Z4" s="111"/>
    </row>
    <row r="5" spans="1:35">
      <c r="A5" s="313">
        <v>39508</v>
      </c>
      <c r="B5" s="314">
        <f>'[14]Data Input'!B79+'[16]PSP less Loss factor'!B88</f>
        <v>31531548.233905546</v>
      </c>
      <c r="C5" s="317">
        <f>'CDM Activity'!F48</f>
        <v>171673.8296776088</v>
      </c>
      <c r="D5" s="384">
        <f t="shared" ref="D5:D14" si="6">D4</f>
        <v>1.0584179349428064</v>
      </c>
      <c r="E5" s="314">
        <f t="shared" si="3"/>
        <v>181702.66029109777</v>
      </c>
      <c r="F5" s="314">
        <f t="shared" si="4"/>
        <v>31713250.894196644</v>
      </c>
      <c r="G5" s="315">
        <f>'Purchased Power Model '!G125</f>
        <v>622.95999999999992</v>
      </c>
      <c r="H5" s="315">
        <f>'Purchased Power Model '!H125</f>
        <v>0</v>
      </c>
      <c r="I5" s="316">
        <v>31</v>
      </c>
      <c r="J5" s="316">
        <v>1</v>
      </c>
      <c r="K5" s="317">
        <v>3</v>
      </c>
      <c r="L5" s="318">
        <v>17.3</v>
      </c>
      <c r="M5" s="319">
        <f>'[18]Annual conv to Monthly'!B233</f>
        <v>139.75568045642274</v>
      </c>
      <c r="N5" s="317">
        <f>'[14]Data Input'!AJ79+'[16]PSP less Loss factor'!AA88</f>
        <v>3252</v>
      </c>
      <c r="O5" s="318">
        <v>170.6</v>
      </c>
      <c r="P5" s="318">
        <v>311.39999999999998</v>
      </c>
      <c r="Q5" s="316">
        <f t="shared" si="5"/>
        <v>29337670.273077961</v>
      </c>
      <c r="R5" s="50">
        <f t="shared" si="0"/>
        <v>-2193877.9608275853</v>
      </c>
      <c r="S5" s="291">
        <f t="shared" si="1"/>
        <v>-6.9577235616630179E-2</v>
      </c>
      <c r="T5" s="292">
        <f t="shared" si="2"/>
        <v>6.9577235616630179E-2</v>
      </c>
      <c r="U5" s="113" t="s">
        <v>21</v>
      </c>
      <c r="V5" s="91">
        <v>0.97490245580963864</v>
      </c>
      <c r="W5" s="111"/>
      <c r="X5" s="111"/>
      <c r="Y5" s="111"/>
      <c r="Z5" s="111"/>
    </row>
    <row r="6" spans="1:35">
      <c r="A6" s="313">
        <v>39539</v>
      </c>
      <c r="B6" s="314">
        <f>'[14]Data Input'!B80+'[16]PSP less Loss factor'!B89</f>
        <v>24908639.262199</v>
      </c>
      <c r="C6" s="317">
        <f>'CDM Activity'!F49</f>
        <v>171093.27031342866</v>
      </c>
      <c r="D6" s="384">
        <f t="shared" si="6"/>
        <v>1.0584179349428064</v>
      </c>
      <c r="E6" s="314">
        <f t="shared" si="3"/>
        <v>181088.18584775052</v>
      </c>
      <c r="F6" s="314">
        <f t="shared" si="4"/>
        <v>25089727.448046751</v>
      </c>
      <c r="G6" s="315">
        <f>'Purchased Power Model '!G126</f>
        <v>379.45</v>
      </c>
      <c r="H6" s="315">
        <f>'Purchased Power Model '!H126</f>
        <v>0.01</v>
      </c>
      <c r="I6" s="316">
        <v>30</v>
      </c>
      <c r="J6" s="316">
        <v>1</v>
      </c>
      <c r="K6" s="317">
        <v>4</v>
      </c>
      <c r="L6" s="318">
        <v>17.100000000000001</v>
      </c>
      <c r="M6" s="319">
        <f>'[18]Annual conv to Monthly'!B234</f>
        <v>139.65042882439042</v>
      </c>
      <c r="N6" s="317">
        <f>'[14]Data Input'!AJ80+'[16]PSP less Loss factor'!AA89</f>
        <v>3257</v>
      </c>
      <c r="O6" s="318">
        <v>170.4</v>
      </c>
      <c r="P6" s="318">
        <v>311.5</v>
      </c>
      <c r="Q6" s="316">
        <f t="shared" si="5"/>
        <v>25274433.902305242</v>
      </c>
      <c r="R6" s="50">
        <f t="shared" si="0"/>
        <v>365794.64010624215</v>
      </c>
      <c r="S6" s="291">
        <f t="shared" si="1"/>
        <v>1.4685452555466045E-2</v>
      </c>
      <c r="T6" s="292">
        <f t="shared" si="2"/>
        <v>1.4685452555466045E-2</v>
      </c>
      <c r="U6" s="113" t="s">
        <v>22</v>
      </c>
      <c r="V6" s="91">
        <v>0.9504347983436644</v>
      </c>
      <c r="W6" s="111"/>
      <c r="X6" s="111"/>
      <c r="Y6" s="111"/>
      <c r="Z6" s="111"/>
    </row>
    <row r="7" spans="1:35">
      <c r="A7" s="313">
        <v>39569</v>
      </c>
      <c r="B7" s="314">
        <f>'[14]Data Input'!B81+'[16]PSP less Loss factor'!B90</f>
        <v>23465991.651181944</v>
      </c>
      <c r="C7" s="317">
        <f>'CDM Activity'!F50</f>
        <v>170512.71094924852</v>
      </c>
      <c r="D7" s="384">
        <f t="shared" si="6"/>
        <v>1.0584179349428064</v>
      </c>
      <c r="E7" s="314">
        <f t="shared" si="3"/>
        <v>180473.71140440326</v>
      </c>
      <c r="F7" s="314">
        <f t="shared" si="4"/>
        <v>23646465.362586346</v>
      </c>
      <c r="G7" s="315">
        <f>'Purchased Power Model '!G127</f>
        <v>190.97476190476192</v>
      </c>
      <c r="H7" s="315">
        <f>'Purchased Power Model '!H127</f>
        <v>8.77</v>
      </c>
      <c r="I7" s="316">
        <v>31</v>
      </c>
      <c r="J7" s="316">
        <v>1</v>
      </c>
      <c r="K7" s="317">
        <v>5</v>
      </c>
      <c r="L7" s="318">
        <v>15.9</v>
      </c>
      <c r="M7" s="319">
        <f>'[18]Annual conv to Monthly'!B235</f>
        <v>139.54525645858905</v>
      </c>
      <c r="N7" s="317">
        <f>'[14]Data Input'!AJ81+'[16]PSP less Loss factor'!AA90</f>
        <v>3274</v>
      </c>
      <c r="O7" s="318">
        <v>175.5</v>
      </c>
      <c r="P7" s="318">
        <v>311.60000000000002</v>
      </c>
      <c r="Q7" s="316">
        <f t="shared" si="5"/>
        <v>23726640.695626006</v>
      </c>
      <c r="R7" s="50">
        <f t="shared" si="0"/>
        <v>260649.04444406182</v>
      </c>
      <c r="S7" s="291">
        <f t="shared" si="1"/>
        <v>1.1107523104864538E-2</v>
      </c>
      <c r="T7" s="292">
        <f t="shared" si="2"/>
        <v>1.1107523104864538E-2</v>
      </c>
      <c r="U7" s="113" t="s">
        <v>23</v>
      </c>
      <c r="V7" s="91">
        <v>0.94871079132953096</v>
      </c>
      <c r="W7" s="111"/>
      <c r="X7" s="111"/>
      <c r="Y7" s="111"/>
      <c r="Z7" s="111"/>
    </row>
    <row r="8" spans="1:35">
      <c r="A8" s="313">
        <v>39600</v>
      </c>
      <c r="B8" s="314">
        <f>'[14]Data Input'!B82+'[16]PSP less Loss factor'!B91</f>
        <v>22918971.119040713</v>
      </c>
      <c r="C8" s="317">
        <f>'CDM Activity'!F51</f>
        <v>169932.15158506838</v>
      </c>
      <c r="D8" s="384">
        <f t="shared" si="6"/>
        <v>1.0584179349428064</v>
      </c>
      <c r="E8" s="314">
        <f t="shared" si="3"/>
        <v>179859.23696105604</v>
      </c>
      <c r="F8" s="314">
        <f t="shared" si="4"/>
        <v>23098830.356001768</v>
      </c>
      <c r="G8" s="315">
        <f>'Purchased Power Model '!G128</f>
        <v>69.127619047619049</v>
      </c>
      <c r="H8" s="315">
        <f>'Purchased Power Model '!H128</f>
        <v>22.15</v>
      </c>
      <c r="I8" s="316">
        <v>30</v>
      </c>
      <c r="J8" s="316">
        <v>0</v>
      </c>
      <c r="K8" s="317">
        <v>6</v>
      </c>
      <c r="L8" s="318">
        <v>13.4</v>
      </c>
      <c r="M8" s="319">
        <f>'[18]Annual conv to Monthly'!B236</f>
        <v>139.44016329932234</v>
      </c>
      <c r="N8" s="317">
        <f>'[14]Data Input'!AJ82+'[16]PSP less Loss factor'!AA91</f>
        <v>3246</v>
      </c>
      <c r="O8" s="318">
        <v>184.4</v>
      </c>
      <c r="P8" s="318">
        <v>311.8</v>
      </c>
      <c r="Q8" s="316">
        <f t="shared" si="5"/>
        <v>23258683.474074669</v>
      </c>
      <c r="R8" s="50">
        <f t="shared" si="0"/>
        <v>339712.35503395647</v>
      </c>
      <c r="S8" s="291">
        <f t="shared" si="1"/>
        <v>1.482232135419591E-2</v>
      </c>
      <c r="T8" s="292">
        <f t="shared" si="2"/>
        <v>1.482232135419591E-2</v>
      </c>
      <c r="U8" s="113" t="s">
        <v>24</v>
      </c>
      <c r="V8" s="118">
        <v>840853.3289629654</v>
      </c>
      <c r="W8" s="111"/>
      <c r="X8" s="111"/>
      <c r="Y8" s="111"/>
      <c r="Z8" s="111"/>
    </row>
    <row r="9" spans="1:35" ht="13" thickBot="1">
      <c r="A9" s="313">
        <v>39630</v>
      </c>
      <c r="B9" s="314">
        <f>'[14]Data Input'!B83+'[16]PSP less Loss factor'!B92</f>
        <v>24654654.234536804</v>
      </c>
      <c r="C9" s="317">
        <f>'CDM Activity'!F52</f>
        <v>169351.59222088824</v>
      </c>
      <c r="D9" s="384">
        <f t="shared" si="6"/>
        <v>1.0584179349428064</v>
      </c>
      <c r="E9" s="314">
        <f t="shared" si="3"/>
        <v>179244.76251770879</v>
      </c>
      <c r="F9" s="314">
        <f t="shared" si="4"/>
        <v>24833898.997054514</v>
      </c>
      <c r="G9" s="315">
        <f>'Purchased Power Model '!G129</f>
        <v>22.305238095238096</v>
      </c>
      <c r="H9" s="315">
        <f>'Purchased Power Model '!H129</f>
        <v>53.85</v>
      </c>
      <c r="I9" s="316">
        <v>31</v>
      </c>
      <c r="J9" s="316">
        <v>0</v>
      </c>
      <c r="K9" s="317">
        <v>7</v>
      </c>
      <c r="L9" s="318">
        <v>11.1</v>
      </c>
      <c r="M9" s="319">
        <f>'[18]Annual conv to Monthly'!B237</f>
        <v>139.3351492869389</v>
      </c>
      <c r="N9" s="317">
        <f>'[14]Data Input'!AJ83+'[16]PSP less Loss factor'!AA92</f>
        <v>3265</v>
      </c>
      <c r="O9" s="318">
        <v>190.4</v>
      </c>
      <c r="P9" s="318">
        <v>312</v>
      </c>
      <c r="Q9" s="316">
        <f t="shared" si="5"/>
        <v>24690462.304445781</v>
      </c>
      <c r="R9" s="50">
        <f t="shared" si="0"/>
        <v>35808.069908976555</v>
      </c>
      <c r="S9" s="291">
        <f t="shared" si="1"/>
        <v>1.4523858079021766E-3</v>
      </c>
      <c r="T9" s="292">
        <f t="shared" si="2"/>
        <v>1.4523858079021766E-3</v>
      </c>
      <c r="U9" s="114" t="s">
        <v>25</v>
      </c>
      <c r="V9" s="114">
        <v>120</v>
      </c>
      <c r="W9" s="111"/>
      <c r="X9" s="111"/>
      <c r="Y9" s="111"/>
      <c r="Z9" s="111"/>
    </row>
    <row r="10" spans="1:35">
      <c r="A10" s="313">
        <v>39661</v>
      </c>
      <c r="B10" s="314">
        <f>'[14]Data Input'!B84+'[16]PSP less Loss factor'!B93</f>
        <v>24056920.737527069</v>
      </c>
      <c r="C10" s="317">
        <f>'CDM Activity'!F53</f>
        <v>168771.0328567081</v>
      </c>
      <c r="D10" s="384">
        <f t="shared" si="6"/>
        <v>1.0584179349428064</v>
      </c>
      <c r="E10" s="314">
        <f t="shared" si="3"/>
        <v>178630.28807436154</v>
      </c>
      <c r="F10" s="314">
        <f t="shared" si="4"/>
        <v>24235551.025601432</v>
      </c>
      <c r="G10" s="315">
        <f>'Purchased Power Model '!G130</f>
        <v>35.084761904761905</v>
      </c>
      <c r="H10" s="315">
        <f>'Purchased Power Model '!H130</f>
        <v>38.71</v>
      </c>
      <c r="I10" s="316">
        <v>31</v>
      </c>
      <c r="J10" s="316">
        <v>0</v>
      </c>
      <c r="K10" s="317">
        <v>8</v>
      </c>
      <c r="L10" s="318">
        <v>11.2</v>
      </c>
      <c r="M10" s="319">
        <f>'[18]Annual conv to Monthly'!B238</f>
        <v>139.23021436183228</v>
      </c>
      <c r="N10" s="317">
        <f>'[14]Data Input'!AJ84+'[16]PSP less Loss factor'!AA93</f>
        <v>3300</v>
      </c>
      <c r="O10" s="318">
        <v>190.6</v>
      </c>
      <c r="P10" s="318">
        <v>312.2</v>
      </c>
      <c r="Q10" s="316">
        <f t="shared" si="5"/>
        <v>24199544.518213246</v>
      </c>
      <c r="R10" s="50">
        <f t="shared" si="0"/>
        <v>142623.78068617731</v>
      </c>
      <c r="S10" s="291">
        <f t="shared" si="1"/>
        <v>5.9285966912504496E-3</v>
      </c>
      <c r="T10" s="292">
        <f t="shared" si="2"/>
        <v>5.9285966912504496E-3</v>
      </c>
      <c r="U10" s="111"/>
      <c r="V10" s="111"/>
      <c r="W10" s="111"/>
      <c r="X10" s="111"/>
      <c r="Y10" s="111"/>
      <c r="Z10" s="111"/>
    </row>
    <row r="11" spans="1:35" ht="13" thickBot="1">
      <c r="A11" s="313">
        <v>39692</v>
      </c>
      <c r="B11" s="314">
        <f>'[14]Data Input'!B85+'[16]PSP less Loss factor'!B94</f>
        <v>22764184.01276195</v>
      </c>
      <c r="C11" s="317">
        <f>'CDM Activity'!F54</f>
        <v>168190.47349252796</v>
      </c>
      <c r="D11" s="384">
        <f t="shared" si="6"/>
        <v>1.0584179349428064</v>
      </c>
      <c r="E11" s="314">
        <f t="shared" si="3"/>
        <v>178015.81363101429</v>
      </c>
      <c r="F11" s="314">
        <f t="shared" si="4"/>
        <v>22942199.826392964</v>
      </c>
      <c r="G11" s="315">
        <f>'Purchased Power Model '!G131</f>
        <v>119.32619047619046</v>
      </c>
      <c r="H11" s="315">
        <f>'Purchased Power Model '!H131</f>
        <v>14.820000000000002</v>
      </c>
      <c r="I11" s="316">
        <v>30</v>
      </c>
      <c r="J11" s="316">
        <v>1</v>
      </c>
      <c r="K11" s="317">
        <v>9</v>
      </c>
      <c r="L11" s="318">
        <v>9.6999999999999993</v>
      </c>
      <c r="M11" s="319">
        <f>'[18]Annual conv to Monthly'!B239</f>
        <v>139.12535846444095</v>
      </c>
      <c r="N11" s="317">
        <f>'[14]Data Input'!AJ85+'[16]PSP less Loss factor'!AA94</f>
        <v>3286</v>
      </c>
      <c r="O11" s="318">
        <v>188.3</v>
      </c>
      <c r="P11" s="318">
        <v>312.3</v>
      </c>
      <c r="Q11" s="316">
        <f t="shared" si="5"/>
        <v>22316367.6041453</v>
      </c>
      <c r="R11" s="50">
        <f t="shared" si="0"/>
        <v>-447816.40861665085</v>
      </c>
      <c r="S11" s="291">
        <f t="shared" si="1"/>
        <v>-1.967197279575662E-2</v>
      </c>
      <c r="T11" s="292">
        <f t="shared" si="2"/>
        <v>1.967197279575662E-2</v>
      </c>
      <c r="U11" s="111" t="s">
        <v>26</v>
      </c>
      <c r="V11" s="111"/>
      <c r="W11" s="111"/>
      <c r="X11" s="111"/>
      <c r="Y11" s="111"/>
      <c r="Z11" s="111"/>
    </row>
    <row r="12" spans="1:35" ht="13">
      <c r="A12" s="313">
        <v>39722</v>
      </c>
      <c r="B12" s="314">
        <f>'[14]Data Input'!B86+'[16]PSP less Loss factor'!B95</f>
        <v>25605181.733395096</v>
      </c>
      <c r="C12" s="317">
        <f>'CDM Activity'!F55</f>
        <v>167609.91412834782</v>
      </c>
      <c r="D12" s="384">
        <f t="shared" si="6"/>
        <v>1.0584179349428064</v>
      </c>
      <c r="E12" s="314">
        <f t="shared" si="3"/>
        <v>177401.33918766704</v>
      </c>
      <c r="F12" s="314">
        <f t="shared" si="4"/>
        <v>25782583.072582763</v>
      </c>
      <c r="G12" s="315">
        <f>'Purchased Power Model '!G132</f>
        <v>307.71047619047624</v>
      </c>
      <c r="H12" s="315">
        <f>'Purchased Power Model '!H132</f>
        <v>0.03</v>
      </c>
      <c r="I12" s="316">
        <v>31</v>
      </c>
      <c r="J12" s="316">
        <v>1</v>
      </c>
      <c r="K12" s="317">
        <v>10</v>
      </c>
      <c r="L12" s="318">
        <v>10.199999999999999</v>
      </c>
      <c r="M12" s="319">
        <f>'[18]Annual conv to Monthly'!B240</f>
        <v>139.02058153524823</v>
      </c>
      <c r="N12" s="317">
        <f>'[14]Data Input'!AJ86+'[16]PSP less Loss factor'!AA95</f>
        <v>3314</v>
      </c>
      <c r="O12" s="318">
        <v>187.3</v>
      </c>
      <c r="P12" s="318">
        <v>312.39999999999998</v>
      </c>
      <c r="Q12" s="316">
        <f t="shared" si="5"/>
        <v>24961703.195393182</v>
      </c>
      <c r="R12" s="50">
        <f t="shared" si="0"/>
        <v>-643478.53800191358</v>
      </c>
      <c r="S12" s="291">
        <f t="shared" si="1"/>
        <v>-2.5130793630051385E-2</v>
      </c>
      <c r="T12" s="292">
        <f t="shared" si="2"/>
        <v>2.5130793630051385E-2</v>
      </c>
      <c r="U12" s="115"/>
      <c r="V12" s="115" t="s">
        <v>30</v>
      </c>
      <c r="W12" s="115" t="s">
        <v>31</v>
      </c>
      <c r="X12" s="115" t="s">
        <v>32</v>
      </c>
      <c r="Y12" s="115" t="s">
        <v>33</v>
      </c>
      <c r="Z12" s="115" t="s">
        <v>34</v>
      </c>
    </row>
    <row r="13" spans="1:35">
      <c r="A13" s="313">
        <v>39753</v>
      </c>
      <c r="B13" s="314">
        <f>'[14]Data Input'!B87+'[16]PSP less Loss factor'!B96</f>
        <v>28069431.084584422</v>
      </c>
      <c r="C13" s="317">
        <f>'CDM Activity'!F56</f>
        <v>167029.35476416769</v>
      </c>
      <c r="D13" s="384">
        <f t="shared" si="6"/>
        <v>1.0584179349428064</v>
      </c>
      <c r="E13" s="314">
        <f t="shared" si="3"/>
        <v>176786.86474431978</v>
      </c>
      <c r="F13" s="314">
        <f t="shared" si="4"/>
        <v>28246217.949328743</v>
      </c>
      <c r="G13" s="315">
        <f>'Purchased Power Model '!G133</f>
        <v>465.15761904761905</v>
      </c>
      <c r="H13" s="315">
        <f>'Purchased Power Model '!H133</f>
        <v>0</v>
      </c>
      <c r="I13" s="316">
        <v>30</v>
      </c>
      <c r="J13" s="316">
        <v>1</v>
      </c>
      <c r="K13" s="317">
        <v>11</v>
      </c>
      <c r="L13" s="318">
        <v>9.4</v>
      </c>
      <c r="M13" s="319">
        <f>'[18]Annual conv to Monthly'!B241</f>
        <v>138.91588351478222</v>
      </c>
      <c r="N13" s="317">
        <f>'[14]Data Input'!AJ87+'[16]PSP less Loss factor'!AA96</f>
        <v>3314</v>
      </c>
      <c r="O13" s="318">
        <v>183.5</v>
      </c>
      <c r="P13" s="318">
        <v>312.5</v>
      </c>
      <c r="Q13" s="316">
        <f t="shared" si="5"/>
        <v>26464056.821929529</v>
      </c>
      <c r="R13" s="50">
        <f t="shared" si="0"/>
        <v>-1605374.2626548931</v>
      </c>
      <c r="S13" s="291">
        <f t="shared" si="1"/>
        <v>-5.7192974728175229E-2</v>
      </c>
      <c r="T13" s="292">
        <f t="shared" si="2"/>
        <v>5.7192974728175229E-2</v>
      </c>
      <c r="U13" s="113" t="s">
        <v>27</v>
      </c>
      <c r="V13" s="113">
        <v>4</v>
      </c>
      <c r="W13" s="113">
        <v>1559135239310116.7</v>
      </c>
      <c r="X13" s="113">
        <v>389783809827529.19</v>
      </c>
      <c r="Y13" s="113">
        <v>551.29404378984327</v>
      </c>
      <c r="Z13" s="113">
        <v>5.2255935737718099E-74</v>
      </c>
    </row>
    <row r="14" spans="1:35" s="33" customFormat="1">
      <c r="A14" s="313">
        <v>39783</v>
      </c>
      <c r="B14" s="314">
        <f>'[14]Data Input'!B88+'[16]PSP less Loss factor'!B97</f>
        <v>33339608.940400124</v>
      </c>
      <c r="C14" s="317">
        <f>'CDM Activity'!F57</f>
        <v>166448.79539998755</v>
      </c>
      <c r="D14" s="384">
        <f t="shared" si="6"/>
        <v>1.0584179349428064</v>
      </c>
      <c r="E14" s="314">
        <f t="shared" si="3"/>
        <v>176172.39030097253</v>
      </c>
      <c r="F14" s="314">
        <f t="shared" si="4"/>
        <v>33515781.330701098</v>
      </c>
      <c r="G14" s="315">
        <f>'Purchased Power Model '!G134</f>
        <v>710.40619047619066</v>
      </c>
      <c r="H14" s="315">
        <f>'Purchased Power Model '!H134</f>
        <v>0</v>
      </c>
      <c r="I14" s="316">
        <v>31</v>
      </c>
      <c r="J14" s="316">
        <v>0</v>
      </c>
      <c r="K14" s="317">
        <v>12</v>
      </c>
      <c r="L14" s="318">
        <v>10.1</v>
      </c>
      <c r="M14" s="319">
        <f>'[18]Annual conv to Monthly'!B242</f>
        <v>138.8112643436159</v>
      </c>
      <c r="N14" s="317">
        <f>'[14]Data Input'!AJ88+'[16]PSP less Loss factor'!AA97</f>
        <v>3311</v>
      </c>
      <c r="O14" s="318">
        <v>177.7</v>
      </c>
      <c r="P14" s="318">
        <v>312.60000000000002</v>
      </c>
      <c r="Q14" s="316">
        <f t="shared" si="5"/>
        <v>31867619.425621167</v>
      </c>
      <c r="R14" s="50">
        <f t="shared" si="0"/>
        <v>-1471989.5147789568</v>
      </c>
      <c r="S14" s="291">
        <f t="shared" si="1"/>
        <v>-4.4151373143289506E-2</v>
      </c>
      <c r="T14" s="292">
        <f t="shared" si="2"/>
        <v>4.4151373143289506E-2</v>
      </c>
      <c r="U14" s="113" t="s">
        <v>28</v>
      </c>
      <c r="V14" s="113">
        <v>115</v>
      </c>
      <c r="W14" s="113">
        <v>81308946895231.609</v>
      </c>
      <c r="X14" s="113">
        <v>707034320828.10095</v>
      </c>
      <c r="Y14" s="113"/>
      <c r="Z14" s="113"/>
      <c r="AA14"/>
      <c r="AB14"/>
      <c r="AC14"/>
      <c r="AD14"/>
      <c r="AE14"/>
      <c r="AF14"/>
      <c r="AG14"/>
      <c r="AH14"/>
      <c r="AI14"/>
    </row>
    <row r="15" spans="1:35" ht="13" thickBot="1">
      <c r="A15" s="313">
        <v>39814</v>
      </c>
      <c r="B15" s="314">
        <f>'[14]Data Input'!B89+'[16]PSP less Loss factor'!B98</f>
        <v>36644143.048732899</v>
      </c>
      <c r="C15" s="317">
        <f>'CDM Activity'!F58</f>
        <v>179150.9741531414</v>
      </c>
      <c r="D15" s="383">
        <f>'Rate Class Energy Model'!F8</f>
        <v>1.0662580508067088</v>
      </c>
      <c r="E15" s="314">
        <f t="shared" si="3"/>
        <v>191021.16850065161</v>
      </c>
      <c r="F15" s="314">
        <f t="shared" si="4"/>
        <v>36835164.217233554</v>
      </c>
      <c r="G15" s="315">
        <f>G3</f>
        <v>784.93238095238098</v>
      </c>
      <c r="H15" s="315">
        <f>H3</f>
        <v>0</v>
      </c>
      <c r="I15" s="316">
        <v>31</v>
      </c>
      <c r="J15" s="316">
        <v>0</v>
      </c>
      <c r="K15" s="317">
        <v>13</v>
      </c>
      <c r="L15" s="318">
        <v>10.9</v>
      </c>
      <c r="M15" s="319">
        <f>'[18]Annual conv to Monthly'!B243</f>
        <v>138.43555825854429</v>
      </c>
      <c r="N15" s="317">
        <f>'[14]Data Input'!AJ89+'[16]PSP less Loss factor'!AA98</f>
        <v>3302</v>
      </c>
      <c r="O15" s="318">
        <v>169.7</v>
      </c>
      <c r="P15" s="318">
        <v>312.60000000000002</v>
      </c>
      <c r="Q15" s="316">
        <f t="shared" si="5"/>
        <v>32902427.82751571</v>
      </c>
      <c r="R15" s="50">
        <f t="shared" si="0"/>
        <v>-3741715.221217189</v>
      </c>
      <c r="S15" s="291">
        <f t="shared" si="1"/>
        <v>-0.10210950263568988</v>
      </c>
      <c r="T15" s="292">
        <f t="shared" si="2"/>
        <v>0.10210950263568988</v>
      </c>
      <c r="U15" s="114" t="s">
        <v>10</v>
      </c>
      <c r="V15" s="114">
        <v>119</v>
      </c>
      <c r="W15" s="114">
        <v>1640444186205348.2</v>
      </c>
      <c r="X15" s="114"/>
      <c r="Y15" s="114"/>
      <c r="Z15" s="114"/>
    </row>
    <row r="16" spans="1:35" ht="13" thickBot="1">
      <c r="A16" s="313">
        <v>39845</v>
      </c>
      <c r="B16" s="314">
        <f>'[14]Data Input'!B90+'[16]PSP less Loss factor'!B99</f>
        <v>30107352.823008366</v>
      </c>
      <c r="C16" s="317">
        <f>'CDM Activity'!F59</f>
        <v>191853.15290629526</v>
      </c>
      <c r="D16" s="384">
        <f>D15</f>
        <v>1.0662580508067088</v>
      </c>
      <c r="E16" s="314">
        <f t="shared" si="3"/>
        <v>204564.96885898785</v>
      </c>
      <c r="F16" s="314">
        <f t="shared" si="4"/>
        <v>30311917.791867353</v>
      </c>
      <c r="G16" s="315">
        <f t="shared" ref="G16:H79" si="7">G4</f>
        <v>739.71857142857129</v>
      </c>
      <c r="H16" s="315">
        <f t="shared" si="7"/>
        <v>0</v>
      </c>
      <c r="I16" s="316">
        <v>28</v>
      </c>
      <c r="J16" s="316">
        <v>0</v>
      </c>
      <c r="K16" s="317">
        <v>14</v>
      </c>
      <c r="L16" s="318">
        <v>12.4</v>
      </c>
      <c r="M16" s="319">
        <f>'[18]Annual conv to Monthly'!B244</f>
        <v>138.06086905825526</v>
      </c>
      <c r="N16" s="317">
        <f>'[14]Data Input'!AJ90+'[16]PSP less Loss factor'!AA99</f>
        <v>3295</v>
      </c>
      <c r="O16" s="318">
        <v>167.8</v>
      </c>
      <c r="P16" s="318">
        <v>312.60000000000002</v>
      </c>
      <c r="Q16" s="316">
        <f t="shared" si="5"/>
        <v>30227122.273814753</v>
      </c>
      <c r="R16" s="50">
        <f t="shared" si="0"/>
        <v>119769.45080638677</v>
      </c>
      <c r="S16" s="291">
        <f t="shared" si="1"/>
        <v>3.9780797571434996E-3</v>
      </c>
      <c r="T16" s="292">
        <f t="shared" si="2"/>
        <v>3.9780797571434996E-3</v>
      </c>
      <c r="U16" s="111"/>
      <c r="V16" s="111"/>
      <c r="W16" s="111"/>
      <c r="X16" s="111"/>
      <c r="Y16" s="111"/>
      <c r="Z16" s="111"/>
    </row>
    <row r="17" spans="1:27" ht="13">
      <c r="A17" s="313">
        <v>39873</v>
      </c>
      <c r="B17" s="314">
        <f>'[14]Data Input'!B91+'[16]PSP less Loss factor'!B100</f>
        <v>30275228.257078081</v>
      </c>
      <c r="C17" s="317">
        <f>'CDM Activity'!F60</f>
        <v>204555.33165944912</v>
      </c>
      <c r="D17" s="384">
        <f t="shared" ref="D17:D26" si="8">D16</f>
        <v>1.0662580508067088</v>
      </c>
      <c r="E17" s="314">
        <f t="shared" si="3"/>
        <v>218108.76921732406</v>
      </c>
      <c r="F17" s="314">
        <f t="shared" si="4"/>
        <v>30493337.026295405</v>
      </c>
      <c r="G17" s="315">
        <f t="shared" si="7"/>
        <v>622.95999999999992</v>
      </c>
      <c r="H17" s="315">
        <f t="shared" si="7"/>
        <v>0</v>
      </c>
      <c r="I17" s="316">
        <v>31</v>
      </c>
      <c r="J17" s="316">
        <v>1</v>
      </c>
      <c r="K17" s="317">
        <v>15</v>
      </c>
      <c r="L17" s="318">
        <v>15.6</v>
      </c>
      <c r="M17" s="319">
        <f>'[18]Annual conv to Monthly'!B245</f>
        <v>137.68719399045199</v>
      </c>
      <c r="N17" s="317">
        <f>'[14]Data Input'!AJ91+'[16]PSP less Loss factor'!AA100</f>
        <v>3290</v>
      </c>
      <c r="O17" s="318">
        <v>165.6</v>
      </c>
      <c r="P17" s="318">
        <v>312.7</v>
      </c>
      <c r="Q17" s="316">
        <f t="shared" si="5"/>
        <v>29337670.273077961</v>
      </c>
      <c r="R17" s="50">
        <f t="shared" si="0"/>
        <v>-937557.98400012031</v>
      </c>
      <c r="S17" s="291">
        <f t="shared" si="1"/>
        <v>-3.0967825445904856E-2</v>
      </c>
      <c r="T17" s="292">
        <f t="shared" si="2"/>
        <v>3.0967825445904856E-2</v>
      </c>
      <c r="U17" s="115"/>
      <c r="V17" s="115" t="s">
        <v>35</v>
      </c>
      <c r="W17" s="115" t="s">
        <v>24</v>
      </c>
      <c r="X17" s="115" t="s">
        <v>36</v>
      </c>
      <c r="Y17" s="115" t="s">
        <v>37</v>
      </c>
      <c r="Z17" s="115" t="s">
        <v>38</v>
      </c>
      <c r="AA17" s="115" t="s">
        <v>39</v>
      </c>
    </row>
    <row r="18" spans="1:27">
      <c r="A18" s="313">
        <v>39904</v>
      </c>
      <c r="B18" s="314">
        <f>'[14]Data Input'!B92+'[16]PSP less Loss factor'!B101</f>
        <v>24928066.931406528</v>
      </c>
      <c r="C18" s="317">
        <f>'CDM Activity'!F61</f>
        <v>217257.51041260298</v>
      </c>
      <c r="D18" s="384">
        <f t="shared" si="8"/>
        <v>1.0662580508067088</v>
      </c>
      <c r="E18" s="314">
        <f t="shared" si="3"/>
        <v>231652.56957566028</v>
      </c>
      <c r="F18" s="314">
        <f t="shared" si="4"/>
        <v>25159719.500982188</v>
      </c>
      <c r="G18" s="315">
        <f t="shared" si="7"/>
        <v>379.45</v>
      </c>
      <c r="H18" s="315">
        <f t="shared" si="7"/>
        <v>0.01</v>
      </c>
      <c r="I18" s="316">
        <v>30</v>
      </c>
      <c r="J18" s="316">
        <v>1</v>
      </c>
      <c r="K18" s="317">
        <v>16</v>
      </c>
      <c r="L18" s="318">
        <v>17.899999999999999</v>
      </c>
      <c r="M18" s="319">
        <f>'[18]Annual conv to Monthly'!B246</f>
        <v>137.31453031028698</v>
      </c>
      <c r="N18" s="317">
        <f>'[14]Data Input'!AJ92+'[16]PSP less Loss factor'!AA101</f>
        <v>3289</v>
      </c>
      <c r="O18" s="318">
        <v>165.9</v>
      </c>
      <c r="P18" s="318">
        <v>312.7</v>
      </c>
      <c r="Q18" s="316">
        <f t="shared" si="5"/>
        <v>25274433.902305242</v>
      </c>
      <c r="R18" s="50">
        <f t="shared" si="0"/>
        <v>346366.97089871392</v>
      </c>
      <c r="S18" s="291">
        <f t="shared" si="1"/>
        <v>1.3894658252153958E-2</v>
      </c>
      <c r="T18" s="292">
        <f t="shared" si="2"/>
        <v>1.3894658252153958E-2</v>
      </c>
      <c r="U18" s="113" t="s">
        <v>29</v>
      </c>
      <c r="V18" s="63">
        <v>845967.48474658618</v>
      </c>
      <c r="W18" s="63">
        <v>3000557.9440368274</v>
      </c>
      <c r="X18" s="61">
        <v>0.28193672661040375</v>
      </c>
      <c r="Y18" s="113">
        <v>0.77849876691883391</v>
      </c>
      <c r="Z18" s="63">
        <v>-5097560.3183208052</v>
      </c>
      <c r="AA18" s="63">
        <v>6789495.2878139783</v>
      </c>
    </row>
    <row r="19" spans="1:27">
      <c r="A19" s="313">
        <v>39934</v>
      </c>
      <c r="B19" s="314">
        <f>'[14]Data Input'!B93+'[16]PSP less Loss factor'!B102</f>
        <v>22752809.991994642</v>
      </c>
      <c r="C19" s="317">
        <f>'CDM Activity'!F62</f>
        <v>229959.68916575683</v>
      </c>
      <c r="D19" s="384">
        <f t="shared" si="8"/>
        <v>1.0662580508067088</v>
      </c>
      <c r="E19" s="314">
        <f t="shared" si="3"/>
        <v>245196.3699339965</v>
      </c>
      <c r="F19" s="314">
        <f t="shared" si="4"/>
        <v>22998006.361928638</v>
      </c>
      <c r="G19" s="315">
        <f t="shared" si="7"/>
        <v>190.97476190476192</v>
      </c>
      <c r="H19" s="315">
        <f t="shared" si="7"/>
        <v>8.77</v>
      </c>
      <c r="I19" s="316">
        <v>31</v>
      </c>
      <c r="J19" s="316">
        <v>1</v>
      </c>
      <c r="K19" s="317">
        <v>17</v>
      </c>
      <c r="L19" s="318">
        <v>18.100000000000001</v>
      </c>
      <c r="M19" s="319">
        <f>'[18]Annual conv to Monthly'!B247</f>
        <v>136.94287528034204</v>
      </c>
      <c r="N19" s="317">
        <f>'[14]Data Input'!AJ93+'[16]PSP less Loss factor'!AA102</f>
        <v>3326</v>
      </c>
      <c r="O19" s="318">
        <v>168.3</v>
      </c>
      <c r="P19" s="318">
        <v>312.8</v>
      </c>
      <c r="Q19" s="316">
        <f t="shared" si="5"/>
        <v>23726640.695626006</v>
      </c>
      <c r="R19" s="50">
        <f t="shared" si="0"/>
        <v>973830.70363136381</v>
      </c>
      <c r="S19" s="291">
        <f t="shared" si="1"/>
        <v>4.2800458667478732E-2</v>
      </c>
      <c r="T19" s="292">
        <f t="shared" si="2"/>
        <v>4.2800458667478732E-2</v>
      </c>
      <c r="U19" s="113" t="s">
        <v>3</v>
      </c>
      <c r="V19" s="63">
        <v>13885.164333270823</v>
      </c>
      <c r="W19" s="63">
        <v>386.52599391723408</v>
      </c>
      <c r="X19" s="61">
        <v>35.922976854808944</v>
      </c>
      <c r="Y19" s="113">
        <v>2.3955859104888832E-64</v>
      </c>
      <c r="Z19" s="63">
        <v>13119.530729686881</v>
      </c>
      <c r="AA19" s="63">
        <v>14650.797936854764</v>
      </c>
    </row>
    <row r="20" spans="1:27">
      <c r="A20" s="313">
        <v>39965</v>
      </c>
      <c r="B20" s="314">
        <f>'[14]Data Input'!B94+'[16]PSP less Loss factor'!B103</f>
        <v>22540578.897934616</v>
      </c>
      <c r="C20" s="317">
        <f>'CDM Activity'!F63</f>
        <v>242661.86791891069</v>
      </c>
      <c r="D20" s="384">
        <f t="shared" si="8"/>
        <v>1.0662580508067088</v>
      </c>
      <c r="E20" s="314">
        <f t="shared" si="3"/>
        <v>258740.17029233274</v>
      </c>
      <c r="F20" s="314">
        <f t="shared" si="4"/>
        <v>22799319.068226948</v>
      </c>
      <c r="G20" s="315">
        <f t="shared" si="7"/>
        <v>69.127619047619049</v>
      </c>
      <c r="H20" s="315">
        <f t="shared" si="7"/>
        <v>22.15</v>
      </c>
      <c r="I20" s="316">
        <v>30</v>
      </c>
      <c r="J20" s="316">
        <v>0</v>
      </c>
      <c r="K20" s="317">
        <v>18</v>
      </c>
      <c r="L20" s="318">
        <v>15.8</v>
      </c>
      <c r="M20" s="319">
        <f>'[18]Annual conv to Monthly'!B248</f>
        <v>136.57222617060793</v>
      </c>
      <c r="N20" s="317">
        <f>'[14]Data Input'!AJ94+'[16]PSP less Loss factor'!AA103</f>
        <v>3309</v>
      </c>
      <c r="O20" s="318">
        <v>173.4</v>
      </c>
      <c r="P20" s="318">
        <v>312.89999999999998</v>
      </c>
      <c r="Q20" s="316">
        <f t="shared" si="5"/>
        <v>23258683.474074669</v>
      </c>
      <c r="R20" s="50">
        <f t="shared" si="0"/>
        <v>718104.57614005357</v>
      </c>
      <c r="S20" s="291">
        <f t="shared" si="1"/>
        <v>3.1858302281928229E-2</v>
      </c>
      <c r="T20" s="292">
        <f t="shared" si="2"/>
        <v>3.1858302281928229E-2</v>
      </c>
      <c r="U20" s="113" t="s">
        <v>4</v>
      </c>
      <c r="V20" s="63">
        <v>44145.546527656501</v>
      </c>
      <c r="W20" s="63">
        <v>5908.5710878617183</v>
      </c>
      <c r="X20" s="61">
        <v>7.4714420578516805</v>
      </c>
      <c r="Y20" s="113">
        <v>1.6786693171758472E-11</v>
      </c>
      <c r="Z20" s="63">
        <v>32441.804359671478</v>
      </c>
      <c r="AA20" s="63">
        <v>55849.288695641524</v>
      </c>
    </row>
    <row r="21" spans="1:27">
      <c r="A21" s="313">
        <v>39995</v>
      </c>
      <c r="B21" s="314">
        <f>'[14]Data Input'!B95+'[16]PSP less Loss factor'!B104</f>
        <v>23356188.043034244</v>
      </c>
      <c r="C21" s="317">
        <f>'CDM Activity'!F64</f>
        <v>255364.04667206455</v>
      </c>
      <c r="D21" s="384">
        <f t="shared" si="8"/>
        <v>1.0662580508067088</v>
      </c>
      <c r="E21" s="314">
        <f t="shared" si="3"/>
        <v>272283.97065066895</v>
      </c>
      <c r="F21" s="314">
        <f t="shared" si="4"/>
        <v>23628472.013684914</v>
      </c>
      <c r="G21" s="315">
        <f t="shared" si="7"/>
        <v>22.305238095238096</v>
      </c>
      <c r="H21" s="315">
        <f t="shared" si="7"/>
        <v>53.85</v>
      </c>
      <c r="I21" s="316">
        <v>31</v>
      </c>
      <c r="J21" s="316">
        <v>0</v>
      </c>
      <c r="K21" s="317">
        <v>19</v>
      </c>
      <c r="L21" s="318">
        <v>13.2</v>
      </c>
      <c r="M21" s="319">
        <f>'[18]Annual conv to Monthly'!B249</f>
        <v>136.20258025846454</v>
      </c>
      <c r="N21" s="317">
        <f>'[14]Data Input'!AJ95+'[16]PSP less Loss factor'!AA104</f>
        <v>3325</v>
      </c>
      <c r="O21" s="318">
        <v>176.8</v>
      </c>
      <c r="P21" s="318">
        <v>313.10000000000002</v>
      </c>
      <c r="Q21" s="316">
        <f t="shared" si="5"/>
        <v>24690462.304445781</v>
      </c>
      <c r="R21" s="50">
        <f t="shared" si="0"/>
        <v>1334274.2614115365</v>
      </c>
      <c r="S21" s="291">
        <f t="shared" si="1"/>
        <v>5.7127227223599565E-2</v>
      </c>
      <c r="T21" s="292">
        <f t="shared" si="2"/>
        <v>5.7127227223599565E-2</v>
      </c>
      <c r="U21" s="113" t="s">
        <v>5</v>
      </c>
      <c r="V21" s="63">
        <v>682501.45944321866</v>
      </c>
      <c r="W21" s="63">
        <v>98864.79967765187</v>
      </c>
      <c r="X21" s="61">
        <v>6.9033818069576922</v>
      </c>
      <c r="Y21" s="113">
        <v>2.9557565232332683E-10</v>
      </c>
      <c r="Z21" s="63">
        <v>486669.31869199837</v>
      </c>
      <c r="AA21" s="63">
        <v>878333.60019443894</v>
      </c>
    </row>
    <row r="22" spans="1:27" ht="13" thickBot="1">
      <c r="A22" s="313">
        <v>40026</v>
      </c>
      <c r="B22" s="314">
        <f>'[14]Data Input'!B96+'[16]PSP less Loss factor'!B105</f>
        <v>24159314.970736902</v>
      </c>
      <c r="C22" s="317">
        <f>'CDM Activity'!F65</f>
        <v>268066.22542521841</v>
      </c>
      <c r="D22" s="384">
        <f t="shared" si="8"/>
        <v>1.0662580508067088</v>
      </c>
      <c r="E22" s="314">
        <f t="shared" si="3"/>
        <v>285827.7710090052</v>
      </c>
      <c r="F22" s="314">
        <f t="shared" si="4"/>
        <v>24445142.741745908</v>
      </c>
      <c r="G22" s="315">
        <f t="shared" si="7"/>
        <v>35.084761904761905</v>
      </c>
      <c r="H22" s="315">
        <f t="shared" si="7"/>
        <v>38.71</v>
      </c>
      <c r="I22" s="316">
        <v>31</v>
      </c>
      <c r="J22" s="316">
        <v>0</v>
      </c>
      <c r="K22" s="317">
        <v>20</v>
      </c>
      <c r="L22" s="318">
        <v>12.9</v>
      </c>
      <c r="M22" s="319">
        <f>'[18]Annual conv to Monthly'!B250</f>
        <v>135.83393482866074</v>
      </c>
      <c r="N22" s="317">
        <f>'[14]Data Input'!AJ96+'[16]PSP less Loss factor'!AA105</f>
        <v>3301</v>
      </c>
      <c r="O22" s="318">
        <v>175.1</v>
      </c>
      <c r="P22" s="318">
        <v>313.3</v>
      </c>
      <c r="Q22" s="316">
        <f t="shared" si="5"/>
        <v>24199544.518213246</v>
      </c>
      <c r="R22" s="50">
        <f t="shared" si="0"/>
        <v>40229.547476343811</v>
      </c>
      <c r="S22" s="291">
        <f t="shared" si="1"/>
        <v>1.665177490548555E-3</v>
      </c>
      <c r="T22" s="292">
        <f t="shared" si="2"/>
        <v>1.665177490548555E-3</v>
      </c>
      <c r="U22" s="114" t="s">
        <v>19</v>
      </c>
      <c r="V22" s="64">
        <v>-1315744.4274627932</v>
      </c>
      <c r="W22" s="64">
        <v>186124.86168784331</v>
      </c>
      <c r="X22" s="62">
        <v>-7.0691492556726541</v>
      </c>
      <c r="Y22" s="114">
        <v>1.2904071651269417E-10</v>
      </c>
      <c r="Z22" s="64">
        <v>-1684421.9570809954</v>
      </c>
      <c r="AA22" s="64">
        <v>-947066.89784459095</v>
      </c>
    </row>
    <row r="23" spans="1:27">
      <c r="A23" s="313">
        <v>40057</v>
      </c>
      <c r="B23" s="314">
        <f>'[14]Data Input'!B97+'[16]PSP less Loss factor'!B106</f>
        <v>22404172.26501926</v>
      </c>
      <c r="C23" s="317">
        <f>'CDM Activity'!F66</f>
        <v>280768.40417837229</v>
      </c>
      <c r="D23" s="384">
        <f t="shared" si="8"/>
        <v>1.0662580508067088</v>
      </c>
      <c r="E23" s="314">
        <f t="shared" si="3"/>
        <v>299371.57136734144</v>
      </c>
      <c r="F23" s="314">
        <f t="shared" si="4"/>
        <v>22703543.836386602</v>
      </c>
      <c r="G23" s="315">
        <f t="shared" si="7"/>
        <v>119.32619047619046</v>
      </c>
      <c r="H23" s="315">
        <f t="shared" si="7"/>
        <v>14.820000000000002</v>
      </c>
      <c r="I23" s="316">
        <v>30</v>
      </c>
      <c r="J23" s="316">
        <v>1</v>
      </c>
      <c r="K23" s="317">
        <v>21</v>
      </c>
      <c r="L23" s="318">
        <v>12.9</v>
      </c>
      <c r="M23" s="319">
        <f>'[18]Annual conv to Monthly'!B251</f>
        <v>135.46628717329455</v>
      </c>
      <c r="N23" s="317">
        <f>'[14]Data Input'!AJ97+'[16]PSP less Loss factor'!AA106</f>
        <v>3325</v>
      </c>
      <c r="O23" s="318">
        <v>172.6</v>
      </c>
      <c r="P23" s="318">
        <v>313.5</v>
      </c>
      <c r="Q23" s="316">
        <f t="shared" si="5"/>
        <v>22316367.6041453</v>
      </c>
      <c r="R23" s="50">
        <f t="shared" si="0"/>
        <v>-87804.660873960704</v>
      </c>
      <c r="S23" s="291">
        <f t="shared" si="1"/>
        <v>-3.9191209492284813E-3</v>
      </c>
      <c r="T23" s="292">
        <f t="shared" si="2"/>
        <v>3.9191209492284813E-3</v>
      </c>
      <c r="U23"/>
    </row>
    <row r="24" spans="1:27">
      <c r="A24" s="313">
        <v>40087</v>
      </c>
      <c r="B24" s="314">
        <f>'[14]Data Input'!B98+'[16]PSP less Loss factor'!B107</f>
        <v>25125857.59</v>
      </c>
      <c r="C24" s="317">
        <f>'CDM Activity'!F67</f>
        <v>293470.58293152618</v>
      </c>
      <c r="D24" s="384">
        <f t="shared" si="8"/>
        <v>1.0662580508067088</v>
      </c>
      <c r="E24" s="314">
        <f t="shared" si="3"/>
        <v>312915.37172567769</v>
      </c>
      <c r="F24" s="314">
        <f t="shared" si="4"/>
        <v>25438772.961725678</v>
      </c>
      <c r="G24" s="315">
        <f t="shared" si="7"/>
        <v>307.71047619047624</v>
      </c>
      <c r="H24" s="315">
        <f t="shared" si="7"/>
        <v>0.03</v>
      </c>
      <c r="I24" s="316">
        <v>31</v>
      </c>
      <c r="J24" s="316">
        <v>1</v>
      </c>
      <c r="K24" s="317">
        <v>22</v>
      </c>
      <c r="L24" s="318">
        <v>14.2</v>
      </c>
      <c r="M24" s="319">
        <f>'[18]Annual conv to Monthly'!B252</f>
        <v>135.09963459179312</v>
      </c>
      <c r="N24" s="317">
        <f>'[14]Data Input'!AJ98+'[16]PSP less Loss factor'!AA107</f>
        <v>3321</v>
      </c>
      <c r="O24" s="318">
        <v>170.5</v>
      </c>
      <c r="P24" s="318">
        <v>313.7</v>
      </c>
      <c r="Q24" s="316">
        <f t="shared" si="5"/>
        <v>24961703.195393182</v>
      </c>
      <c r="R24" s="50">
        <f t="shared" si="0"/>
        <v>-164154.39460681751</v>
      </c>
      <c r="S24" s="291">
        <f t="shared" si="1"/>
        <v>-6.5332852428547699E-3</v>
      </c>
      <c r="T24" s="292">
        <f t="shared" si="2"/>
        <v>6.5332852428547699E-3</v>
      </c>
      <c r="U24"/>
    </row>
    <row r="25" spans="1:27">
      <c r="A25" s="313">
        <v>40118</v>
      </c>
      <c r="B25" s="314">
        <f>'[14]Data Input'!B99+'[16]PSP less Loss factor'!B108</f>
        <v>25307116.159929704</v>
      </c>
      <c r="C25" s="317">
        <f>'CDM Activity'!F68</f>
        <v>306172.76168468007</v>
      </c>
      <c r="D25" s="384">
        <f t="shared" si="8"/>
        <v>1.0662580508067088</v>
      </c>
      <c r="E25" s="314">
        <f t="shared" si="3"/>
        <v>326459.17208401393</v>
      </c>
      <c r="F25" s="314">
        <f t="shared" si="4"/>
        <v>25633575.332013719</v>
      </c>
      <c r="G25" s="315">
        <f t="shared" si="7"/>
        <v>465.15761904761905</v>
      </c>
      <c r="H25" s="315">
        <f t="shared" si="7"/>
        <v>0</v>
      </c>
      <c r="I25" s="316">
        <v>30</v>
      </c>
      <c r="J25" s="316">
        <v>1</v>
      </c>
      <c r="K25" s="317">
        <v>23</v>
      </c>
      <c r="L25" s="318">
        <v>15.4</v>
      </c>
      <c r="M25" s="319">
        <f>'[18]Annual conv to Monthly'!B253</f>
        <v>134.733974390893</v>
      </c>
      <c r="N25" s="317">
        <f>'[14]Data Input'!AJ99+'[16]PSP less Loss factor'!AA108</f>
        <v>3317</v>
      </c>
      <c r="O25" s="318">
        <v>171.9</v>
      </c>
      <c r="P25" s="318">
        <v>313.8</v>
      </c>
      <c r="Q25" s="316">
        <f t="shared" si="5"/>
        <v>26464056.821929529</v>
      </c>
      <c r="R25" s="50">
        <f t="shared" si="0"/>
        <v>1156940.6619998254</v>
      </c>
      <c r="S25" s="291">
        <f t="shared" si="1"/>
        <v>4.5716021323349357E-2</v>
      </c>
      <c r="T25" s="292">
        <f t="shared" si="2"/>
        <v>4.5716021323349357E-2</v>
      </c>
      <c r="U25"/>
    </row>
    <row r="26" spans="1:27">
      <c r="A26" s="313">
        <v>40148</v>
      </c>
      <c r="B26" s="314">
        <f>'[14]Data Input'!B100+'[16]PSP less Loss factor'!B109</f>
        <v>31132521.689999998</v>
      </c>
      <c r="C26" s="317">
        <f>'CDM Activity'!F69</f>
        <v>318874.94043783395</v>
      </c>
      <c r="D26" s="384">
        <f t="shared" si="8"/>
        <v>1.0662580508067088</v>
      </c>
      <c r="E26" s="314">
        <f t="shared" si="3"/>
        <v>340002.97244235018</v>
      </c>
      <c r="F26" s="314">
        <f t="shared" si="4"/>
        <v>31472524.662442349</v>
      </c>
      <c r="G26" s="315">
        <f t="shared" si="7"/>
        <v>710.40619047619066</v>
      </c>
      <c r="H26" s="315">
        <f t="shared" si="7"/>
        <v>0</v>
      </c>
      <c r="I26" s="316">
        <v>31</v>
      </c>
      <c r="J26" s="316">
        <v>0</v>
      </c>
      <c r="K26" s="317">
        <v>24</v>
      </c>
      <c r="L26" s="318">
        <v>16.600000000000001</v>
      </c>
      <c r="M26" s="319">
        <f>'[18]Annual conv to Monthly'!B254</f>
        <v>134.36930388462019</v>
      </c>
      <c r="N26" s="317">
        <f>'[14]Data Input'!AJ100+'[16]PSP less Loss factor'!AA109</f>
        <v>3300</v>
      </c>
      <c r="O26" s="318">
        <v>172.5</v>
      </c>
      <c r="P26" s="318">
        <v>313.89999999999998</v>
      </c>
      <c r="Q26" s="316">
        <f t="shared" si="5"/>
        <v>31867619.425621167</v>
      </c>
      <c r="R26" s="50">
        <f t="shared" si="0"/>
        <v>735097.73562116921</v>
      </c>
      <c r="S26" s="291">
        <f t="shared" si="1"/>
        <v>2.3611891864746961E-2</v>
      </c>
      <c r="T26" s="292">
        <f t="shared" si="2"/>
        <v>2.3611891864746961E-2</v>
      </c>
      <c r="U26"/>
    </row>
    <row r="27" spans="1:27">
      <c r="A27" s="313">
        <v>40179</v>
      </c>
      <c r="B27" s="314">
        <f>'[14]Data Input'!B101+'[16]PSP less Loss factor'!B110</f>
        <v>33753525.890000001</v>
      </c>
      <c r="C27" s="317">
        <f>'CDM Activity'!F70</f>
        <v>309848.48603923374</v>
      </c>
      <c r="D27" s="383">
        <f>'Rate Class Energy Model'!F9</f>
        <v>1.0720967014224141</v>
      </c>
      <c r="E27" s="314">
        <f t="shared" si="3"/>
        <v>332187.53982339142</v>
      </c>
      <c r="F27" s="314">
        <f t="shared" si="4"/>
        <v>34085713.429823391</v>
      </c>
      <c r="G27" s="315">
        <f t="shared" si="7"/>
        <v>784.93238095238098</v>
      </c>
      <c r="H27" s="315">
        <f t="shared" si="7"/>
        <v>0</v>
      </c>
      <c r="I27" s="316">
        <v>31</v>
      </c>
      <c r="J27" s="316">
        <v>0</v>
      </c>
      <c r="K27" s="317">
        <v>25</v>
      </c>
      <c r="L27" s="318">
        <v>19</v>
      </c>
      <c r="M27" s="319">
        <f>'[18]Annual conv to Monthly'!B255</f>
        <v>134.73334561620703</v>
      </c>
      <c r="N27" s="317">
        <f>'[14]Data Input'!AJ101+'[16]PSP less Loss factor'!AA110</f>
        <v>3308</v>
      </c>
      <c r="O27" s="318">
        <v>172.6</v>
      </c>
      <c r="P27" s="318">
        <v>314</v>
      </c>
      <c r="Q27" s="316">
        <f t="shared" si="5"/>
        <v>32902427.82751571</v>
      </c>
      <c r="R27" s="50">
        <f t="shared" si="0"/>
        <v>-851098.06248429045</v>
      </c>
      <c r="S27" s="291">
        <f t="shared" si="1"/>
        <v>-2.5215086129311347E-2</v>
      </c>
      <c r="T27" s="292">
        <f t="shared" si="2"/>
        <v>2.5215086129311347E-2</v>
      </c>
      <c r="U27"/>
    </row>
    <row r="28" spans="1:27">
      <c r="A28" s="313">
        <v>40210</v>
      </c>
      <c r="B28" s="314">
        <f>'[14]Data Input'!B102+'[16]PSP less Loss factor'!B111</f>
        <v>29592259.52</v>
      </c>
      <c r="C28" s="317">
        <f>'CDM Activity'!F71</f>
        <v>300822.03164063353</v>
      </c>
      <c r="D28" s="384">
        <f>D27</f>
        <v>1.0720967014224141</v>
      </c>
      <c r="E28" s="314">
        <f t="shared" si="3"/>
        <v>322510.30783711228</v>
      </c>
      <c r="F28" s="314">
        <f t="shared" si="4"/>
        <v>29914769.827837113</v>
      </c>
      <c r="G28" s="315">
        <f t="shared" si="7"/>
        <v>739.71857142857129</v>
      </c>
      <c r="H28" s="315">
        <f t="shared" si="7"/>
        <v>0</v>
      </c>
      <c r="I28" s="316">
        <v>28</v>
      </c>
      <c r="J28" s="316">
        <v>0</v>
      </c>
      <c r="K28" s="317">
        <v>26</v>
      </c>
      <c r="L28" s="318">
        <v>19.3</v>
      </c>
      <c r="M28" s="319">
        <f>'[18]Annual conv to Monthly'!B256</f>
        <v>135.09837363244745</v>
      </c>
      <c r="N28" s="317">
        <f>'[14]Data Input'!AJ102+'[16]PSP less Loss factor'!AA111</f>
        <v>3287</v>
      </c>
      <c r="O28" s="318">
        <v>172.7</v>
      </c>
      <c r="P28" s="318">
        <v>314.10000000000002</v>
      </c>
      <c r="Q28" s="316">
        <f t="shared" si="5"/>
        <v>30227122.273814753</v>
      </c>
      <c r="R28" s="50">
        <f t="shared" si="0"/>
        <v>634862.75381475314</v>
      </c>
      <c r="S28" s="291">
        <f t="shared" si="1"/>
        <v>2.1453676201564791E-2</v>
      </c>
      <c r="T28" s="292">
        <f t="shared" si="2"/>
        <v>2.1453676201564791E-2</v>
      </c>
      <c r="U28"/>
    </row>
    <row r="29" spans="1:27">
      <c r="A29" s="313">
        <v>40238</v>
      </c>
      <c r="B29" s="314">
        <f>'[14]Data Input'!B103+'[16]PSP less Loss factor'!B112</f>
        <v>27073616.93</v>
      </c>
      <c r="C29" s="317">
        <f>'CDM Activity'!F72</f>
        <v>291795.57724203332</v>
      </c>
      <c r="D29" s="384">
        <f t="shared" ref="D29:D38" si="9">D28</f>
        <v>1.0720967014224141</v>
      </c>
      <c r="E29" s="314">
        <f t="shared" si="3"/>
        <v>312833.07585083315</v>
      </c>
      <c r="F29" s="314">
        <f t="shared" si="4"/>
        <v>27386450.005850833</v>
      </c>
      <c r="G29" s="315">
        <f t="shared" si="7"/>
        <v>622.95999999999992</v>
      </c>
      <c r="H29" s="315">
        <f t="shared" si="7"/>
        <v>0</v>
      </c>
      <c r="I29" s="316">
        <v>31</v>
      </c>
      <c r="J29" s="316">
        <v>1</v>
      </c>
      <c r="K29" s="317">
        <v>27</v>
      </c>
      <c r="L29" s="318">
        <v>20.9</v>
      </c>
      <c r="M29" s="319">
        <f>'[18]Annual conv to Monthly'!B257</f>
        <v>135.46439060544563</v>
      </c>
      <c r="N29" s="317">
        <f>'[14]Data Input'!AJ103+'[16]PSP less Loss factor'!AA112</f>
        <v>3325</v>
      </c>
      <c r="O29" s="318">
        <v>173.5</v>
      </c>
      <c r="P29" s="318">
        <v>314.3</v>
      </c>
      <c r="Q29" s="316">
        <f t="shared" si="5"/>
        <v>29337670.273077961</v>
      </c>
      <c r="R29" s="50">
        <f t="shared" si="0"/>
        <v>2264053.3430779614</v>
      </c>
      <c r="S29" s="291">
        <f t="shared" si="1"/>
        <v>8.3625817301462471E-2</v>
      </c>
      <c r="T29" s="292">
        <f t="shared" si="2"/>
        <v>8.3625817301462471E-2</v>
      </c>
      <c r="U29"/>
    </row>
    <row r="30" spans="1:27">
      <c r="A30" s="313">
        <v>40269</v>
      </c>
      <c r="B30" s="314">
        <f>'[14]Data Input'!B104+'[16]PSP less Loss factor'!B113</f>
        <v>22398626.539999999</v>
      </c>
      <c r="C30" s="317">
        <f>'CDM Activity'!F73</f>
        <v>282769.12284343311</v>
      </c>
      <c r="D30" s="384">
        <f t="shared" si="9"/>
        <v>1.0720967014224141</v>
      </c>
      <c r="E30" s="314">
        <f t="shared" si="3"/>
        <v>303155.84386455402</v>
      </c>
      <c r="F30" s="314">
        <f t="shared" si="4"/>
        <v>22701782.383864552</v>
      </c>
      <c r="G30" s="315">
        <f t="shared" si="7"/>
        <v>379.45</v>
      </c>
      <c r="H30" s="315">
        <f t="shared" si="7"/>
        <v>0.01</v>
      </c>
      <c r="I30" s="316">
        <v>30</v>
      </c>
      <c r="J30" s="316">
        <v>1</v>
      </c>
      <c r="K30" s="317">
        <v>28</v>
      </c>
      <c r="L30" s="318">
        <v>18.2</v>
      </c>
      <c r="M30" s="319">
        <f>'[18]Annual conv to Monthly'!B258</f>
        <v>135.83139921454512</v>
      </c>
      <c r="N30" s="317">
        <f>'[14]Data Input'!AJ104+'[16]PSP less Loss factor'!AA113</f>
        <v>3321</v>
      </c>
      <c r="O30" s="318">
        <v>176.2</v>
      </c>
      <c r="P30" s="318">
        <v>314.39999999999998</v>
      </c>
      <c r="Q30" s="316">
        <f t="shared" si="5"/>
        <v>25274433.902305242</v>
      </c>
      <c r="R30" s="50">
        <f t="shared" si="0"/>
        <v>2875807.3623052426</v>
      </c>
      <c r="S30" s="291">
        <f t="shared" si="1"/>
        <v>0.12839212963212532</v>
      </c>
      <c r="T30" s="292">
        <f t="shared" si="2"/>
        <v>0.12839212963212532</v>
      </c>
      <c r="U30"/>
    </row>
    <row r="31" spans="1:27">
      <c r="A31" s="313">
        <v>40299</v>
      </c>
      <c r="B31" s="314">
        <f>'[14]Data Input'!B105+'[16]PSP less Loss factor'!B114</f>
        <v>23249096.890000001</v>
      </c>
      <c r="C31" s="317">
        <f>'CDM Activity'!F74</f>
        <v>273742.6684448329</v>
      </c>
      <c r="D31" s="384">
        <f t="shared" si="9"/>
        <v>1.0720967014224141</v>
      </c>
      <c r="E31" s="314">
        <f t="shared" si="3"/>
        <v>293478.61187827494</v>
      </c>
      <c r="F31" s="314">
        <f t="shared" si="4"/>
        <v>23542575.501878276</v>
      </c>
      <c r="G31" s="315">
        <f t="shared" si="7"/>
        <v>190.97476190476192</v>
      </c>
      <c r="H31" s="315">
        <f t="shared" si="7"/>
        <v>8.77</v>
      </c>
      <c r="I31" s="316">
        <v>31</v>
      </c>
      <c r="J31" s="316">
        <v>1</v>
      </c>
      <c r="K31" s="317">
        <v>29</v>
      </c>
      <c r="L31" s="318">
        <v>16.7</v>
      </c>
      <c r="M31" s="319">
        <f>'[18]Annual conv to Monthly'!B259</f>
        <v>136.19940214634852</v>
      </c>
      <c r="N31" s="317">
        <f>'[14]Data Input'!AJ105+'[16]PSP less Loss factor'!AA114</f>
        <v>3326</v>
      </c>
      <c r="O31" s="318">
        <v>178.7</v>
      </c>
      <c r="P31" s="318">
        <v>314.60000000000002</v>
      </c>
      <c r="Q31" s="316">
        <f t="shared" si="5"/>
        <v>23726640.695626006</v>
      </c>
      <c r="R31" s="50">
        <f t="shared" si="0"/>
        <v>477543.80562600493</v>
      </c>
      <c r="S31" s="291">
        <f t="shared" si="1"/>
        <v>2.0540316378113082E-2</v>
      </c>
      <c r="T31" s="292">
        <f t="shared" si="2"/>
        <v>2.0540316378113082E-2</v>
      </c>
      <c r="U31"/>
    </row>
    <row r="32" spans="1:27">
      <c r="A32" s="313">
        <v>40330</v>
      </c>
      <c r="B32" s="314">
        <f>'[14]Data Input'!B106+'[16]PSP less Loss factor'!B115</f>
        <v>21940477.289999999</v>
      </c>
      <c r="C32" s="317">
        <f>'CDM Activity'!F75</f>
        <v>264716.21404623269</v>
      </c>
      <c r="D32" s="384">
        <f t="shared" si="9"/>
        <v>1.0720967014224141</v>
      </c>
      <c r="E32" s="314">
        <f t="shared" si="3"/>
        <v>283801.37989199581</v>
      </c>
      <c r="F32" s="314">
        <f t="shared" si="4"/>
        <v>22224278.669891994</v>
      </c>
      <c r="G32" s="315">
        <f t="shared" si="7"/>
        <v>69.127619047619049</v>
      </c>
      <c r="H32" s="315">
        <f t="shared" si="7"/>
        <v>22.15</v>
      </c>
      <c r="I32" s="316">
        <v>30</v>
      </c>
      <c r="J32" s="316">
        <v>0</v>
      </c>
      <c r="K32" s="317">
        <v>30</v>
      </c>
      <c r="L32" s="318">
        <v>13.3</v>
      </c>
      <c r="M32" s="319">
        <f>'[18]Annual conv to Monthly'!B260</f>
        <v>136.56840209473719</v>
      </c>
      <c r="N32" s="317">
        <f>'[14]Data Input'!AJ106+'[16]PSP less Loss factor'!AA115</f>
        <v>3326</v>
      </c>
      <c r="O32" s="318">
        <v>179</v>
      </c>
      <c r="P32" s="318">
        <v>314.8</v>
      </c>
      <c r="Q32" s="316">
        <f t="shared" si="5"/>
        <v>23258683.474074669</v>
      </c>
      <c r="R32" s="50">
        <f t="shared" si="0"/>
        <v>1318206.1840746701</v>
      </c>
      <c r="S32" s="291">
        <f t="shared" si="1"/>
        <v>6.0081016773298745E-2</v>
      </c>
      <c r="T32" s="292">
        <f t="shared" si="2"/>
        <v>6.0081016773298745E-2</v>
      </c>
      <c r="U32"/>
    </row>
    <row r="33" spans="1:21">
      <c r="A33" s="313">
        <v>40360</v>
      </c>
      <c r="B33" s="314">
        <f>'[14]Data Input'!B107+'[16]PSP less Loss factor'!B116</f>
        <v>25160216.039999999</v>
      </c>
      <c r="C33" s="317">
        <f>'CDM Activity'!F76</f>
        <v>255689.75964763248</v>
      </c>
      <c r="D33" s="384">
        <f t="shared" si="9"/>
        <v>1.0720967014224141</v>
      </c>
      <c r="E33" s="314">
        <f t="shared" si="3"/>
        <v>274124.14790571667</v>
      </c>
      <c r="F33" s="314">
        <f t="shared" si="4"/>
        <v>25434340.187905714</v>
      </c>
      <c r="G33" s="315">
        <f t="shared" si="7"/>
        <v>22.305238095238096</v>
      </c>
      <c r="H33" s="315">
        <f t="shared" si="7"/>
        <v>53.85</v>
      </c>
      <c r="I33" s="316">
        <v>31</v>
      </c>
      <c r="J33" s="316">
        <v>0</v>
      </c>
      <c r="K33" s="317">
        <v>31</v>
      </c>
      <c r="L33" s="318">
        <v>14.3</v>
      </c>
      <c r="M33" s="319">
        <f>'[18]Annual conv to Monthly'!B261</f>
        <v>136.93840176089088</v>
      </c>
      <c r="N33" s="317">
        <f>'[14]Data Input'!AJ107+'[16]PSP less Loss factor'!AA116</f>
        <v>3309</v>
      </c>
      <c r="O33" s="318">
        <v>176.8</v>
      </c>
      <c r="P33" s="318">
        <v>315.10000000000002</v>
      </c>
      <c r="Q33" s="316">
        <f t="shared" si="5"/>
        <v>24690462.304445781</v>
      </c>
      <c r="R33" s="50">
        <f t="shared" si="0"/>
        <v>-469753.73555421829</v>
      </c>
      <c r="S33" s="291">
        <f t="shared" si="1"/>
        <v>-1.8670496899048816E-2</v>
      </c>
      <c r="T33" s="292">
        <f t="shared" si="2"/>
        <v>1.8670496899048816E-2</v>
      </c>
      <c r="U33"/>
    </row>
    <row r="34" spans="1:21">
      <c r="A34" s="313">
        <v>40391</v>
      </c>
      <c r="B34" s="314">
        <f>'[14]Data Input'!B108+'[16]PSP less Loss factor'!B117</f>
        <v>24857750.43</v>
      </c>
      <c r="C34" s="317">
        <f>'CDM Activity'!F77</f>
        <v>246663.30524903227</v>
      </c>
      <c r="D34" s="384">
        <f t="shared" si="9"/>
        <v>1.0720967014224141</v>
      </c>
      <c r="E34" s="314">
        <f t="shared" si="3"/>
        <v>264446.91591943754</v>
      </c>
      <c r="F34" s="314">
        <f t="shared" si="4"/>
        <v>25122197.345919438</v>
      </c>
      <c r="G34" s="315">
        <f t="shared" si="7"/>
        <v>35.084761904761905</v>
      </c>
      <c r="H34" s="315">
        <f t="shared" si="7"/>
        <v>38.71</v>
      </c>
      <c r="I34" s="316">
        <v>31</v>
      </c>
      <c r="J34" s="316">
        <v>0</v>
      </c>
      <c r="K34" s="317">
        <v>32</v>
      </c>
      <c r="L34" s="318">
        <v>15.9</v>
      </c>
      <c r="M34" s="319">
        <f>'[18]Annual conv to Monthly'!B262</f>
        <v>137.30940385330757</v>
      </c>
      <c r="N34" s="317">
        <f>'[14]Data Input'!AJ108+'[16]PSP less Loss factor'!AA117</f>
        <v>3317</v>
      </c>
      <c r="O34" s="318">
        <v>174</v>
      </c>
      <c r="P34" s="318">
        <v>315.3</v>
      </c>
      <c r="Q34" s="316">
        <f t="shared" si="5"/>
        <v>24199544.518213246</v>
      </c>
      <c r="R34" s="50">
        <f t="shared" si="0"/>
        <v>-658205.91178675368</v>
      </c>
      <c r="S34" s="291">
        <f t="shared" si="1"/>
        <v>-2.6478900962509731E-2</v>
      </c>
      <c r="T34" s="292">
        <f t="shared" si="2"/>
        <v>2.6478900962509731E-2</v>
      </c>
      <c r="U34"/>
    </row>
    <row r="35" spans="1:21">
      <c r="A35" s="313">
        <v>40422</v>
      </c>
      <c r="B35" s="314">
        <f>'[14]Data Input'!B109+'[16]PSP less Loss factor'!B118</f>
        <v>22185824.710000001</v>
      </c>
      <c r="C35" s="317">
        <f>'CDM Activity'!F78</f>
        <v>237636.85085043206</v>
      </c>
      <c r="D35" s="384">
        <f t="shared" si="9"/>
        <v>1.0720967014224141</v>
      </c>
      <c r="E35" s="314">
        <f t="shared" si="3"/>
        <v>254769.68393315841</v>
      </c>
      <c r="F35" s="314">
        <f t="shared" si="4"/>
        <v>22440594.393933158</v>
      </c>
      <c r="G35" s="315">
        <f t="shared" si="7"/>
        <v>119.32619047619046</v>
      </c>
      <c r="H35" s="315">
        <f t="shared" si="7"/>
        <v>14.820000000000002</v>
      </c>
      <c r="I35" s="316">
        <v>30</v>
      </c>
      <c r="J35" s="316">
        <v>1</v>
      </c>
      <c r="K35" s="317">
        <v>33</v>
      </c>
      <c r="L35" s="318">
        <v>17.5</v>
      </c>
      <c r="M35" s="319">
        <f>'[18]Annual conv to Monthly'!B263</f>
        <v>137.68141108782325</v>
      </c>
      <c r="N35" s="317">
        <f>'[14]Data Input'!AJ109+'[16]PSP less Loss factor'!AA118</f>
        <v>3320</v>
      </c>
      <c r="O35" s="318">
        <v>171.8</v>
      </c>
      <c r="P35" s="318">
        <v>315.60000000000002</v>
      </c>
      <c r="Q35" s="316">
        <f t="shared" si="5"/>
        <v>22316367.6041453</v>
      </c>
      <c r="R35" s="50">
        <f t="shared" si="0"/>
        <v>130542.89414529875</v>
      </c>
      <c r="S35" s="291">
        <f t="shared" si="1"/>
        <v>5.8840676806780172E-3</v>
      </c>
      <c r="T35" s="292">
        <f t="shared" si="2"/>
        <v>5.8840676806780172E-3</v>
      </c>
      <c r="U35"/>
    </row>
    <row r="36" spans="1:21">
      <c r="A36" s="313">
        <v>40452</v>
      </c>
      <c r="B36" s="314">
        <f>'[14]Data Input'!B110+'[16]PSP less Loss factor'!B119</f>
        <v>23526636.07</v>
      </c>
      <c r="C36" s="317">
        <f>'CDM Activity'!F79</f>
        <v>228610.39645183185</v>
      </c>
      <c r="D36" s="384">
        <f t="shared" si="9"/>
        <v>1.0720967014224141</v>
      </c>
      <c r="E36" s="314">
        <f t="shared" si="3"/>
        <v>245092.4519468793</v>
      </c>
      <c r="F36" s="314">
        <f t="shared" si="4"/>
        <v>23771728.521946881</v>
      </c>
      <c r="G36" s="315">
        <f t="shared" si="7"/>
        <v>307.71047619047624</v>
      </c>
      <c r="H36" s="315">
        <f t="shared" si="7"/>
        <v>0.03</v>
      </c>
      <c r="I36" s="316">
        <v>31</v>
      </c>
      <c r="J36" s="316">
        <v>1</v>
      </c>
      <c r="K36" s="317">
        <v>34</v>
      </c>
      <c r="L36" s="318">
        <v>17.3</v>
      </c>
      <c r="M36" s="319">
        <f>'[18]Annual conv to Monthly'!B264</f>
        <v>138.0544261876318</v>
      </c>
      <c r="N36" s="317">
        <f>'[14]Data Input'!AJ110+'[16]PSP less Loss factor'!AA119</f>
        <v>3319</v>
      </c>
      <c r="O36" s="318">
        <v>170.9</v>
      </c>
      <c r="P36" s="318">
        <v>315.8</v>
      </c>
      <c r="Q36" s="316">
        <f t="shared" si="5"/>
        <v>24961703.195393182</v>
      </c>
      <c r="R36" s="50">
        <f t="shared" si="0"/>
        <v>1435067.125393182</v>
      </c>
      <c r="S36" s="291">
        <f t="shared" si="1"/>
        <v>6.0997548528542445E-2</v>
      </c>
      <c r="T36" s="292">
        <f t="shared" si="2"/>
        <v>6.0997548528542445E-2</v>
      </c>
      <c r="U36"/>
    </row>
    <row r="37" spans="1:21">
      <c r="A37" s="313">
        <v>40483</v>
      </c>
      <c r="B37" s="314">
        <f>'[14]Data Input'!B111+'[16]PSP less Loss factor'!B120</f>
        <v>25909238.91</v>
      </c>
      <c r="C37" s="317">
        <f>'CDM Activity'!F80</f>
        <v>219583.94205323164</v>
      </c>
      <c r="D37" s="384">
        <f t="shared" si="9"/>
        <v>1.0720967014224141</v>
      </c>
      <c r="E37" s="314">
        <f t="shared" si="3"/>
        <v>235415.21996060017</v>
      </c>
      <c r="F37" s="314">
        <f t="shared" si="4"/>
        <v>26144654.1299606</v>
      </c>
      <c r="G37" s="315">
        <f t="shared" si="7"/>
        <v>465.15761904761905</v>
      </c>
      <c r="H37" s="315">
        <f t="shared" si="7"/>
        <v>0</v>
      </c>
      <c r="I37" s="316">
        <v>30</v>
      </c>
      <c r="J37" s="316">
        <v>1</v>
      </c>
      <c r="K37" s="317">
        <v>35</v>
      </c>
      <c r="L37" s="318">
        <v>16.2</v>
      </c>
      <c r="M37" s="319">
        <f>'[18]Annual conv to Monthly'!B265</f>
        <v>138.42845188330503</v>
      </c>
      <c r="N37" s="317">
        <f>'[14]Data Input'!AJ111+'[16]PSP less Loss factor'!AA120</f>
        <v>3343</v>
      </c>
      <c r="O37" s="318">
        <v>167.8</v>
      </c>
      <c r="P37" s="318">
        <v>315.89999999999998</v>
      </c>
      <c r="Q37" s="316">
        <f t="shared" si="5"/>
        <v>26464056.821929529</v>
      </c>
      <c r="R37" s="50">
        <f t="shared" si="0"/>
        <v>554817.91192952916</v>
      </c>
      <c r="S37" s="291">
        <f t="shared" si="1"/>
        <v>2.1413902347991787E-2</v>
      </c>
      <c r="T37" s="292">
        <f t="shared" si="2"/>
        <v>2.1413902347991787E-2</v>
      </c>
      <c r="U37"/>
    </row>
    <row r="38" spans="1:21">
      <c r="A38" s="313">
        <v>40513</v>
      </c>
      <c r="B38" s="314">
        <f>'[14]Data Input'!B112+'[16]PSP less Loss factor'!B121</f>
        <v>31945232.009999998</v>
      </c>
      <c r="C38" s="317">
        <f>'CDM Activity'!F81</f>
        <v>210557.48765463143</v>
      </c>
      <c r="D38" s="384">
        <f t="shared" si="9"/>
        <v>1.0720967014224141</v>
      </c>
      <c r="E38" s="314">
        <f t="shared" si="3"/>
        <v>225737.98797432103</v>
      </c>
      <c r="F38" s="314">
        <f t="shared" si="4"/>
        <v>32170969.997974318</v>
      </c>
      <c r="G38" s="315">
        <f t="shared" si="7"/>
        <v>710.40619047619066</v>
      </c>
      <c r="H38" s="315">
        <f t="shared" si="7"/>
        <v>0</v>
      </c>
      <c r="I38" s="316">
        <v>31</v>
      </c>
      <c r="J38" s="316">
        <v>0</v>
      </c>
      <c r="K38" s="317">
        <v>36</v>
      </c>
      <c r="L38" s="318">
        <v>17.2</v>
      </c>
      <c r="M38" s="319">
        <f>'[18]Annual conv to Monthly'!B266</f>
        <v>138.80349091281266</v>
      </c>
      <c r="N38" s="317">
        <f>'[14]Data Input'!AJ112+'[16]PSP less Loss factor'!AA121</f>
        <v>3323</v>
      </c>
      <c r="O38" s="318">
        <v>166</v>
      </c>
      <c r="P38" s="318">
        <v>316</v>
      </c>
      <c r="Q38" s="316">
        <f t="shared" si="5"/>
        <v>31867619.425621167</v>
      </c>
      <c r="R38" s="50">
        <f t="shared" si="0"/>
        <v>-77612.584378831089</v>
      </c>
      <c r="S38" s="291">
        <f t="shared" si="1"/>
        <v>-2.4295514383660005E-3</v>
      </c>
      <c r="T38" s="292">
        <f t="shared" si="2"/>
        <v>2.4295514383660005E-3</v>
      </c>
      <c r="U38"/>
    </row>
    <row r="39" spans="1:21">
      <c r="A39" s="313">
        <v>40544</v>
      </c>
      <c r="B39" s="314">
        <f>'[14]Data Input'!B113+'[16]PSP less Loss factor'!B122</f>
        <v>33877619.130000003</v>
      </c>
      <c r="C39" s="317">
        <f>'CDM Activity'!F82</f>
        <v>223133.02151823524</v>
      </c>
      <c r="D39" s="383">
        <f>'Rate Class Energy Model'!F10</f>
        <v>1.0766900011519738</v>
      </c>
      <c r="E39" s="314">
        <f t="shared" si="3"/>
        <v>240245.09319551208</v>
      </c>
      <c r="F39" s="314">
        <f t="shared" si="4"/>
        <v>34117864.223195516</v>
      </c>
      <c r="G39" s="315">
        <f t="shared" si="7"/>
        <v>784.93238095238098</v>
      </c>
      <c r="H39" s="315">
        <f t="shared" si="7"/>
        <v>0</v>
      </c>
      <c r="I39" s="320">
        <v>31</v>
      </c>
      <c r="J39" s="316">
        <v>0</v>
      </c>
      <c r="K39" s="317">
        <v>37</v>
      </c>
      <c r="L39" s="318">
        <v>19.3</v>
      </c>
      <c r="M39" s="319">
        <f>'[18]Annual conv to Monthly'!B267</f>
        <v>139.10070640604135</v>
      </c>
      <c r="N39" s="317">
        <f>'[14]Data Input'!AJ113+'[16]PSP less Loss factor'!AA122</f>
        <v>3331</v>
      </c>
      <c r="O39" s="318">
        <v>163.6</v>
      </c>
      <c r="P39" s="318">
        <v>316.10000000000002</v>
      </c>
      <c r="Q39" s="316">
        <f t="shared" si="5"/>
        <v>32902427.82751571</v>
      </c>
      <c r="R39" s="50">
        <f t="shared" si="0"/>
        <v>-975191.30248429254</v>
      </c>
      <c r="S39" s="291">
        <f t="shared" si="1"/>
        <v>-2.878570948985967E-2</v>
      </c>
      <c r="T39" s="292">
        <f t="shared" si="2"/>
        <v>2.878570948985967E-2</v>
      </c>
      <c r="U39"/>
    </row>
    <row r="40" spans="1:21">
      <c r="A40" s="313">
        <v>40575</v>
      </c>
      <c r="B40" s="314">
        <f>'[14]Data Input'!B114+'[16]PSP less Loss factor'!B123</f>
        <v>29782626.390000001</v>
      </c>
      <c r="C40" s="317">
        <f>'CDM Activity'!F83</f>
        <v>235708.55538183905</v>
      </c>
      <c r="D40" s="384">
        <f>D39</f>
        <v>1.0766900011519738</v>
      </c>
      <c r="E40" s="314">
        <f t="shared" si="3"/>
        <v>253785.04476560236</v>
      </c>
      <c r="F40" s="314">
        <f t="shared" si="4"/>
        <v>30036411.434765603</v>
      </c>
      <c r="G40" s="315">
        <f t="shared" si="7"/>
        <v>739.71857142857129</v>
      </c>
      <c r="H40" s="315">
        <f t="shared" si="7"/>
        <v>0</v>
      </c>
      <c r="I40" s="320">
        <v>28</v>
      </c>
      <c r="J40" s="316">
        <v>0</v>
      </c>
      <c r="K40" s="317">
        <v>38</v>
      </c>
      <c r="L40" s="318">
        <v>20.9</v>
      </c>
      <c r="M40" s="319">
        <f>'[18]Annual conv to Monthly'!B268</f>
        <v>139.39855831733732</v>
      </c>
      <c r="N40" s="317">
        <f>'[14]Data Input'!AJ114+'[16]PSP less Loss factor'!AA123</f>
        <v>3315</v>
      </c>
      <c r="O40" s="318">
        <v>162.69999999999999</v>
      </c>
      <c r="P40" s="318">
        <v>316.10000000000002</v>
      </c>
      <c r="Q40" s="316">
        <f t="shared" si="5"/>
        <v>30227122.273814753</v>
      </c>
      <c r="R40" s="50">
        <f t="shared" si="0"/>
        <v>444495.8838147521</v>
      </c>
      <c r="S40" s="291">
        <f t="shared" si="1"/>
        <v>1.4924670443571047E-2</v>
      </c>
      <c r="T40" s="292">
        <f t="shared" si="2"/>
        <v>1.4924670443571047E-2</v>
      </c>
      <c r="U40"/>
    </row>
    <row r="41" spans="1:21">
      <c r="A41" s="313">
        <v>40603</v>
      </c>
      <c r="B41" s="314">
        <f>'[14]Data Input'!B115+'[16]PSP less Loss factor'!B124</f>
        <v>29986760.93</v>
      </c>
      <c r="C41" s="317">
        <f>'CDM Activity'!F84</f>
        <v>248284.08924544285</v>
      </c>
      <c r="D41" s="384">
        <f t="shared" ref="D41:D50" si="10">D40</f>
        <v>1.0766900011519738</v>
      </c>
      <c r="E41" s="314">
        <f t="shared" si="3"/>
        <v>267324.99633569265</v>
      </c>
      <c r="F41" s="314">
        <f t="shared" si="4"/>
        <v>30254085.926335692</v>
      </c>
      <c r="G41" s="315">
        <f t="shared" si="7"/>
        <v>622.95999999999992</v>
      </c>
      <c r="H41" s="315">
        <f t="shared" si="7"/>
        <v>0</v>
      </c>
      <c r="I41" s="320">
        <v>31</v>
      </c>
      <c r="J41" s="316">
        <v>1</v>
      </c>
      <c r="K41" s="317">
        <v>39</v>
      </c>
      <c r="L41" s="318">
        <v>20.6</v>
      </c>
      <c r="M41" s="319">
        <f>'[18]Annual conv to Monthly'!B269</f>
        <v>139.69704800944226</v>
      </c>
      <c r="N41" s="317">
        <f>'[14]Data Input'!AJ115+'[16]PSP less Loss factor'!AA124</f>
        <v>3331</v>
      </c>
      <c r="O41" s="318">
        <v>164</v>
      </c>
      <c r="P41" s="318">
        <v>316.2</v>
      </c>
      <c r="Q41" s="316">
        <f t="shared" si="5"/>
        <v>29337670.273077961</v>
      </c>
      <c r="R41" s="50">
        <f t="shared" si="0"/>
        <v>-649090.65692203864</v>
      </c>
      <c r="S41" s="291">
        <f t="shared" si="1"/>
        <v>-2.1645907620274567E-2</v>
      </c>
      <c r="T41" s="292">
        <f t="shared" si="2"/>
        <v>2.1645907620274567E-2</v>
      </c>
      <c r="U41"/>
    </row>
    <row r="42" spans="1:21">
      <c r="A42" s="313">
        <v>40634</v>
      </c>
      <c r="B42" s="314">
        <f>'[14]Data Input'!B116+'[16]PSP less Loss factor'!B125</f>
        <v>24696956.68</v>
      </c>
      <c r="C42" s="317">
        <f>'CDM Activity'!F85</f>
        <v>260859.62310904666</v>
      </c>
      <c r="D42" s="384">
        <f t="shared" si="10"/>
        <v>1.0766900011519738</v>
      </c>
      <c r="E42" s="314">
        <f t="shared" si="3"/>
        <v>280864.9479057829</v>
      </c>
      <c r="F42" s="314">
        <f t="shared" si="4"/>
        <v>24977821.627905782</v>
      </c>
      <c r="G42" s="315">
        <f t="shared" si="7"/>
        <v>379.45</v>
      </c>
      <c r="H42" s="315">
        <f t="shared" si="7"/>
        <v>0.01</v>
      </c>
      <c r="I42" s="320">
        <v>30</v>
      </c>
      <c r="J42" s="316">
        <v>1</v>
      </c>
      <c r="K42" s="317">
        <v>40</v>
      </c>
      <c r="L42" s="318">
        <v>19</v>
      </c>
      <c r="M42" s="319">
        <f>'[18]Annual conv to Monthly'!B270</f>
        <v>139.99617684801592</v>
      </c>
      <c r="N42" s="317">
        <f>'[14]Data Input'!AJ116+'[16]PSP less Loss factor'!AA125</f>
        <v>3342</v>
      </c>
      <c r="O42" s="318">
        <v>166</v>
      </c>
      <c r="P42" s="318">
        <v>316.2</v>
      </c>
      <c r="Q42" s="316">
        <f t="shared" si="5"/>
        <v>25274433.902305242</v>
      </c>
      <c r="R42" s="50">
        <f t="shared" si="0"/>
        <v>577477.22230524197</v>
      </c>
      <c r="S42" s="291">
        <f t="shared" si="1"/>
        <v>2.3382525619964036E-2</v>
      </c>
      <c r="T42" s="292">
        <f t="shared" si="2"/>
        <v>2.3382525619964036E-2</v>
      </c>
      <c r="U42"/>
    </row>
    <row r="43" spans="1:21">
      <c r="A43" s="313">
        <v>40664</v>
      </c>
      <c r="B43" s="314">
        <f>'[14]Data Input'!B117+'[16]PSP less Loss factor'!B126</f>
        <v>22543967.420000002</v>
      </c>
      <c r="C43" s="317">
        <f>'CDM Activity'!F86</f>
        <v>273435.1569726505</v>
      </c>
      <c r="D43" s="384">
        <f t="shared" si="10"/>
        <v>1.0766900011519738</v>
      </c>
      <c r="E43" s="314">
        <f t="shared" si="3"/>
        <v>294404.89947587322</v>
      </c>
      <c r="F43" s="314">
        <f t="shared" si="4"/>
        <v>22838372.319475874</v>
      </c>
      <c r="G43" s="315">
        <f t="shared" si="7"/>
        <v>190.97476190476192</v>
      </c>
      <c r="H43" s="315">
        <f t="shared" si="7"/>
        <v>8.77</v>
      </c>
      <c r="I43" s="320">
        <v>31</v>
      </c>
      <c r="J43" s="316">
        <v>1</v>
      </c>
      <c r="K43" s="317">
        <v>41</v>
      </c>
      <c r="L43" s="318">
        <v>17.899999999999999</v>
      </c>
      <c r="M43" s="319">
        <f>'[18]Annual conv to Monthly'!B271</f>
        <v>140.29594620164227</v>
      </c>
      <c r="N43" s="317">
        <f>'[14]Data Input'!AJ117+'[16]PSP less Loss factor'!AA126</f>
        <v>3372</v>
      </c>
      <c r="O43" s="318">
        <v>171.8</v>
      </c>
      <c r="P43" s="318">
        <v>316.3</v>
      </c>
      <c r="Q43" s="316">
        <f t="shared" si="5"/>
        <v>23726640.695626006</v>
      </c>
      <c r="R43" s="50">
        <f t="shared" si="0"/>
        <v>1182673.2756260037</v>
      </c>
      <c r="S43" s="291">
        <f t="shared" si="1"/>
        <v>5.2460742760690328E-2</v>
      </c>
      <c r="T43" s="292">
        <f t="shared" si="2"/>
        <v>5.2460742760690328E-2</v>
      </c>
      <c r="U43"/>
    </row>
    <row r="44" spans="1:21">
      <c r="A44" s="313">
        <v>40695</v>
      </c>
      <c r="B44" s="314">
        <f>'[14]Data Input'!B118+'[16]PSP less Loss factor'!B127</f>
        <v>21897744.940000001</v>
      </c>
      <c r="C44" s="317">
        <f>'CDM Activity'!F87</f>
        <v>286010.69083625433</v>
      </c>
      <c r="D44" s="384">
        <f t="shared" si="10"/>
        <v>1.0766900011519738</v>
      </c>
      <c r="E44" s="314">
        <f t="shared" si="3"/>
        <v>307944.85104596347</v>
      </c>
      <c r="F44" s="314">
        <f t="shared" si="4"/>
        <v>22205689.791045964</v>
      </c>
      <c r="G44" s="315">
        <f t="shared" si="7"/>
        <v>69.127619047619049</v>
      </c>
      <c r="H44" s="315">
        <f t="shared" si="7"/>
        <v>22.15</v>
      </c>
      <c r="I44" s="320">
        <v>30</v>
      </c>
      <c r="J44" s="316">
        <v>0</v>
      </c>
      <c r="K44" s="317">
        <v>42</v>
      </c>
      <c r="L44" s="318">
        <v>16.8</v>
      </c>
      <c r="M44" s="319">
        <f>'[18]Annual conv to Monthly'!B272</f>
        <v>140.59635744183578</v>
      </c>
      <c r="N44" s="317">
        <f>'[14]Data Input'!AJ118+'[16]PSP less Loss factor'!AA127</f>
        <v>3346</v>
      </c>
      <c r="O44" s="318">
        <v>177.8</v>
      </c>
      <c r="P44" s="318">
        <v>316.5</v>
      </c>
      <c r="Q44" s="316">
        <f t="shared" si="5"/>
        <v>23258683.474074669</v>
      </c>
      <c r="R44" s="50">
        <f t="shared" si="0"/>
        <v>1360938.5340746678</v>
      </c>
      <c r="S44" s="291">
        <f t="shared" si="1"/>
        <v>6.2149711662257939E-2</v>
      </c>
      <c r="T44" s="292">
        <f t="shared" si="2"/>
        <v>6.2149711662257939E-2</v>
      </c>
      <c r="U44"/>
    </row>
    <row r="45" spans="1:21">
      <c r="A45" s="313">
        <v>40725</v>
      </c>
      <c r="B45" s="314">
        <f>'[14]Data Input'!B119+'[16]PSP less Loss factor'!B128</f>
        <v>24180613.84</v>
      </c>
      <c r="C45" s="317">
        <f>'CDM Activity'!F88</f>
        <v>298586.22469985817</v>
      </c>
      <c r="D45" s="384">
        <f t="shared" si="10"/>
        <v>1.0766900011519738</v>
      </c>
      <c r="E45" s="314">
        <f t="shared" si="3"/>
        <v>321484.80261605378</v>
      </c>
      <c r="F45" s="314">
        <f t="shared" si="4"/>
        <v>24502098.642616052</v>
      </c>
      <c r="G45" s="315">
        <f t="shared" si="7"/>
        <v>22.305238095238096</v>
      </c>
      <c r="H45" s="315">
        <f t="shared" si="7"/>
        <v>53.85</v>
      </c>
      <c r="I45" s="320">
        <v>31</v>
      </c>
      <c r="J45" s="316">
        <v>0</v>
      </c>
      <c r="K45" s="317">
        <v>43</v>
      </c>
      <c r="L45" s="318">
        <v>16.5</v>
      </c>
      <c r="M45" s="319">
        <f>'[18]Annual conv to Monthly'!B273</f>
        <v>140.89741194304773</v>
      </c>
      <c r="N45" s="317">
        <f>'[14]Data Input'!AJ119+'[16]PSP less Loss factor'!AA128</f>
        <v>3373</v>
      </c>
      <c r="O45" s="318">
        <v>183</v>
      </c>
      <c r="P45" s="318">
        <v>316.7</v>
      </c>
      <c r="Q45" s="316">
        <f t="shared" si="5"/>
        <v>24690462.304445781</v>
      </c>
      <c r="R45" s="50">
        <f t="shared" si="0"/>
        <v>509848.46444578096</v>
      </c>
      <c r="S45" s="291">
        <f t="shared" si="1"/>
        <v>2.1085009165581255E-2</v>
      </c>
      <c r="T45" s="292">
        <f t="shared" si="2"/>
        <v>2.1085009165581255E-2</v>
      </c>
      <c r="U45"/>
    </row>
    <row r="46" spans="1:21">
      <c r="A46" s="313">
        <v>40756</v>
      </c>
      <c r="B46" s="314">
        <f>'[14]Data Input'!B120+'[16]PSP less Loss factor'!B129</f>
        <v>25018427.440000001</v>
      </c>
      <c r="C46" s="317">
        <f>'CDM Activity'!F89</f>
        <v>311161.758563462</v>
      </c>
      <c r="D46" s="384">
        <f t="shared" si="10"/>
        <v>1.0766900011519738</v>
      </c>
      <c r="E46" s="314">
        <f t="shared" si="3"/>
        <v>335024.7541861441</v>
      </c>
      <c r="F46" s="314">
        <f t="shared" si="4"/>
        <v>25353452.194186144</v>
      </c>
      <c r="G46" s="315">
        <f t="shared" si="7"/>
        <v>35.084761904761905</v>
      </c>
      <c r="H46" s="315">
        <f t="shared" si="7"/>
        <v>38.71</v>
      </c>
      <c r="I46" s="320">
        <v>31</v>
      </c>
      <c r="J46" s="316">
        <v>0</v>
      </c>
      <c r="K46" s="317">
        <v>44</v>
      </c>
      <c r="L46" s="318">
        <v>17</v>
      </c>
      <c r="M46" s="319">
        <f>'[18]Annual conv to Monthly'!B274</f>
        <v>141.19911108267243</v>
      </c>
      <c r="N46" s="317">
        <f>'[14]Data Input'!AJ120+'[16]PSP less Loss factor'!AA129</f>
        <v>3376</v>
      </c>
      <c r="O46" s="318">
        <v>182.1</v>
      </c>
      <c r="P46" s="318">
        <v>316.89999999999998</v>
      </c>
      <c r="Q46" s="316">
        <f t="shared" si="5"/>
        <v>24199544.518213246</v>
      </c>
      <c r="R46" s="50">
        <f t="shared" si="0"/>
        <v>-818882.92178675532</v>
      </c>
      <c r="S46" s="291">
        <f t="shared" si="1"/>
        <v>-3.2731190789294283E-2</v>
      </c>
      <c r="T46" s="292">
        <f t="shared" si="2"/>
        <v>3.2731190789294283E-2</v>
      </c>
      <c r="U46"/>
    </row>
    <row r="47" spans="1:21">
      <c r="A47" s="313">
        <v>40787</v>
      </c>
      <c r="B47" s="314">
        <f>'[14]Data Input'!B121+'[16]PSP less Loss factor'!B130</f>
        <v>22047349.490000002</v>
      </c>
      <c r="C47" s="317">
        <f>'CDM Activity'!F90</f>
        <v>323737.29242706584</v>
      </c>
      <c r="D47" s="384">
        <f t="shared" si="10"/>
        <v>1.0766900011519738</v>
      </c>
      <c r="E47" s="314">
        <f t="shared" si="3"/>
        <v>348564.70575623441</v>
      </c>
      <c r="F47" s="314">
        <f t="shared" si="4"/>
        <v>22395914.195756238</v>
      </c>
      <c r="G47" s="315">
        <f t="shared" si="7"/>
        <v>119.32619047619046</v>
      </c>
      <c r="H47" s="315">
        <f t="shared" si="7"/>
        <v>14.820000000000002</v>
      </c>
      <c r="I47" s="320">
        <v>30</v>
      </c>
      <c r="J47" s="316">
        <v>1</v>
      </c>
      <c r="K47" s="317">
        <v>45</v>
      </c>
      <c r="L47" s="318">
        <v>16.399999999999999</v>
      </c>
      <c r="M47" s="319">
        <f>'[18]Annual conv to Monthly'!B275</f>
        <v>141.50145624105357</v>
      </c>
      <c r="N47" s="317">
        <f>'[14]Data Input'!AJ121+'[16]PSP less Loss factor'!AA130</f>
        <v>3404</v>
      </c>
      <c r="O47" s="318">
        <v>178.5</v>
      </c>
      <c r="P47" s="318">
        <v>317.2</v>
      </c>
      <c r="Q47" s="316">
        <f t="shared" si="5"/>
        <v>22316367.6041453</v>
      </c>
      <c r="R47" s="50">
        <f t="shared" si="0"/>
        <v>269018.11414529756</v>
      </c>
      <c r="S47" s="291">
        <f t="shared" si="1"/>
        <v>1.2201834704317445E-2</v>
      </c>
      <c r="T47" s="292">
        <f t="shared" si="2"/>
        <v>1.2201834704317445E-2</v>
      </c>
      <c r="U47"/>
    </row>
    <row r="48" spans="1:21">
      <c r="A48" s="313">
        <v>40817</v>
      </c>
      <c r="B48" s="314">
        <f>'[14]Data Input'!B122+'[16]PSP less Loss factor'!B131</f>
        <v>23398431.059999999</v>
      </c>
      <c r="C48" s="317">
        <f>'CDM Activity'!F91</f>
        <v>336312.82629066968</v>
      </c>
      <c r="D48" s="384">
        <f t="shared" si="10"/>
        <v>1.0766900011519738</v>
      </c>
      <c r="E48" s="314">
        <f t="shared" si="3"/>
        <v>362104.65732632467</v>
      </c>
      <c r="F48" s="314">
        <f t="shared" si="4"/>
        <v>23760535.717326324</v>
      </c>
      <c r="G48" s="315">
        <f t="shared" si="7"/>
        <v>307.71047619047624</v>
      </c>
      <c r="H48" s="315">
        <f t="shared" si="7"/>
        <v>0.03</v>
      </c>
      <c r="I48" s="320">
        <v>31</v>
      </c>
      <c r="J48" s="316">
        <v>1</v>
      </c>
      <c r="K48" s="317">
        <v>46</v>
      </c>
      <c r="L48" s="318">
        <v>16</v>
      </c>
      <c r="M48" s="319">
        <f>'[18]Annual conv to Monthly'!B276</f>
        <v>141.80444880149057</v>
      </c>
      <c r="N48" s="317">
        <f>'[14]Data Input'!AJ122+'[16]PSP less Loss factor'!AA131</f>
        <v>3402</v>
      </c>
      <c r="O48" s="318">
        <v>178.8</v>
      </c>
      <c r="P48" s="318">
        <v>317.5</v>
      </c>
      <c r="Q48" s="316">
        <f t="shared" si="5"/>
        <v>24961703.195393182</v>
      </c>
      <c r="R48" s="50">
        <f t="shared" si="0"/>
        <v>1563272.1353931837</v>
      </c>
      <c r="S48" s="291">
        <f t="shared" si="1"/>
        <v>6.6810981103157085E-2</v>
      </c>
      <c r="T48" s="292">
        <f t="shared" si="2"/>
        <v>6.6810981103157085E-2</v>
      </c>
      <c r="U48"/>
    </row>
    <row r="49" spans="1:21">
      <c r="A49" s="313">
        <v>40848</v>
      </c>
      <c r="B49" s="314">
        <f>'[14]Data Input'!B123+'[16]PSP less Loss factor'!B132</f>
        <v>25313597.870000001</v>
      </c>
      <c r="C49" s="317">
        <f>'CDM Activity'!F92</f>
        <v>348888.36015427351</v>
      </c>
      <c r="D49" s="384">
        <f t="shared" si="10"/>
        <v>1.0766900011519738</v>
      </c>
      <c r="E49" s="314">
        <f t="shared" si="3"/>
        <v>375644.60889641498</v>
      </c>
      <c r="F49" s="314">
        <f t="shared" si="4"/>
        <v>25689242.478896417</v>
      </c>
      <c r="G49" s="315">
        <f t="shared" si="7"/>
        <v>465.15761904761905</v>
      </c>
      <c r="H49" s="315">
        <f t="shared" si="7"/>
        <v>0</v>
      </c>
      <c r="I49" s="320">
        <v>30</v>
      </c>
      <c r="J49" s="316">
        <v>1</v>
      </c>
      <c r="K49" s="317">
        <v>47</v>
      </c>
      <c r="L49" s="318">
        <v>14.7</v>
      </c>
      <c r="M49" s="319">
        <f>'[18]Annual conv to Monthly'!B277</f>
        <v>142.10809015024478</v>
      </c>
      <c r="N49" s="317">
        <f>'[14]Data Input'!AJ123+'[16]PSP less Loss factor'!AA132</f>
        <v>3377</v>
      </c>
      <c r="O49" s="318">
        <v>179.6</v>
      </c>
      <c r="P49" s="318">
        <v>317.8</v>
      </c>
      <c r="Q49" s="316">
        <f t="shared" si="5"/>
        <v>26464056.821929529</v>
      </c>
      <c r="R49" s="50">
        <f t="shared" si="0"/>
        <v>1150458.9519295283</v>
      </c>
      <c r="S49" s="291">
        <f t="shared" si="1"/>
        <v>4.5448258988619553E-2</v>
      </c>
      <c r="T49" s="292">
        <f t="shared" si="2"/>
        <v>4.5448258988619553E-2</v>
      </c>
      <c r="U49"/>
    </row>
    <row r="50" spans="1:21">
      <c r="A50" s="313">
        <v>40878</v>
      </c>
      <c r="B50" s="314">
        <f>'[14]Data Input'!B124+'[16]PSP less Loss factor'!B133</f>
        <v>29996291.52</v>
      </c>
      <c r="C50" s="317">
        <f>'CDM Activity'!F93</f>
        <v>361463.89401787735</v>
      </c>
      <c r="D50" s="384">
        <f t="shared" si="10"/>
        <v>1.0766900011519738</v>
      </c>
      <c r="E50" s="314">
        <f t="shared" si="3"/>
        <v>389184.5604665053</v>
      </c>
      <c r="F50" s="314">
        <f t="shared" si="4"/>
        <v>30385476.080466505</v>
      </c>
      <c r="G50" s="315">
        <f t="shared" si="7"/>
        <v>710.40619047619066</v>
      </c>
      <c r="H50" s="315">
        <f t="shared" si="7"/>
        <v>0</v>
      </c>
      <c r="I50" s="320">
        <v>31</v>
      </c>
      <c r="J50" s="316">
        <v>0</v>
      </c>
      <c r="K50" s="317">
        <v>48</v>
      </c>
      <c r="L50" s="318">
        <v>14.6</v>
      </c>
      <c r="M50" s="319">
        <f>'[18]Annual conv to Monthly'!B278</f>
        <v>142.41238167654581</v>
      </c>
      <c r="N50" s="317">
        <f>'[14]Data Input'!AJ124+'[16]PSP less Loss factor'!AA133</f>
        <v>3381</v>
      </c>
      <c r="O50" s="318">
        <v>181.8</v>
      </c>
      <c r="P50" s="318">
        <v>318</v>
      </c>
      <c r="Q50" s="316">
        <f t="shared" si="5"/>
        <v>31867619.425621167</v>
      </c>
      <c r="R50" s="50">
        <f t="shared" si="0"/>
        <v>1871327.9056211673</v>
      </c>
      <c r="S50" s="291">
        <f t="shared" si="1"/>
        <v>6.2385308676356249E-2</v>
      </c>
      <c r="T50" s="292">
        <f t="shared" si="2"/>
        <v>6.2385308676356249E-2</v>
      </c>
      <c r="U50"/>
    </row>
    <row r="51" spans="1:21">
      <c r="A51" s="321">
        <v>40909</v>
      </c>
      <c r="B51" s="314">
        <f>'[14]Data Input'!B125+'[16]PSP less Loss factor'!B134</f>
        <v>31797295.66</v>
      </c>
      <c r="C51" s="317">
        <f>'CDM Activity'!F94</f>
        <v>365611.05935250869</v>
      </c>
      <c r="D51" s="383">
        <f>'Rate Class Energy Model'!F11</f>
        <v>1.0740638868781875</v>
      </c>
      <c r="E51" s="314">
        <f t="shared" si="3"/>
        <v>392689.6354938072</v>
      </c>
      <c r="F51" s="314">
        <f t="shared" si="4"/>
        <v>32189985.295493808</v>
      </c>
      <c r="G51" s="315">
        <f t="shared" si="7"/>
        <v>784.93238095238098</v>
      </c>
      <c r="H51" s="315">
        <f t="shared" si="7"/>
        <v>0</v>
      </c>
      <c r="I51" s="317">
        <v>31</v>
      </c>
      <c r="J51" s="317">
        <v>0</v>
      </c>
      <c r="K51" s="317">
        <v>49</v>
      </c>
      <c r="L51" s="318">
        <v>15</v>
      </c>
      <c r="M51" s="319">
        <f>'[18]Annual conv to Monthly'!B279</f>
        <v>142.61257743956915</v>
      </c>
      <c r="N51" s="317">
        <f>'[14]Data Input'!AJ125+'[16]PSP less Loss factor'!AA134</f>
        <v>3380</v>
      </c>
      <c r="O51" s="318">
        <v>180</v>
      </c>
      <c r="P51" s="318">
        <v>318.2</v>
      </c>
      <c r="Q51" s="316">
        <f t="shared" si="5"/>
        <v>32902427.82751571</v>
      </c>
      <c r="R51" s="50">
        <f t="shared" si="0"/>
        <v>1105132.16751571</v>
      </c>
      <c r="S51" s="291">
        <f t="shared" si="1"/>
        <v>3.4755539569546842E-2</v>
      </c>
      <c r="T51" s="292">
        <f t="shared" si="2"/>
        <v>3.4755539569546842E-2</v>
      </c>
      <c r="U51"/>
    </row>
    <row r="52" spans="1:21">
      <c r="A52" s="321">
        <v>40940</v>
      </c>
      <c r="B52" s="314">
        <f>'[14]Data Input'!B126+'[16]PSP less Loss factor'!B135</f>
        <v>28746499.310000002</v>
      </c>
      <c r="C52" s="317">
        <f>'CDM Activity'!F95</f>
        <v>369758.22468714003</v>
      </c>
      <c r="D52" s="384">
        <f>D51</f>
        <v>1.0740638868781875</v>
      </c>
      <c r="E52" s="314">
        <f t="shared" si="3"/>
        <v>397143.95601264783</v>
      </c>
      <c r="F52" s="314">
        <f t="shared" si="4"/>
        <v>29143643.26601265</v>
      </c>
      <c r="G52" s="315">
        <f t="shared" si="7"/>
        <v>739.71857142857129</v>
      </c>
      <c r="H52" s="315">
        <f t="shared" si="7"/>
        <v>0</v>
      </c>
      <c r="I52" s="317">
        <v>29</v>
      </c>
      <c r="J52" s="317">
        <v>0</v>
      </c>
      <c r="K52" s="317">
        <v>50</v>
      </c>
      <c r="L52" s="318">
        <v>15.6</v>
      </c>
      <c r="M52" s="319">
        <f>'[18]Annual conv to Monthly'!B280</f>
        <v>142.81305462716429</v>
      </c>
      <c r="N52" s="317">
        <f>'[14]Data Input'!AJ126+'[16]PSP less Loss factor'!AA135</f>
        <v>3368</v>
      </c>
      <c r="O52" s="318">
        <v>176.9</v>
      </c>
      <c r="P52" s="318">
        <v>318.39999999999998</v>
      </c>
      <c r="Q52" s="316">
        <f t="shared" si="5"/>
        <v>30909623.733257972</v>
      </c>
      <c r="R52" s="50">
        <f t="shared" si="0"/>
        <v>2163124.4232579693</v>
      </c>
      <c r="S52" s="291">
        <f t="shared" si="1"/>
        <v>7.5248272839450972E-2</v>
      </c>
      <c r="T52" s="292">
        <f t="shared" si="2"/>
        <v>7.5248272839450972E-2</v>
      </c>
      <c r="U52"/>
    </row>
    <row r="53" spans="1:21">
      <c r="A53" s="321">
        <v>40969</v>
      </c>
      <c r="B53" s="314">
        <f>'[14]Data Input'!B127+'[16]PSP less Loss factor'!B136</f>
        <v>26884149.859999999</v>
      </c>
      <c r="C53" s="317">
        <f>'CDM Activity'!F96</f>
        <v>373905.39002177137</v>
      </c>
      <c r="D53" s="384">
        <f t="shared" ref="D53:D62" si="11">D52</f>
        <v>1.0740638868781875</v>
      </c>
      <c r="E53" s="314">
        <f t="shared" si="3"/>
        <v>401598.27653148846</v>
      </c>
      <c r="F53" s="314">
        <f t="shared" si="4"/>
        <v>27285748.136531487</v>
      </c>
      <c r="G53" s="315">
        <f t="shared" si="7"/>
        <v>622.95999999999992</v>
      </c>
      <c r="H53" s="315">
        <f t="shared" si="7"/>
        <v>0</v>
      </c>
      <c r="I53" s="317">
        <v>31</v>
      </c>
      <c r="J53" s="317">
        <v>1</v>
      </c>
      <c r="K53" s="317">
        <v>51</v>
      </c>
      <c r="L53" s="318">
        <v>16.8</v>
      </c>
      <c r="M53" s="319">
        <f>'[18]Annual conv to Monthly'!B281</f>
        <v>143.01381363494295</v>
      </c>
      <c r="N53" s="317">
        <f>'[14]Data Input'!AJ127+'[16]PSP less Loss factor'!AA136</f>
        <v>3389</v>
      </c>
      <c r="O53" s="318">
        <v>174.9</v>
      </c>
      <c r="P53" s="318">
        <v>318.60000000000002</v>
      </c>
      <c r="Q53" s="316">
        <f t="shared" si="5"/>
        <v>29337670.273077961</v>
      </c>
      <c r="R53" s="50">
        <f t="shared" si="0"/>
        <v>2453520.4130779617</v>
      </c>
      <c r="S53" s="291">
        <f t="shared" si="1"/>
        <v>9.126271151792939E-2</v>
      </c>
      <c r="T53" s="292">
        <f t="shared" si="2"/>
        <v>9.126271151792939E-2</v>
      </c>
      <c r="U53"/>
    </row>
    <row r="54" spans="1:21">
      <c r="A54" s="321">
        <v>41000</v>
      </c>
      <c r="B54" s="314">
        <f>'[14]Data Input'!B128+'[16]PSP less Loss factor'!B137</f>
        <v>24157537.190000001</v>
      </c>
      <c r="C54" s="317">
        <f>'CDM Activity'!F97</f>
        <v>378052.55535640271</v>
      </c>
      <c r="D54" s="384">
        <f t="shared" si="11"/>
        <v>1.0740638868781875</v>
      </c>
      <c r="E54" s="314">
        <f t="shared" si="3"/>
        <v>406052.59705032903</v>
      </c>
      <c r="F54" s="314">
        <f t="shared" si="4"/>
        <v>24563589.787050329</v>
      </c>
      <c r="G54" s="315">
        <f t="shared" si="7"/>
        <v>379.45</v>
      </c>
      <c r="H54" s="315">
        <f t="shared" si="7"/>
        <v>0.01</v>
      </c>
      <c r="I54" s="317">
        <v>30</v>
      </c>
      <c r="J54" s="317">
        <v>1</v>
      </c>
      <c r="K54" s="317">
        <v>52</v>
      </c>
      <c r="L54" s="318">
        <v>16.7</v>
      </c>
      <c r="M54" s="319">
        <f>'[18]Annual conv to Monthly'!B282</f>
        <v>143.21485485907297</v>
      </c>
      <c r="N54" s="317">
        <f>'[14]Data Input'!AJ128+'[16]PSP less Loss factor'!AA137</f>
        <v>3388</v>
      </c>
      <c r="O54" s="318">
        <v>172.3</v>
      </c>
      <c r="P54" s="318">
        <v>318.8</v>
      </c>
      <c r="Q54" s="316">
        <f t="shared" si="5"/>
        <v>25274433.902305242</v>
      </c>
      <c r="R54" s="50">
        <f t="shared" si="0"/>
        <v>1116896.7123052403</v>
      </c>
      <c r="S54" s="291">
        <f t="shared" si="1"/>
        <v>4.6233881521978125E-2</v>
      </c>
      <c r="T54" s="292">
        <f t="shared" si="2"/>
        <v>4.6233881521978125E-2</v>
      </c>
      <c r="U54"/>
    </row>
    <row r="55" spans="1:21">
      <c r="A55" s="321">
        <v>41030</v>
      </c>
      <c r="B55" s="314">
        <f>'[14]Data Input'!B129+'[16]PSP less Loss factor'!B138</f>
        <v>22839707.129999999</v>
      </c>
      <c r="C55" s="317">
        <f>'CDM Activity'!F98</f>
        <v>382199.72069103405</v>
      </c>
      <c r="D55" s="384">
        <f t="shared" si="11"/>
        <v>1.0740638868781875</v>
      </c>
      <c r="E55" s="314">
        <f t="shared" si="3"/>
        <v>410506.91756916966</v>
      </c>
      <c r="F55" s="314">
        <f t="shared" si="4"/>
        <v>23250214.047569167</v>
      </c>
      <c r="G55" s="315">
        <f t="shared" si="7"/>
        <v>190.97476190476192</v>
      </c>
      <c r="H55" s="315">
        <f t="shared" si="7"/>
        <v>8.77</v>
      </c>
      <c r="I55" s="317">
        <v>31</v>
      </c>
      <c r="J55" s="317">
        <v>1</v>
      </c>
      <c r="K55" s="317">
        <v>53</v>
      </c>
      <c r="L55" s="318">
        <v>15.6</v>
      </c>
      <c r="M55" s="319">
        <f>'[18]Annual conv to Monthly'!B283</f>
        <v>143.41617869627913</v>
      </c>
      <c r="N55" s="317">
        <f>'[14]Data Input'!AJ129+'[16]PSP less Loss factor'!AA138</f>
        <v>3392</v>
      </c>
      <c r="O55" s="318">
        <v>174.4</v>
      </c>
      <c r="P55" s="318">
        <v>319</v>
      </c>
      <c r="Q55" s="316">
        <f t="shared" si="5"/>
        <v>23726640.695626006</v>
      </c>
      <c r="R55" s="50">
        <f t="shared" si="0"/>
        <v>886933.56562600657</v>
      </c>
      <c r="S55" s="291">
        <f t="shared" si="1"/>
        <v>3.8832965789697783E-2</v>
      </c>
      <c r="T55" s="292">
        <f t="shared" si="2"/>
        <v>3.8832965789697783E-2</v>
      </c>
      <c r="U55" s="14"/>
    </row>
    <row r="56" spans="1:21">
      <c r="A56" s="321">
        <v>41061</v>
      </c>
      <c r="B56" s="314">
        <f>'[14]Data Input'!B130+'[16]PSP less Loss factor'!B139</f>
        <v>22944176.190000001</v>
      </c>
      <c r="C56" s="317">
        <f>'CDM Activity'!F99</f>
        <v>386346.88602566539</v>
      </c>
      <c r="D56" s="384">
        <f t="shared" si="11"/>
        <v>1.0740638868781875</v>
      </c>
      <c r="E56" s="314">
        <f t="shared" si="3"/>
        <v>414961.23808801029</v>
      </c>
      <c r="F56" s="314">
        <f t="shared" si="4"/>
        <v>23359137.428088013</v>
      </c>
      <c r="G56" s="315">
        <f t="shared" si="7"/>
        <v>69.127619047619049</v>
      </c>
      <c r="H56" s="315">
        <f t="shared" si="7"/>
        <v>22.15</v>
      </c>
      <c r="I56" s="317">
        <v>30</v>
      </c>
      <c r="J56" s="317">
        <v>0</v>
      </c>
      <c r="K56" s="317">
        <v>54</v>
      </c>
      <c r="L56" s="318">
        <v>14.4</v>
      </c>
      <c r="M56" s="319">
        <f>'[18]Annual conv to Monthly'!B284</f>
        <v>143.61778554384387</v>
      </c>
      <c r="N56" s="317">
        <f>'[14]Data Input'!AJ130+'[16]PSP less Loss factor'!AA139</f>
        <v>3403</v>
      </c>
      <c r="O56" s="318">
        <v>176.1</v>
      </c>
      <c r="P56" s="318">
        <v>319.2</v>
      </c>
      <c r="Q56" s="316">
        <f t="shared" si="5"/>
        <v>23258683.474074669</v>
      </c>
      <c r="R56" s="50">
        <f t="shared" si="0"/>
        <v>314507.28407466784</v>
      </c>
      <c r="S56" s="291">
        <f t="shared" si="1"/>
        <v>1.370749951840689E-2</v>
      </c>
      <c r="T56" s="292">
        <f t="shared" si="2"/>
        <v>1.370749951840689E-2</v>
      </c>
      <c r="U56" s="14"/>
    </row>
    <row r="57" spans="1:21">
      <c r="A57" s="321">
        <v>41091</v>
      </c>
      <c r="B57" s="314">
        <f>'[14]Data Input'!B131+'[16]PSP less Loss factor'!B140</f>
        <v>25345321.050000001</v>
      </c>
      <c r="C57" s="317">
        <f>'CDM Activity'!F100</f>
        <v>390494.05136029673</v>
      </c>
      <c r="D57" s="384">
        <f t="shared" si="11"/>
        <v>1.0740638868781875</v>
      </c>
      <c r="E57" s="314">
        <f t="shared" si="3"/>
        <v>419415.55860685091</v>
      </c>
      <c r="F57" s="314">
        <f t="shared" si="4"/>
        <v>25764736.608606853</v>
      </c>
      <c r="G57" s="315">
        <f t="shared" si="7"/>
        <v>22.305238095238096</v>
      </c>
      <c r="H57" s="315">
        <f t="shared" si="7"/>
        <v>53.85</v>
      </c>
      <c r="I57" s="317">
        <v>31</v>
      </c>
      <c r="J57" s="317">
        <v>0</v>
      </c>
      <c r="K57" s="317">
        <v>55</v>
      </c>
      <c r="L57" s="318">
        <v>12.1</v>
      </c>
      <c r="M57" s="319">
        <f>'[18]Annual conv to Monthly'!B285</f>
        <v>143.81967579960809</v>
      </c>
      <c r="N57" s="317">
        <f>'[14]Data Input'!AJ131+'[16]PSP less Loss factor'!AA140</f>
        <v>3416</v>
      </c>
      <c r="O57" s="318">
        <v>179.3</v>
      </c>
      <c r="P57" s="318">
        <v>319.5</v>
      </c>
      <c r="Q57" s="316">
        <f t="shared" si="5"/>
        <v>24690462.304445781</v>
      </c>
      <c r="R57" s="50">
        <f t="shared" si="0"/>
        <v>-654858.74555421993</v>
      </c>
      <c r="S57" s="291">
        <f t="shared" si="1"/>
        <v>-2.5837461054935815E-2</v>
      </c>
      <c r="T57" s="292">
        <f t="shared" si="2"/>
        <v>2.5837461054935815E-2</v>
      </c>
      <c r="U57" s="14"/>
    </row>
    <row r="58" spans="1:21">
      <c r="A58" s="321">
        <v>41122</v>
      </c>
      <c r="B58" s="314">
        <f>'[14]Data Input'!B132+'[16]PSP less Loss factor'!B141</f>
        <v>24309722.300000001</v>
      </c>
      <c r="C58" s="317">
        <f>'CDM Activity'!F101</f>
        <v>394641.21669492807</v>
      </c>
      <c r="D58" s="384">
        <f t="shared" si="11"/>
        <v>1.0740638868781875</v>
      </c>
      <c r="E58" s="314">
        <f t="shared" si="3"/>
        <v>423869.87912569154</v>
      </c>
      <c r="F58" s="314">
        <f t="shared" si="4"/>
        <v>24733592.179125693</v>
      </c>
      <c r="G58" s="315">
        <f t="shared" si="7"/>
        <v>35.084761904761905</v>
      </c>
      <c r="H58" s="315">
        <f t="shared" si="7"/>
        <v>38.71</v>
      </c>
      <c r="I58" s="317">
        <v>31</v>
      </c>
      <c r="J58" s="317">
        <v>0</v>
      </c>
      <c r="K58" s="317">
        <v>56</v>
      </c>
      <c r="L58" s="318">
        <v>12.1</v>
      </c>
      <c r="M58" s="319">
        <f>'[18]Annual conv to Monthly'!B286</f>
        <v>144.02184986197204</v>
      </c>
      <c r="N58" s="317">
        <f>'[14]Data Input'!AJ132+'[16]PSP less Loss factor'!AA141</f>
        <v>3406</v>
      </c>
      <c r="O58" s="318">
        <v>178.6</v>
      </c>
      <c r="P58" s="318">
        <v>319.8</v>
      </c>
      <c r="Q58" s="316">
        <f t="shared" si="5"/>
        <v>24199544.518213246</v>
      </c>
      <c r="R58" s="50">
        <f t="shared" si="0"/>
        <v>-110177.78178675473</v>
      </c>
      <c r="S58" s="291">
        <f t="shared" si="1"/>
        <v>-4.532251764420802E-3</v>
      </c>
      <c r="T58" s="292">
        <f t="shared" si="2"/>
        <v>4.532251764420802E-3</v>
      </c>
      <c r="U58" s="14"/>
    </row>
    <row r="59" spans="1:21">
      <c r="A59" s="321">
        <v>41153</v>
      </c>
      <c r="B59" s="314">
        <f>'[14]Data Input'!B133+'[16]PSP less Loss factor'!B142</f>
        <v>22260178.490000002</v>
      </c>
      <c r="C59" s="317">
        <f>'CDM Activity'!F102</f>
        <v>398788.38202955941</v>
      </c>
      <c r="D59" s="384">
        <f t="shared" si="11"/>
        <v>1.0740638868781875</v>
      </c>
      <c r="E59" s="314">
        <f t="shared" si="3"/>
        <v>428324.19964453211</v>
      </c>
      <c r="F59" s="314">
        <f t="shared" si="4"/>
        <v>22688502.689644534</v>
      </c>
      <c r="G59" s="315">
        <f t="shared" si="7"/>
        <v>119.32619047619046</v>
      </c>
      <c r="H59" s="315">
        <f t="shared" si="7"/>
        <v>14.820000000000002</v>
      </c>
      <c r="I59" s="317">
        <v>30</v>
      </c>
      <c r="J59" s="317">
        <v>1</v>
      </c>
      <c r="K59" s="317">
        <v>57</v>
      </c>
      <c r="L59" s="318">
        <v>12.5</v>
      </c>
      <c r="M59" s="319">
        <f>'[18]Annual conv to Monthly'!B287</f>
        <v>144.22430812989595</v>
      </c>
      <c r="N59" s="317">
        <f>'[14]Data Input'!AJ133+'[16]PSP less Loss factor'!AA142</f>
        <v>3414</v>
      </c>
      <c r="O59" s="318">
        <v>173.9</v>
      </c>
      <c r="P59" s="318">
        <v>320</v>
      </c>
      <c r="Q59" s="316">
        <f t="shared" si="5"/>
        <v>22316367.6041453</v>
      </c>
      <c r="R59" s="50">
        <f t="shared" si="0"/>
        <v>56189.114145297557</v>
      </c>
      <c r="S59" s="291">
        <f t="shared" si="1"/>
        <v>2.5241987242168584E-3</v>
      </c>
      <c r="T59" s="292">
        <f t="shared" si="2"/>
        <v>2.5241987242168584E-3</v>
      </c>
      <c r="U59" s="14"/>
    </row>
    <row r="60" spans="1:21">
      <c r="A60" s="321">
        <v>41183</v>
      </c>
      <c r="B60" s="314">
        <f>'[14]Data Input'!B134+'[16]PSP less Loss factor'!B143</f>
        <v>24143326.09</v>
      </c>
      <c r="C60" s="317">
        <f>'CDM Activity'!F103</f>
        <v>402935.54736419074</v>
      </c>
      <c r="D60" s="384">
        <f t="shared" si="11"/>
        <v>1.0740638868781875</v>
      </c>
      <c r="E60" s="314">
        <f t="shared" si="3"/>
        <v>432778.52016337274</v>
      </c>
      <c r="F60" s="314">
        <f t="shared" si="4"/>
        <v>24576104.610163372</v>
      </c>
      <c r="G60" s="315">
        <f t="shared" si="7"/>
        <v>307.71047619047624</v>
      </c>
      <c r="H60" s="315">
        <f t="shared" si="7"/>
        <v>0.03</v>
      </c>
      <c r="I60" s="317">
        <v>31</v>
      </c>
      <c r="J60" s="317">
        <v>1</v>
      </c>
      <c r="K60" s="317">
        <v>58</v>
      </c>
      <c r="L60" s="318">
        <v>13.4</v>
      </c>
      <c r="M60" s="319">
        <f>'[18]Annual conv to Monthly'!B288</f>
        <v>144.42705100290087</v>
      </c>
      <c r="N60" s="317">
        <f>'[14]Data Input'!AJ134+'[16]PSP less Loss factor'!AA143</f>
        <v>3426</v>
      </c>
      <c r="O60" s="318">
        <v>166.3</v>
      </c>
      <c r="P60" s="318">
        <v>320.2</v>
      </c>
      <c r="Q60" s="316">
        <f t="shared" si="5"/>
        <v>24961703.195393182</v>
      </c>
      <c r="R60" s="50">
        <f t="shared" si="0"/>
        <v>818377.10539318249</v>
      </c>
      <c r="S60" s="291">
        <f t="shared" si="1"/>
        <v>3.3896618152051083E-2</v>
      </c>
      <c r="T60" s="292">
        <f t="shared" si="2"/>
        <v>3.3896618152051083E-2</v>
      </c>
      <c r="U60" s="14"/>
    </row>
    <row r="61" spans="1:21">
      <c r="A61" s="321">
        <v>41214</v>
      </c>
      <c r="B61" s="314">
        <f>'[14]Data Input'!B135+'[16]PSP less Loss factor'!B144</f>
        <v>26564436.550000001</v>
      </c>
      <c r="C61" s="317">
        <f>'CDM Activity'!F104</f>
        <v>407082.71269882208</v>
      </c>
      <c r="D61" s="384">
        <f t="shared" si="11"/>
        <v>1.0740638868781875</v>
      </c>
      <c r="E61" s="314">
        <f t="shared" si="3"/>
        <v>437232.84068221337</v>
      </c>
      <c r="F61" s="314">
        <f t="shared" si="4"/>
        <v>27001669.390682213</v>
      </c>
      <c r="G61" s="315">
        <f t="shared" si="7"/>
        <v>465.15761904761905</v>
      </c>
      <c r="H61" s="315">
        <f t="shared" si="7"/>
        <v>0</v>
      </c>
      <c r="I61" s="317">
        <v>30</v>
      </c>
      <c r="J61" s="317">
        <v>1</v>
      </c>
      <c r="K61" s="317">
        <v>59</v>
      </c>
      <c r="L61" s="318">
        <v>12.9</v>
      </c>
      <c r="M61" s="319">
        <f>'[18]Annual conv to Monthly'!B289</f>
        <v>144.63007888106955</v>
      </c>
      <c r="N61" s="317">
        <f>'[14]Data Input'!AJ135+'[16]PSP less Loss factor'!AA144</f>
        <v>3415</v>
      </c>
      <c r="O61" s="318">
        <v>162.19999999999999</v>
      </c>
      <c r="P61" s="318">
        <v>320.39999999999998</v>
      </c>
      <c r="Q61" s="316">
        <f t="shared" si="5"/>
        <v>26464056.821929529</v>
      </c>
      <c r="R61" s="50">
        <f t="shared" si="0"/>
        <v>-100379.72807047144</v>
      </c>
      <c r="S61" s="291">
        <f t="shared" si="1"/>
        <v>-3.778726037781194E-3</v>
      </c>
      <c r="T61" s="292">
        <f t="shared" si="2"/>
        <v>3.778726037781194E-3</v>
      </c>
      <c r="U61" s="14"/>
    </row>
    <row r="62" spans="1:21">
      <c r="A62" s="321">
        <v>41244</v>
      </c>
      <c r="B62" s="314">
        <f>'[14]Data Input'!B136+'[16]PSP less Loss factor'!B145</f>
        <v>29452867.060000002</v>
      </c>
      <c r="C62" s="317">
        <f>'CDM Activity'!F105</f>
        <v>411229.87803345342</v>
      </c>
      <c r="D62" s="384">
        <f t="shared" si="11"/>
        <v>1.0740638868781875</v>
      </c>
      <c r="E62" s="314">
        <f t="shared" si="3"/>
        <v>441687.161201054</v>
      </c>
      <c r="F62" s="314">
        <f t="shared" si="4"/>
        <v>29894554.221201055</v>
      </c>
      <c r="G62" s="315">
        <f t="shared" si="7"/>
        <v>710.40619047619066</v>
      </c>
      <c r="H62" s="315">
        <f t="shared" si="7"/>
        <v>0</v>
      </c>
      <c r="I62" s="317">
        <v>31</v>
      </c>
      <c r="J62" s="317">
        <v>0</v>
      </c>
      <c r="K62" s="317">
        <v>60</v>
      </c>
      <c r="L62" s="318">
        <v>13.4</v>
      </c>
      <c r="M62" s="319">
        <f>'[18]Annual conv to Monthly'!B290</f>
        <v>144.83339216504706</v>
      </c>
      <c r="N62" s="317">
        <f>'[14]Data Input'!AJ136+'[16]PSP less Loss factor'!AA145</f>
        <v>3391</v>
      </c>
      <c r="O62" s="318">
        <v>159</v>
      </c>
      <c r="P62" s="318">
        <v>320.60000000000002</v>
      </c>
      <c r="Q62" s="316">
        <f t="shared" si="5"/>
        <v>31867619.425621167</v>
      </c>
      <c r="R62" s="50">
        <f t="shared" si="0"/>
        <v>2414752.3656211644</v>
      </c>
      <c r="S62" s="291">
        <f t="shared" si="1"/>
        <v>8.1987005227774398E-2</v>
      </c>
      <c r="T62" s="292">
        <f t="shared" si="2"/>
        <v>8.1987005227774398E-2</v>
      </c>
      <c r="U62" s="14"/>
    </row>
    <row r="63" spans="1:21">
      <c r="A63" s="321">
        <v>41275</v>
      </c>
      <c r="B63" s="314">
        <f>'[14]Data Input'!B137+'[16]PSP less Loss factor'!B146</f>
        <v>32522853.329999998</v>
      </c>
      <c r="C63" s="317">
        <f>'CDM Activity'!F106</f>
        <v>423846.97270360263</v>
      </c>
      <c r="D63" s="383">
        <f>'Rate Class Energy Model'!F12</f>
        <v>1.0758669287315898</v>
      </c>
      <c r="E63" s="314">
        <f t="shared" si="3"/>
        <v>456002.94077480695</v>
      </c>
      <c r="F63" s="314">
        <f t="shared" si="4"/>
        <v>32978856.270774804</v>
      </c>
      <c r="G63" s="315">
        <f t="shared" si="7"/>
        <v>784.93238095238098</v>
      </c>
      <c r="H63" s="315">
        <f t="shared" si="7"/>
        <v>0</v>
      </c>
      <c r="I63" s="317">
        <v>31</v>
      </c>
      <c r="J63" s="317">
        <v>0</v>
      </c>
      <c r="K63" s="317">
        <v>61</v>
      </c>
      <c r="L63" s="318">
        <v>14.5</v>
      </c>
      <c r="M63" s="319">
        <f>'[18]Annual conv to Monthly'!B291</f>
        <v>144.98936781896037</v>
      </c>
      <c r="N63" s="317">
        <f>'[14]Data Input'!AJ137+'[16]PSP less Loss factor'!AA146</f>
        <v>3402</v>
      </c>
      <c r="O63" s="318">
        <v>157.6</v>
      </c>
      <c r="P63" s="318">
        <v>320.7</v>
      </c>
      <c r="Q63" s="316">
        <f t="shared" si="5"/>
        <v>32902427.82751571</v>
      </c>
      <c r="R63" s="50">
        <f t="shared" si="0"/>
        <v>379574.49751571193</v>
      </c>
      <c r="S63" s="291">
        <f t="shared" si="1"/>
        <v>1.1671008495603973E-2</v>
      </c>
      <c r="T63" s="292">
        <f t="shared" si="2"/>
        <v>1.1671008495603973E-2</v>
      </c>
      <c r="U63" s="14"/>
    </row>
    <row r="64" spans="1:21">
      <c r="A64" s="321">
        <v>41306</v>
      </c>
      <c r="B64" s="314">
        <f>'[14]Data Input'!B138+'[16]PSP less Loss factor'!B147</f>
        <v>29772458.41</v>
      </c>
      <c r="C64" s="317">
        <f>'CDM Activity'!F107</f>
        <v>436464.0673737519</v>
      </c>
      <c r="D64" s="384">
        <f>D63</f>
        <v>1.0758669287315898</v>
      </c>
      <c r="E64" s="314">
        <f t="shared" si="3"/>
        <v>469577.25566709618</v>
      </c>
      <c r="F64" s="314">
        <f t="shared" si="4"/>
        <v>30242035.665667098</v>
      </c>
      <c r="G64" s="315">
        <f t="shared" si="7"/>
        <v>739.71857142857129</v>
      </c>
      <c r="H64" s="315">
        <f t="shared" si="7"/>
        <v>0</v>
      </c>
      <c r="I64" s="317">
        <v>28</v>
      </c>
      <c r="J64" s="317">
        <v>0</v>
      </c>
      <c r="K64" s="317">
        <v>62</v>
      </c>
      <c r="L64" s="318">
        <v>15.5</v>
      </c>
      <c r="M64" s="319">
        <f>'[18]Annual conv to Monthly'!B292</f>
        <v>145.14551144798114</v>
      </c>
      <c r="N64" s="317">
        <f>'[14]Data Input'!AJ138+'[16]PSP less Loss factor'!AA147</f>
        <v>3405</v>
      </c>
      <c r="O64" s="318">
        <v>157.5</v>
      </c>
      <c r="P64" s="318">
        <v>320.89999999999998</v>
      </c>
      <c r="Q64" s="316">
        <f t="shared" si="5"/>
        <v>30227122.273814753</v>
      </c>
      <c r="R64" s="50">
        <f t="shared" si="0"/>
        <v>454663.86381475255</v>
      </c>
      <c r="S64" s="291">
        <f t="shared" si="1"/>
        <v>1.5271290585195331E-2</v>
      </c>
      <c r="T64" s="292">
        <f t="shared" si="2"/>
        <v>1.5271290585195331E-2</v>
      </c>
      <c r="U64" s="14"/>
    </row>
    <row r="65" spans="1:21">
      <c r="A65" s="321">
        <v>41334</v>
      </c>
      <c r="B65" s="314">
        <f>'[14]Data Input'!B139+'[16]PSP less Loss factor'!B148</f>
        <v>28900685.57</v>
      </c>
      <c r="C65" s="317">
        <f>'CDM Activity'!F108</f>
        <v>449081.16204390116</v>
      </c>
      <c r="D65" s="384">
        <f t="shared" ref="D65:D74" si="12">D64</f>
        <v>1.0758669287315898</v>
      </c>
      <c r="E65" s="314">
        <f t="shared" si="3"/>
        <v>483151.57055938535</v>
      </c>
      <c r="F65" s="314">
        <f t="shared" si="4"/>
        <v>29383837.140559386</v>
      </c>
      <c r="G65" s="315">
        <f t="shared" si="7"/>
        <v>622.95999999999992</v>
      </c>
      <c r="H65" s="315">
        <f t="shared" si="7"/>
        <v>0</v>
      </c>
      <c r="I65" s="317">
        <v>31</v>
      </c>
      <c r="J65" s="317">
        <v>1</v>
      </c>
      <c r="K65" s="317">
        <v>63</v>
      </c>
      <c r="L65" s="318">
        <v>16.7</v>
      </c>
      <c r="M65" s="319">
        <f>'[18]Annual conv to Monthly'!B293</f>
        <v>145.30182323300707</v>
      </c>
      <c r="N65" s="317">
        <f>'[14]Data Input'!AJ139+'[16]PSP less Loss factor'!AA148</f>
        <v>3408</v>
      </c>
      <c r="O65" s="318">
        <v>155.4</v>
      </c>
      <c r="P65" s="318">
        <v>321.10000000000002</v>
      </c>
      <c r="Q65" s="316">
        <f t="shared" si="5"/>
        <v>29337670.273077961</v>
      </c>
      <c r="R65" s="50">
        <f t="shared" si="0"/>
        <v>436984.70307796076</v>
      </c>
      <c r="S65" s="291">
        <f t="shared" si="1"/>
        <v>1.5120219277136018E-2</v>
      </c>
      <c r="T65" s="292">
        <f t="shared" si="2"/>
        <v>1.5120219277136018E-2</v>
      </c>
      <c r="U65" s="14"/>
    </row>
    <row r="66" spans="1:21">
      <c r="A66" s="321">
        <v>41365</v>
      </c>
      <c r="B66" s="314">
        <f>'[14]Data Input'!B140+'[16]PSP less Loss factor'!B149</f>
        <v>25260353.300000001</v>
      </c>
      <c r="C66" s="317">
        <f>'CDM Activity'!F109</f>
        <v>461698.25671405043</v>
      </c>
      <c r="D66" s="384">
        <f t="shared" si="12"/>
        <v>1.0758669287315898</v>
      </c>
      <c r="E66" s="314">
        <f t="shared" si="3"/>
        <v>496725.88545167458</v>
      </c>
      <c r="F66" s="314">
        <f t="shared" si="4"/>
        <v>25757079.185451675</v>
      </c>
      <c r="G66" s="315">
        <f t="shared" si="7"/>
        <v>379.45</v>
      </c>
      <c r="H66" s="315">
        <f t="shared" si="7"/>
        <v>0.01</v>
      </c>
      <c r="I66" s="317">
        <v>30</v>
      </c>
      <c r="J66" s="317">
        <v>1</v>
      </c>
      <c r="K66" s="317">
        <v>64</v>
      </c>
      <c r="L66" s="318">
        <v>17.3</v>
      </c>
      <c r="M66" s="319">
        <f>'[18]Annual conv to Monthly'!B294</f>
        <v>145.45830335513068</v>
      </c>
      <c r="N66" s="317">
        <f>'[14]Data Input'!AJ140+'[16]PSP less Loss factor'!AA149</f>
        <v>3410</v>
      </c>
      <c r="O66" s="318">
        <v>159.80000000000001</v>
      </c>
      <c r="P66" s="318">
        <v>321.3</v>
      </c>
      <c r="Q66" s="316">
        <f t="shared" si="5"/>
        <v>25274433.902305242</v>
      </c>
      <c r="R66" s="50">
        <f t="shared" si="0"/>
        <v>14080.602305240929</v>
      </c>
      <c r="S66" s="291">
        <f t="shared" si="1"/>
        <v>5.5741905657514807E-4</v>
      </c>
      <c r="T66" s="292">
        <f t="shared" si="2"/>
        <v>5.5741905657514807E-4</v>
      </c>
      <c r="U66" s="14"/>
    </row>
    <row r="67" spans="1:21">
      <c r="A67" s="321">
        <v>41395</v>
      </c>
      <c r="B67" s="314">
        <f>'[14]Data Input'!B141+'[16]PSP less Loss factor'!B150</f>
        <v>22725602.850000001</v>
      </c>
      <c r="C67" s="317">
        <f>'CDM Activity'!F110</f>
        <v>474315.35138419969</v>
      </c>
      <c r="D67" s="384">
        <f t="shared" si="12"/>
        <v>1.0758669287315898</v>
      </c>
      <c r="E67" s="314">
        <f t="shared" si="3"/>
        <v>510300.20034396375</v>
      </c>
      <c r="F67" s="314">
        <f t="shared" si="4"/>
        <v>23235903.050343964</v>
      </c>
      <c r="G67" s="315">
        <f t="shared" si="7"/>
        <v>190.97476190476192</v>
      </c>
      <c r="H67" s="315">
        <f t="shared" si="7"/>
        <v>8.77</v>
      </c>
      <c r="I67" s="317">
        <v>31</v>
      </c>
      <c r="J67" s="317">
        <v>1</v>
      </c>
      <c r="K67" s="317">
        <v>65</v>
      </c>
      <c r="L67" s="318">
        <v>18.3</v>
      </c>
      <c r="M67" s="319">
        <f>'[18]Annual conv to Monthly'!B295</f>
        <v>145.6149519956395</v>
      </c>
      <c r="N67" s="317">
        <f>'[14]Data Input'!AJ141+'[16]PSP less Loss factor'!AA150</f>
        <v>3413</v>
      </c>
      <c r="O67" s="318">
        <v>162.69999999999999</v>
      </c>
      <c r="P67" s="318">
        <v>321.5</v>
      </c>
      <c r="Q67" s="316">
        <f t="shared" si="5"/>
        <v>23726640.695626006</v>
      </c>
      <c r="R67" s="50">
        <f t="shared" ref="R67:R122" si="13">Q67-B67</f>
        <v>1001037.845626004</v>
      </c>
      <c r="S67" s="291">
        <f t="shared" ref="S67:S122" si="14">R67/B67</f>
        <v>4.4048901682975768E-2</v>
      </c>
      <c r="T67" s="292">
        <f t="shared" ref="T67:T122" si="15">ABS(S67)</f>
        <v>4.4048901682975768E-2</v>
      </c>
      <c r="U67" s="14"/>
    </row>
    <row r="68" spans="1:21">
      <c r="A68" s="321">
        <v>41426</v>
      </c>
      <c r="B68" s="314">
        <f>'[14]Data Input'!B142+'[16]PSP less Loss factor'!B151</f>
        <v>22320158.969999999</v>
      </c>
      <c r="C68" s="317">
        <f>'CDM Activity'!F111</f>
        <v>486932.44605434895</v>
      </c>
      <c r="D68" s="384">
        <f t="shared" si="12"/>
        <v>1.0758669287315898</v>
      </c>
      <c r="E68" s="314">
        <f t="shared" ref="E68:E131" si="16">C68*D68</f>
        <v>523874.51523625298</v>
      </c>
      <c r="F68" s="314">
        <f t="shared" ref="F68:F122" si="17">B68+E68</f>
        <v>22844033.485236254</v>
      </c>
      <c r="G68" s="315">
        <f t="shared" si="7"/>
        <v>69.127619047619049</v>
      </c>
      <c r="H68" s="315">
        <f t="shared" si="7"/>
        <v>22.15</v>
      </c>
      <c r="I68" s="317">
        <v>30</v>
      </c>
      <c r="J68" s="317">
        <v>0</v>
      </c>
      <c r="K68" s="317">
        <v>66</v>
      </c>
      <c r="L68" s="318">
        <v>17.399999999999999</v>
      </c>
      <c r="M68" s="319">
        <f>'[18]Annual conv to Monthly'!B296</f>
        <v>145.77176933601632</v>
      </c>
      <c r="N68" s="317">
        <f>'[14]Data Input'!AJ142+'[16]PSP less Loss factor'!AA151</f>
        <v>3416</v>
      </c>
      <c r="O68" s="318">
        <v>171</v>
      </c>
      <c r="P68" s="318">
        <v>321.8</v>
      </c>
      <c r="Q68" s="316">
        <f t="shared" ref="Q68:Q131" si="18">$V$18+G68*$V$19+H68*$V$20+I68*$V$21+J68*$V$22</f>
        <v>23258683.474074669</v>
      </c>
      <c r="R68" s="50">
        <f t="shared" si="13"/>
        <v>938524.50407467037</v>
      </c>
      <c r="S68" s="291">
        <f t="shared" si="14"/>
        <v>4.2048289411205322E-2</v>
      </c>
      <c r="T68" s="292">
        <f t="shared" si="15"/>
        <v>4.2048289411205322E-2</v>
      </c>
      <c r="U68" s="14"/>
    </row>
    <row r="69" spans="1:21">
      <c r="A69" s="321">
        <v>41456</v>
      </c>
      <c r="B69" s="314">
        <f>'[14]Data Input'!B143+'[16]PSP less Loss factor'!B152</f>
        <v>25091607.469999999</v>
      </c>
      <c r="C69" s="317">
        <f>'CDM Activity'!F112</f>
        <v>499549.54072449822</v>
      </c>
      <c r="D69" s="384">
        <f t="shared" si="12"/>
        <v>1.0758669287315898</v>
      </c>
      <c r="E69" s="314">
        <f t="shared" si="16"/>
        <v>537448.83012854215</v>
      </c>
      <c r="F69" s="314">
        <f t="shared" si="17"/>
        <v>25629056.300128542</v>
      </c>
      <c r="G69" s="315">
        <f t="shared" si="7"/>
        <v>22.305238095238096</v>
      </c>
      <c r="H69" s="315">
        <f t="shared" si="7"/>
        <v>53.85</v>
      </c>
      <c r="I69" s="317">
        <v>31</v>
      </c>
      <c r="J69" s="317">
        <v>0</v>
      </c>
      <c r="K69" s="317">
        <v>67</v>
      </c>
      <c r="L69" s="318">
        <v>16.8</v>
      </c>
      <c r="M69" s="319">
        <f>'[18]Annual conv to Monthly'!B297</f>
        <v>145.92875555793933</v>
      </c>
      <c r="N69" s="317">
        <f>'[14]Data Input'!AJ143+'[16]PSP less Loss factor'!AA152</f>
        <v>3429</v>
      </c>
      <c r="O69" s="318">
        <v>175.8</v>
      </c>
      <c r="P69" s="318">
        <v>322</v>
      </c>
      <c r="Q69" s="316">
        <f t="shared" si="18"/>
        <v>24690462.304445781</v>
      </c>
      <c r="R69" s="50">
        <f t="shared" si="13"/>
        <v>-401145.16555421799</v>
      </c>
      <c r="S69" s="291">
        <f t="shared" si="14"/>
        <v>-1.5987224654053542E-2</v>
      </c>
      <c r="T69" s="292">
        <f t="shared" si="15"/>
        <v>1.5987224654053542E-2</v>
      </c>
      <c r="U69" s="14"/>
    </row>
    <row r="70" spans="1:21">
      <c r="A70" s="321">
        <v>41487</v>
      </c>
      <c r="B70" s="314">
        <f>'[14]Data Input'!B144+'[16]PSP less Loss factor'!B153</f>
        <v>23554789.350000001</v>
      </c>
      <c r="C70" s="317">
        <f>'CDM Activity'!F113</f>
        <v>512166.63539464748</v>
      </c>
      <c r="D70" s="384">
        <f t="shared" si="12"/>
        <v>1.0758669287315898</v>
      </c>
      <c r="E70" s="314">
        <f t="shared" si="16"/>
        <v>551023.14502083138</v>
      </c>
      <c r="F70" s="314">
        <f t="shared" si="17"/>
        <v>24105812.495020833</v>
      </c>
      <c r="G70" s="315">
        <f t="shared" si="7"/>
        <v>35.084761904761905</v>
      </c>
      <c r="H70" s="315">
        <f t="shared" si="7"/>
        <v>38.71</v>
      </c>
      <c r="I70" s="317">
        <v>31</v>
      </c>
      <c r="J70" s="317">
        <v>0</v>
      </c>
      <c r="K70" s="317">
        <v>68</v>
      </c>
      <c r="L70" s="318">
        <v>15.8</v>
      </c>
      <c r="M70" s="319">
        <f>'[18]Annual conv to Monthly'!B298</f>
        <v>146.08591084328242</v>
      </c>
      <c r="N70" s="317">
        <f>'[14]Data Input'!AJ144+'[16]PSP less Loss factor'!AA153</f>
        <v>3432</v>
      </c>
      <c r="O70" s="318">
        <v>179.2</v>
      </c>
      <c r="P70" s="318">
        <v>322.3</v>
      </c>
      <c r="Q70" s="316">
        <f t="shared" si="18"/>
        <v>24199544.518213246</v>
      </c>
      <c r="R70" s="50">
        <f t="shared" si="13"/>
        <v>644755.16821324453</v>
      </c>
      <c r="S70" s="291">
        <f t="shared" si="14"/>
        <v>2.7372572033349325E-2</v>
      </c>
      <c r="T70" s="292">
        <f t="shared" si="15"/>
        <v>2.7372572033349325E-2</v>
      </c>
      <c r="U70" s="14"/>
    </row>
    <row r="71" spans="1:21">
      <c r="A71" s="321">
        <v>41518</v>
      </c>
      <c r="B71" s="314">
        <f>'[14]Data Input'!B145+'[16]PSP less Loss factor'!B154</f>
        <v>21832080.809999999</v>
      </c>
      <c r="C71" s="317">
        <f>'CDM Activity'!F114</f>
        <v>524783.73006479675</v>
      </c>
      <c r="D71" s="384">
        <f t="shared" si="12"/>
        <v>1.0758669287315898</v>
      </c>
      <c r="E71" s="314">
        <f t="shared" si="16"/>
        <v>564597.45991312061</v>
      </c>
      <c r="F71" s="314">
        <f t="shared" si="17"/>
        <v>22396678.269913118</v>
      </c>
      <c r="G71" s="315">
        <f t="shared" si="7"/>
        <v>119.32619047619046</v>
      </c>
      <c r="H71" s="315">
        <f t="shared" si="7"/>
        <v>14.820000000000002</v>
      </c>
      <c r="I71" s="317">
        <v>30</v>
      </c>
      <c r="J71" s="317">
        <v>1</v>
      </c>
      <c r="K71" s="317">
        <v>69</v>
      </c>
      <c r="L71" s="318">
        <v>13.8</v>
      </c>
      <c r="M71" s="319">
        <f>'[18]Annual conv to Monthly'!B299</f>
        <v>146.2432353741153</v>
      </c>
      <c r="N71" s="317">
        <f>'[14]Data Input'!AJ145+'[16]PSP less Loss factor'!AA154</f>
        <v>3435</v>
      </c>
      <c r="O71" s="318">
        <v>179.7</v>
      </c>
      <c r="P71" s="318">
        <v>322.60000000000002</v>
      </c>
      <c r="Q71" s="316">
        <f t="shared" si="18"/>
        <v>22316367.6041453</v>
      </c>
      <c r="R71" s="50">
        <f t="shared" si="13"/>
        <v>484286.79414530098</v>
      </c>
      <c r="S71" s="291">
        <f t="shared" si="14"/>
        <v>2.2182347086379305E-2</v>
      </c>
      <c r="T71" s="292">
        <f t="shared" si="15"/>
        <v>2.2182347086379305E-2</v>
      </c>
      <c r="U71" s="14"/>
    </row>
    <row r="72" spans="1:21">
      <c r="A72" s="321">
        <v>41548</v>
      </c>
      <c r="B72" s="314">
        <f>'[14]Data Input'!B146+'[16]PSP less Loss factor'!B155</f>
        <v>23598045.059999999</v>
      </c>
      <c r="C72" s="317">
        <f>'CDM Activity'!F115</f>
        <v>537400.82473494601</v>
      </c>
      <c r="D72" s="384">
        <f t="shared" si="12"/>
        <v>1.0758669287315898</v>
      </c>
      <c r="E72" s="314">
        <f t="shared" si="16"/>
        <v>578171.77480540972</v>
      </c>
      <c r="F72" s="314">
        <f t="shared" si="17"/>
        <v>24176216.834805407</v>
      </c>
      <c r="G72" s="315">
        <f t="shared" si="7"/>
        <v>307.71047619047624</v>
      </c>
      <c r="H72" s="315">
        <f t="shared" si="7"/>
        <v>0.03</v>
      </c>
      <c r="I72" s="317">
        <v>31</v>
      </c>
      <c r="J72" s="317">
        <v>1</v>
      </c>
      <c r="K72" s="317">
        <v>70</v>
      </c>
      <c r="L72" s="318">
        <v>12</v>
      </c>
      <c r="M72" s="319">
        <f>'[18]Annual conv to Monthly'!B300</f>
        <v>146.4007293327038</v>
      </c>
      <c r="N72" s="317">
        <f>'[14]Data Input'!AJ146+'[16]PSP less Loss factor'!AA155</f>
        <v>3432</v>
      </c>
      <c r="O72" s="318">
        <v>176.1</v>
      </c>
      <c r="P72" s="318">
        <v>322.8</v>
      </c>
      <c r="Q72" s="316">
        <f t="shared" si="18"/>
        <v>24961703.195393182</v>
      </c>
      <c r="R72" s="50">
        <f t="shared" si="13"/>
        <v>1363658.1353931837</v>
      </c>
      <c r="S72" s="291">
        <f t="shared" si="14"/>
        <v>5.7786911243112263E-2</v>
      </c>
      <c r="T72" s="292">
        <f t="shared" si="15"/>
        <v>5.7786911243112263E-2</v>
      </c>
      <c r="U72" s="14"/>
    </row>
    <row r="73" spans="1:21">
      <c r="A73" s="321">
        <v>41579</v>
      </c>
      <c r="B73" s="314">
        <f>'[14]Data Input'!B147+'[16]PSP less Loss factor'!B156</f>
        <v>27536874.149999999</v>
      </c>
      <c r="C73" s="317">
        <f>'CDM Activity'!F116</f>
        <v>550017.91940509528</v>
      </c>
      <c r="D73" s="384">
        <f t="shared" si="12"/>
        <v>1.0758669287315898</v>
      </c>
      <c r="E73" s="314">
        <f t="shared" si="16"/>
        <v>591746.08969769895</v>
      </c>
      <c r="F73" s="314">
        <f t="shared" si="17"/>
        <v>28128620.239697699</v>
      </c>
      <c r="G73" s="315">
        <f t="shared" si="7"/>
        <v>465.15761904761905</v>
      </c>
      <c r="H73" s="315">
        <f t="shared" si="7"/>
        <v>0</v>
      </c>
      <c r="I73" s="317">
        <v>30</v>
      </c>
      <c r="J73" s="317">
        <v>1</v>
      </c>
      <c r="K73" s="317">
        <v>71</v>
      </c>
      <c r="L73" s="318">
        <v>9.6999999999999993</v>
      </c>
      <c r="M73" s="319">
        <f>'[18]Annual conv to Monthly'!B301</f>
        <v>146.55839290151005</v>
      </c>
      <c r="N73" s="317">
        <f>'[14]Data Input'!AJ147+'[16]PSP less Loss factor'!AA156</f>
        <v>3435</v>
      </c>
      <c r="O73" s="318">
        <v>172.5</v>
      </c>
      <c r="P73" s="318">
        <v>322.89999999999998</v>
      </c>
      <c r="Q73" s="316">
        <f t="shared" si="18"/>
        <v>26464056.821929529</v>
      </c>
      <c r="R73" s="50">
        <f t="shared" si="13"/>
        <v>-1072817.3280704692</v>
      </c>
      <c r="S73" s="291">
        <f t="shared" si="14"/>
        <v>-3.8959299527846707E-2</v>
      </c>
      <c r="T73" s="292">
        <f t="shared" si="15"/>
        <v>3.8959299527846707E-2</v>
      </c>
      <c r="U73" s="14"/>
    </row>
    <row r="74" spans="1:21">
      <c r="A74" s="321">
        <v>41609</v>
      </c>
      <c r="B74" s="314">
        <f>'[14]Data Input'!B148+'[16]PSP less Loss factor'!B157</f>
        <v>32397122.02</v>
      </c>
      <c r="C74" s="317">
        <f>'CDM Activity'!F117</f>
        <v>562635.01407524454</v>
      </c>
      <c r="D74" s="384">
        <f t="shared" si="12"/>
        <v>1.0758669287315898</v>
      </c>
      <c r="E74" s="314">
        <f t="shared" si="16"/>
        <v>605320.40458998817</v>
      </c>
      <c r="F74" s="314">
        <f t="shared" si="17"/>
        <v>33002442.424589988</v>
      </c>
      <c r="G74" s="315">
        <f t="shared" si="7"/>
        <v>710.40619047619066</v>
      </c>
      <c r="H74" s="315">
        <f t="shared" si="7"/>
        <v>0</v>
      </c>
      <c r="I74" s="317">
        <v>31</v>
      </c>
      <c r="J74" s="317">
        <v>0</v>
      </c>
      <c r="K74" s="317">
        <v>72</v>
      </c>
      <c r="L74" s="318">
        <v>9.9</v>
      </c>
      <c r="M74" s="319">
        <f>'[18]Annual conv to Monthly'!B302</f>
        <v>146.71622626319265</v>
      </c>
      <c r="N74" s="317">
        <f>'[14]Data Input'!AJ148+'[16]PSP less Loss factor'!AA157</f>
        <v>3438</v>
      </c>
      <c r="O74" s="318">
        <v>167.8</v>
      </c>
      <c r="P74" s="318">
        <v>323.10000000000002</v>
      </c>
      <c r="Q74" s="316">
        <f t="shared" si="18"/>
        <v>31867619.425621167</v>
      </c>
      <c r="R74" s="50">
        <f t="shared" si="13"/>
        <v>-529502.59437883273</v>
      </c>
      <c r="S74" s="291">
        <f t="shared" si="14"/>
        <v>-1.6344124458090761E-2</v>
      </c>
      <c r="T74" s="292">
        <f t="shared" si="15"/>
        <v>1.6344124458090761E-2</v>
      </c>
      <c r="U74" s="14"/>
    </row>
    <row r="75" spans="1:21">
      <c r="A75" s="321">
        <v>41640</v>
      </c>
      <c r="B75" s="314">
        <f>'[14]Data Input'!B149+'[16]PSP less Loss factor'!B158</f>
        <v>35005917</v>
      </c>
      <c r="C75" s="317">
        <f>'CDM Activity'!F118</f>
        <v>570253.88398601313</v>
      </c>
      <c r="D75" s="383">
        <f>'Rate Class Energy Model'!F13</f>
        <v>1.0731384565559634</v>
      </c>
      <c r="E75" s="314">
        <f t="shared" si="16"/>
        <v>611961.3729057936</v>
      </c>
      <c r="F75" s="314">
        <f t="shared" si="17"/>
        <v>35617878.372905791</v>
      </c>
      <c r="G75" s="315">
        <f t="shared" si="7"/>
        <v>784.93238095238098</v>
      </c>
      <c r="H75" s="315">
        <f t="shared" si="7"/>
        <v>0</v>
      </c>
      <c r="I75" s="317">
        <v>31</v>
      </c>
      <c r="J75" s="317">
        <v>0</v>
      </c>
      <c r="K75" s="317">
        <v>73</v>
      </c>
      <c r="L75" s="318">
        <v>10.5</v>
      </c>
      <c r="M75" s="319">
        <f>'[18]Annual conv to Monthly'!B303</f>
        <v>147.04232175221028</v>
      </c>
      <c r="N75" s="317">
        <f>'[14]Data Input'!AJ149+'[16]PSP less Loss factor'!AA158</f>
        <v>3453</v>
      </c>
      <c r="O75" s="318">
        <v>168.3</v>
      </c>
      <c r="P75" s="318">
        <v>323.3</v>
      </c>
      <c r="Q75" s="316">
        <f t="shared" si="18"/>
        <v>32902427.82751571</v>
      </c>
      <c r="R75" s="50">
        <f t="shared" si="13"/>
        <v>-2103489.1724842899</v>
      </c>
      <c r="S75" s="291">
        <f t="shared" si="14"/>
        <v>-6.0089532077799587E-2</v>
      </c>
      <c r="T75" s="292">
        <f t="shared" si="15"/>
        <v>6.0089532077799587E-2</v>
      </c>
    </row>
    <row r="76" spans="1:21">
      <c r="A76" s="321">
        <v>41671</v>
      </c>
      <c r="B76" s="314">
        <f>'[14]Data Input'!B150+'[16]PSP less Loss factor'!B159</f>
        <v>30863808</v>
      </c>
      <c r="C76" s="317">
        <f>'CDM Activity'!F119</f>
        <v>577872.75389678171</v>
      </c>
      <c r="D76" s="384">
        <f>D75</f>
        <v>1.0731384565559634</v>
      </c>
      <c r="E76" s="314">
        <f t="shared" si="16"/>
        <v>620137.47520253644</v>
      </c>
      <c r="F76" s="314">
        <f t="shared" si="17"/>
        <v>31483945.475202538</v>
      </c>
      <c r="G76" s="315">
        <f t="shared" si="7"/>
        <v>739.71857142857129</v>
      </c>
      <c r="H76" s="315">
        <f t="shared" si="7"/>
        <v>0</v>
      </c>
      <c r="I76" s="317">
        <v>28</v>
      </c>
      <c r="J76" s="317">
        <v>0</v>
      </c>
      <c r="K76" s="317">
        <v>74</v>
      </c>
      <c r="L76" s="318">
        <v>13</v>
      </c>
      <c r="M76" s="319">
        <f>'[18]Annual conv to Monthly'!B304</f>
        <v>147.36914202996238</v>
      </c>
      <c r="N76" s="317">
        <f>'[14]Data Input'!AJ150+'[16]PSP less Loss factor'!AA159</f>
        <v>3451</v>
      </c>
      <c r="O76" s="318">
        <v>168.8</v>
      </c>
      <c r="P76" s="318">
        <v>323.39999999999998</v>
      </c>
      <c r="Q76" s="316">
        <f t="shared" si="18"/>
        <v>30227122.273814753</v>
      </c>
      <c r="R76" s="50">
        <f t="shared" si="13"/>
        <v>-636685.7261852473</v>
      </c>
      <c r="S76" s="291">
        <f t="shared" si="14"/>
        <v>-2.0628877881343977E-2</v>
      </c>
      <c r="T76" s="292">
        <f t="shared" si="15"/>
        <v>2.0628877881343977E-2</v>
      </c>
    </row>
    <row r="77" spans="1:21">
      <c r="A77" s="321">
        <v>41699</v>
      </c>
      <c r="B77" s="314">
        <f>'[14]Data Input'!B151+'[16]PSP less Loss factor'!B160</f>
        <v>32142987</v>
      </c>
      <c r="C77" s="317">
        <f>'CDM Activity'!F120</f>
        <v>585491.62380755029</v>
      </c>
      <c r="D77" s="384">
        <f t="shared" ref="D77:D86" si="19">D76</f>
        <v>1.0731384565559634</v>
      </c>
      <c r="E77" s="314">
        <f t="shared" si="16"/>
        <v>628313.57749927929</v>
      </c>
      <c r="F77" s="314">
        <f t="shared" si="17"/>
        <v>32771300.577499278</v>
      </c>
      <c r="G77" s="315">
        <f t="shared" si="7"/>
        <v>622.95999999999992</v>
      </c>
      <c r="H77" s="315">
        <f t="shared" si="7"/>
        <v>0</v>
      </c>
      <c r="I77" s="317">
        <v>31</v>
      </c>
      <c r="J77" s="317">
        <v>1</v>
      </c>
      <c r="K77" s="317">
        <v>75</v>
      </c>
      <c r="L77" s="318">
        <v>14.9</v>
      </c>
      <c r="M77" s="319">
        <f>'[18]Annual conv to Monthly'!B305</f>
        <v>147.69668870738414</v>
      </c>
      <c r="N77" s="317">
        <f>'[14]Data Input'!AJ151+'[16]PSP less Loss factor'!AA160</f>
        <v>3448</v>
      </c>
      <c r="O77" s="318">
        <v>171.7</v>
      </c>
      <c r="P77" s="318">
        <v>323.5</v>
      </c>
      <c r="Q77" s="316">
        <f t="shared" si="18"/>
        <v>29337670.273077961</v>
      </c>
      <c r="R77" s="50">
        <f t="shared" si="13"/>
        <v>-2805316.7269220389</v>
      </c>
      <c r="S77" s="291">
        <f t="shared" si="14"/>
        <v>-8.7276167797412194E-2</v>
      </c>
      <c r="T77" s="292">
        <f t="shared" si="15"/>
        <v>8.7276167797412194E-2</v>
      </c>
    </row>
    <row r="78" spans="1:21">
      <c r="A78" s="321">
        <v>41730</v>
      </c>
      <c r="B78" s="314">
        <f>'[14]Data Input'!B152+'[16]PSP less Loss factor'!B161</f>
        <v>25688722</v>
      </c>
      <c r="C78" s="317">
        <f>'CDM Activity'!F121</f>
        <v>593110.49371831887</v>
      </c>
      <c r="D78" s="384">
        <f t="shared" si="19"/>
        <v>1.0731384565559634</v>
      </c>
      <c r="E78" s="314">
        <f t="shared" si="16"/>
        <v>636489.67979602213</v>
      </c>
      <c r="F78" s="314">
        <f t="shared" si="17"/>
        <v>26325211.679796021</v>
      </c>
      <c r="G78" s="315">
        <f t="shared" si="7"/>
        <v>379.45</v>
      </c>
      <c r="H78" s="315">
        <f t="shared" si="7"/>
        <v>0.01</v>
      </c>
      <c r="I78" s="317">
        <v>30</v>
      </c>
      <c r="J78" s="317">
        <v>1</v>
      </c>
      <c r="K78" s="317">
        <v>76</v>
      </c>
      <c r="L78" s="318">
        <v>15.8</v>
      </c>
      <c r="M78" s="319">
        <f>'[18]Annual conv to Monthly'!B306</f>
        <v>148.02496339899133</v>
      </c>
      <c r="N78" s="317">
        <f>'[14]Data Input'!AJ152+'[16]PSP less Loss factor'!AA161</f>
        <v>3454</v>
      </c>
      <c r="O78" s="318">
        <v>174.1</v>
      </c>
      <c r="P78" s="318">
        <v>323.7</v>
      </c>
      <c r="Q78" s="316">
        <f t="shared" si="18"/>
        <v>25274433.902305242</v>
      </c>
      <c r="R78" s="50">
        <f t="shared" si="13"/>
        <v>-414288.09769475833</v>
      </c>
      <c r="S78" s="291">
        <f t="shared" si="14"/>
        <v>-1.6127236601912634E-2</v>
      </c>
      <c r="T78" s="292">
        <f t="shared" si="15"/>
        <v>1.6127236601912634E-2</v>
      </c>
    </row>
    <row r="79" spans="1:21">
      <c r="A79" s="321">
        <v>41760</v>
      </c>
      <c r="B79" s="314">
        <f>'[14]Data Input'!B153+'[16]PSP less Loss factor'!B162</f>
        <v>22896808</v>
      </c>
      <c r="C79" s="317">
        <f>'CDM Activity'!F122</f>
        <v>600729.36362908746</v>
      </c>
      <c r="D79" s="384">
        <f t="shared" si="19"/>
        <v>1.0731384565559634</v>
      </c>
      <c r="E79" s="314">
        <f t="shared" si="16"/>
        <v>644665.78209276497</v>
      </c>
      <c r="F79" s="314">
        <f t="shared" si="17"/>
        <v>23541473.782092765</v>
      </c>
      <c r="G79" s="315">
        <f t="shared" si="7"/>
        <v>190.97476190476192</v>
      </c>
      <c r="H79" s="315">
        <f t="shared" si="7"/>
        <v>8.77</v>
      </c>
      <c r="I79" s="317">
        <v>31</v>
      </c>
      <c r="J79" s="317">
        <v>1</v>
      </c>
      <c r="K79" s="317">
        <v>77</v>
      </c>
      <c r="L79" s="318">
        <v>15.1</v>
      </c>
      <c r="M79" s="319">
        <f>'[18]Annual conv to Monthly'!B307</f>
        <v>148.35396772288814</v>
      </c>
      <c r="N79" s="317">
        <f>'[14]Data Input'!AJ153+'[16]PSP less Loss factor'!AA162</f>
        <v>3448</v>
      </c>
      <c r="O79" s="318">
        <v>179.2</v>
      </c>
      <c r="P79" s="318">
        <v>323.8</v>
      </c>
      <c r="Q79" s="316">
        <f t="shared" si="18"/>
        <v>23726640.695626006</v>
      </c>
      <c r="R79" s="50">
        <f t="shared" si="13"/>
        <v>829832.69562600553</v>
      </c>
      <c r="S79" s="291">
        <f t="shared" si="14"/>
        <v>3.6242287380232455E-2</v>
      </c>
      <c r="T79" s="292">
        <f t="shared" si="15"/>
        <v>3.6242287380232455E-2</v>
      </c>
    </row>
    <row r="80" spans="1:21">
      <c r="A80" s="321">
        <v>41791</v>
      </c>
      <c r="B80" s="314">
        <f>'[14]Data Input'!B154+'[16]PSP less Loss factor'!B163</f>
        <v>22467129</v>
      </c>
      <c r="C80" s="317">
        <f>'CDM Activity'!F123</f>
        <v>608348.23353985604</v>
      </c>
      <c r="D80" s="384">
        <f t="shared" si="19"/>
        <v>1.0731384565559634</v>
      </c>
      <c r="E80" s="314">
        <f t="shared" si="16"/>
        <v>652841.88438950793</v>
      </c>
      <c r="F80" s="314">
        <f t="shared" si="17"/>
        <v>23119970.884389509</v>
      </c>
      <c r="G80" s="315">
        <f t="shared" ref="G80:H143" si="20">G68</f>
        <v>69.127619047619049</v>
      </c>
      <c r="H80" s="315">
        <f t="shared" si="20"/>
        <v>22.15</v>
      </c>
      <c r="I80" s="317">
        <v>30</v>
      </c>
      <c r="J80" s="317">
        <v>0</v>
      </c>
      <c r="K80" s="317">
        <v>78</v>
      </c>
      <c r="L80" s="318">
        <v>12.9</v>
      </c>
      <c r="M80" s="319">
        <f>'[18]Annual conv to Monthly'!B308</f>
        <v>148.68370330077519</v>
      </c>
      <c r="N80" s="317">
        <f>'[14]Data Input'!AJ154+'[16]PSP less Loss factor'!AA163</f>
        <v>3471</v>
      </c>
      <c r="O80" s="318">
        <v>187.9</v>
      </c>
      <c r="P80" s="318">
        <v>324</v>
      </c>
      <c r="Q80" s="316">
        <f t="shared" si="18"/>
        <v>23258683.474074669</v>
      </c>
      <c r="R80" s="50">
        <f t="shared" si="13"/>
        <v>791554.47407466918</v>
      </c>
      <c r="S80" s="291">
        <f t="shared" si="14"/>
        <v>3.5231669968809505E-2</v>
      </c>
      <c r="T80" s="292">
        <f t="shared" si="15"/>
        <v>3.5231669968809505E-2</v>
      </c>
    </row>
    <row r="81" spans="1:21">
      <c r="A81" s="321">
        <v>41821</v>
      </c>
      <c r="B81" s="314">
        <f>'[14]Data Input'!B155+'[16]PSP less Loss factor'!B164</f>
        <v>23174494</v>
      </c>
      <c r="C81" s="317">
        <f>'CDM Activity'!F124</f>
        <v>615967.10345062462</v>
      </c>
      <c r="D81" s="384">
        <f t="shared" si="19"/>
        <v>1.0731384565559634</v>
      </c>
      <c r="E81" s="314">
        <f t="shared" si="16"/>
        <v>661017.98668625078</v>
      </c>
      <c r="F81" s="314">
        <f t="shared" si="17"/>
        <v>23835511.986686252</v>
      </c>
      <c r="G81" s="315">
        <f t="shared" si="20"/>
        <v>22.305238095238096</v>
      </c>
      <c r="H81" s="315">
        <f t="shared" si="20"/>
        <v>53.85</v>
      </c>
      <c r="I81" s="317">
        <v>31</v>
      </c>
      <c r="J81" s="317">
        <v>0</v>
      </c>
      <c r="K81" s="317">
        <v>79</v>
      </c>
      <c r="L81" s="318">
        <v>12.3</v>
      </c>
      <c r="M81" s="319">
        <f>'[18]Annual conv to Monthly'!B309</f>
        <v>149.0141717579576</v>
      </c>
      <c r="N81" s="317">
        <f>'[14]Data Input'!AJ155+'[16]PSP less Loss factor'!AA164</f>
        <v>3473</v>
      </c>
      <c r="O81" s="318">
        <v>194.1</v>
      </c>
      <c r="P81" s="318">
        <v>324.3</v>
      </c>
      <c r="Q81" s="316">
        <f t="shared" si="18"/>
        <v>24690462.304445781</v>
      </c>
      <c r="R81" s="50">
        <f t="shared" si="13"/>
        <v>1515968.3044457808</v>
      </c>
      <c r="S81" s="291">
        <f t="shared" si="14"/>
        <v>6.5415378840451954E-2</v>
      </c>
      <c r="T81" s="292">
        <f t="shared" si="15"/>
        <v>6.5415378840451954E-2</v>
      </c>
    </row>
    <row r="82" spans="1:21">
      <c r="A82" s="321">
        <v>41852</v>
      </c>
      <c r="B82" s="314">
        <f>'[14]Data Input'!B156+'[16]PSP less Loss factor'!B165</f>
        <v>23391322</v>
      </c>
      <c r="C82" s="317">
        <f>'CDM Activity'!F125</f>
        <v>623585.9733613932</v>
      </c>
      <c r="D82" s="384">
        <f t="shared" si="19"/>
        <v>1.0731384565559634</v>
      </c>
      <c r="E82" s="314">
        <f t="shared" si="16"/>
        <v>669194.08898299362</v>
      </c>
      <c r="F82" s="314">
        <f t="shared" si="17"/>
        <v>24060516.088982992</v>
      </c>
      <c r="G82" s="315">
        <f t="shared" si="20"/>
        <v>35.084761904761905</v>
      </c>
      <c r="H82" s="315">
        <f t="shared" si="20"/>
        <v>38.71</v>
      </c>
      <c r="I82" s="317">
        <v>31</v>
      </c>
      <c r="J82" s="317">
        <v>0</v>
      </c>
      <c r="K82" s="317">
        <v>80</v>
      </c>
      <c r="L82" s="318">
        <v>11.7</v>
      </c>
      <c r="M82" s="319">
        <f>'[18]Annual conv to Monthly'!B310</f>
        <v>149.34537472335285</v>
      </c>
      <c r="N82" s="317">
        <f>'[14]Data Input'!AJ156+'[16]PSP less Loss factor'!AA165</f>
        <v>3473</v>
      </c>
      <c r="O82" s="318">
        <v>197.7</v>
      </c>
      <c r="P82" s="318">
        <v>324.5</v>
      </c>
      <c r="Q82" s="316">
        <f t="shared" si="18"/>
        <v>24199544.518213246</v>
      </c>
      <c r="R82" s="50">
        <f t="shared" si="13"/>
        <v>808222.51821324602</v>
      </c>
      <c r="S82" s="291">
        <f t="shared" si="14"/>
        <v>3.4552237715048596E-2</v>
      </c>
      <c r="T82" s="292">
        <f t="shared" si="15"/>
        <v>3.4552237715048596E-2</v>
      </c>
    </row>
    <row r="83" spans="1:21">
      <c r="A83" s="321">
        <v>41883</v>
      </c>
      <c r="B83" s="314">
        <f>'[14]Data Input'!B157+'[16]PSP less Loss factor'!B166</f>
        <v>22126761</v>
      </c>
      <c r="C83" s="317">
        <f>'CDM Activity'!F126</f>
        <v>631204.84327216179</v>
      </c>
      <c r="D83" s="384">
        <f t="shared" si="19"/>
        <v>1.0731384565559634</v>
      </c>
      <c r="E83" s="314">
        <f t="shared" si="16"/>
        <v>677370.19127973646</v>
      </c>
      <c r="F83" s="314">
        <f t="shared" si="17"/>
        <v>22804131.191279735</v>
      </c>
      <c r="G83" s="315">
        <f t="shared" si="20"/>
        <v>119.32619047619046</v>
      </c>
      <c r="H83" s="315">
        <f t="shared" si="20"/>
        <v>14.820000000000002</v>
      </c>
      <c r="I83" s="317">
        <v>30</v>
      </c>
      <c r="J83" s="317">
        <v>1</v>
      </c>
      <c r="K83" s="317">
        <v>81</v>
      </c>
      <c r="L83" s="318">
        <v>10.9</v>
      </c>
      <c r="M83" s="319">
        <f>'[18]Annual conv to Monthly'!B311</f>
        <v>149.67731382949896</v>
      </c>
      <c r="N83" s="317">
        <f>'[14]Data Input'!AJ157+'[16]PSP less Loss factor'!AA166</f>
        <v>3473</v>
      </c>
      <c r="O83" s="318">
        <v>195.1</v>
      </c>
      <c r="P83" s="318">
        <v>324.7</v>
      </c>
      <c r="Q83" s="316">
        <f t="shared" si="18"/>
        <v>22316367.6041453</v>
      </c>
      <c r="R83" s="50">
        <f t="shared" si="13"/>
        <v>189606.60414529964</v>
      </c>
      <c r="S83" s="291">
        <f t="shared" si="14"/>
        <v>8.5691079749674898E-3</v>
      </c>
      <c r="T83" s="292">
        <f t="shared" si="15"/>
        <v>8.5691079749674898E-3</v>
      </c>
    </row>
    <row r="84" spans="1:21">
      <c r="A84" s="321">
        <v>41913</v>
      </c>
      <c r="B84" s="314">
        <f>'[14]Data Input'!B158+'[16]PSP less Loss factor'!B167</f>
        <v>23838442</v>
      </c>
      <c r="C84" s="317">
        <f>'CDM Activity'!F127</f>
        <v>638823.71318293037</v>
      </c>
      <c r="D84" s="384">
        <f t="shared" si="19"/>
        <v>1.0731384565559634</v>
      </c>
      <c r="E84" s="314">
        <f t="shared" si="16"/>
        <v>685546.29357647931</v>
      </c>
      <c r="F84" s="314">
        <f t="shared" si="17"/>
        <v>24523988.293576479</v>
      </c>
      <c r="G84" s="315">
        <f t="shared" si="20"/>
        <v>307.71047619047624</v>
      </c>
      <c r="H84" s="315">
        <f t="shared" si="20"/>
        <v>0.03</v>
      </c>
      <c r="I84" s="317">
        <v>31</v>
      </c>
      <c r="J84" s="317">
        <v>1</v>
      </c>
      <c r="K84" s="317">
        <v>82</v>
      </c>
      <c r="L84" s="318">
        <v>10.199999999999999</v>
      </c>
      <c r="M84" s="319">
        <f>'[18]Annual conv to Monthly'!B312</f>
        <v>150.00999071256246</v>
      </c>
      <c r="N84" s="317">
        <f>'[14]Data Input'!AJ158+'[16]PSP less Loss factor'!AA167</f>
        <v>3474</v>
      </c>
      <c r="O84" s="318">
        <v>194.1</v>
      </c>
      <c r="P84" s="318">
        <v>324.8</v>
      </c>
      <c r="Q84" s="316">
        <f t="shared" si="18"/>
        <v>24961703.195393182</v>
      </c>
      <c r="R84" s="50">
        <f t="shared" si="13"/>
        <v>1123261.1953931823</v>
      </c>
      <c r="S84" s="291">
        <f t="shared" si="14"/>
        <v>4.7119740266296867E-2</v>
      </c>
      <c r="T84" s="292">
        <f t="shared" si="15"/>
        <v>4.7119740266296867E-2</v>
      </c>
    </row>
    <row r="85" spans="1:21">
      <c r="A85" s="321">
        <v>41944</v>
      </c>
      <c r="B85" s="314">
        <f>'[14]Data Input'!B159+'[16]PSP less Loss factor'!B168</f>
        <v>27733031</v>
      </c>
      <c r="C85" s="317">
        <f>'CDM Activity'!F128</f>
        <v>646442.58309369895</v>
      </c>
      <c r="D85" s="384">
        <f t="shared" si="19"/>
        <v>1.0731384565559634</v>
      </c>
      <c r="E85" s="314">
        <f t="shared" si="16"/>
        <v>693722.39587322227</v>
      </c>
      <c r="F85" s="314">
        <f t="shared" si="17"/>
        <v>28426753.395873223</v>
      </c>
      <c r="G85" s="315">
        <f t="shared" si="20"/>
        <v>465.15761904761905</v>
      </c>
      <c r="H85" s="315">
        <f t="shared" si="20"/>
        <v>0</v>
      </c>
      <c r="I85" s="317">
        <v>30</v>
      </c>
      <c r="J85" s="317">
        <v>1</v>
      </c>
      <c r="K85" s="317">
        <v>83</v>
      </c>
      <c r="L85" s="318">
        <v>9.5</v>
      </c>
      <c r="M85" s="319">
        <f>'[18]Annual conv to Monthly'!B313</f>
        <v>150.34340701234646</v>
      </c>
      <c r="N85" s="317">
        <f>'[14]Data Input'!AJ159+'[16]PSP less Loss factor'!AA168</f>
        <v>3467</v>
      </c>
      <c r="O85" s="318">
        <v>191.1</v>
      </c>
      <c r="P85" s="318">
        <v>325</v>
      </c>
      <c r="Q85" s="316">
        <f t="shared" si="18"/>
        <v>26464056.821929529</v>
      </c>
      <c r="R85" s="50">
        <f t="shared" si="13"/>
        <v>-1268974.1780704707</v>
      </c>
      <c r="S85" s="291">
        <f t="shared" si="14"/>
        <v>-4.5756779274161226E-2</v>
      </c>
      <c r="T85" s="292">
        <f t="shared" si="15"/>
        <v>4.5756779274161226E-2</v>
      </c>
    </row>
    <row r="86" spans="1:21">
      <c r="A86" s="321">
        <v>41974</v>
      </c>
      <c r="B86" s="314">
        <f>'[14]Data Input'!B160+'[16]PSP less Loss factor'!B169</f>
        <v>29820236</v>
      </c>
      <c r="C86" s="317">
        <f>'CDM Activity'!F129</f>
        <v>654061.45300446753</v>
      </c>
      <c r="D86" s="384">
        <f t="shared" si="19"/>
        <v>1.0731384565559634</v>
      </c>
      <c r="E86" s="314">
        <f t="shared" si="16"/>
        <v>701898.49816996511</v>
      </c>
      <c r="F86" s="314">
        <f t="shared" si="17"/>
        <v>30522134.498169966</v>
      </c>
      <c r="G86" s="315">
        <f t="shared" si="20"/>
        <v>710.40619047619066</v>
      </c>
      <c r="H86" s="315">
        <f t="shared" si="20"/>
        <v>0</v>
      </c>
      <c r="I86" s="317">
        <v>31</v>
      </c>
      <c r="J86" s="317">
        <v>0</v>
      </c>
      <c r="K86" s="317">
        <v>84</v>
      </c>
      <c r="L86" s="318">
        <v>11.1</v>
      </c>
      <c r="M86" s="319">
        <f>'[18]Annual conv to Monthly'!B314</f>
        <v>150.67756437229883</v>
      </c>
      <c r="N86" s="317">
        <f>'[14]Data Input'!AJ160+'[16]PSP less Loss factor'!AA169</f>
        <v>3465</v>
      </c>
      <c r="O86" s="318">
        <v>190.5</v>
      </c>
      <c r="P86" s="318">
        <v>325.10000000000002</v>
      </c>
      <c r="Q86" s="316">
        <f t="shared" si="18"/>
        <v>31867619.425621167</v>
      </c>
      <c r="R86" s="50">
        <f t="shared" si="13"/>
        <v>2047383.4256211668</v>
      </c>
      <c r="S86" s="291">
        <f t="shared" si="14"/>
        <v>6.8657519196734962E-2</v>
      </c>
      <c r="T86" s="292">
        <f t="shared" si="15"/>
        <v>6.8657519196734962E-2</v>
      </c>
      <c r="U86" s="24"/>
    </row>
    <row r="87" spans="1:21">
      <c r="A87" s="321">
        <v>42005</v>
      </c>
      <c r="B87" s="314">
        <f>'[14]Data Input'!B161+'[16]PSP less Loss factor'!B170</f>
        <v>33934616</v>
      </c>
      <c r="C87" s="317">
        <f>'CDM Activity'!F130</f>
        <v>684868.92951862258</v>
      </c>
      <c r="D87" s="383">
        <f>'Rate Class Energy Model'!F14</f>
        <v>1.0699880223556937</v>
      </c>
      <c r="E87" s="314">
        <f t="shared" si="16"/>
        <v>732801.5514684919</v>
      </c>
      <c r="F87" s="314">
        <f t="shared" si="17"/>
        <v>34667417.551468492</v>
      </c>
      <c r="G87" s="315">
        <f t="shared" si="20"/>
        <v>784.93238095238098</v>
      </c>
      <c r="H87" s="315">
        <f t="shared" si="20"/>
        <v>0</v>
      </c>
      <c r="I87" s="317">
        <v>31</v>
      </c>
      <c r="J87" s="317">
        <v>0</v>
      </c>
      <c r="K87" s="317">
        <v>85</v>
      </c>
      <c r="L87" s="318">
        <v>13.4</v>
      </c>
      <c r="M87" s="319">
        <f>'[18]Annual conv to Monthly'!B315</f>
        <v>150.98793548444445</v>
      </c>
      <c r="N87" s="317">
        <f>'[14]Data Input'!AJ161+'[16]PSP less Loss factor'!AA170</f>
        <v>3489</v>
      </c>
      <c r="O87" s="318">
        <v>187.3</v>
      </c>
      <c r="P87" s="318">
        <v>325.2</v>
      </c>
      <c r="Q87" s="316">
        <f t="shared" si="18"/>
        <v>32902427.82751571</v>
      </c>
      <c r="R87" s="50">
        <f t="shared" si="13"/>
        <v>-1032188.1724842899</v>
      </c>
      <c r="S87" s="291">
        <f t="shared" si="14"/>
        <v>-3.0416969282466313E-2</v>
      </c>
      <c r="T87" s="292">
        <f t="shared" si="15"/>
        <v>3.0416969282466313E-2</v>
      </c>
    </row>
    <row r="88" spans="1:21">
      <c r="A88" s="321">
        <v>42036</v>
      </c>
      <c r="B88" s="314">
        <f>'[14]Data Input'!B162+'[16]PSP less Loss factor'!B171</f>
        <v>32617573</v>
      </c>
      <c r="C88" s="317">
        <f>'CDM Activity'!F131</f>
        <v>715676.40603277762</v>
      </c>
      <c r="D88" s="384">
        <f>D87</f>
        <v>1.0699880223556937</v>
      </c>
      <c r="E88" s="314">
        <f t="shared" si="16"/>
        <v>765765.18233764218</v>
      </c>
      <c r="F88" s="314">
        <f t="shared" si="17"/>
        <v>33383338.182337642</v>
      </c>
      <c r="G88" s="315">
        <f t="shared" si="20"/>
        <v>739.71857142857129</v>
      </c>
      <c r="H88" s="315">
        <f t="shared" si="20"/>
        <v>0</v>
      </c>
      <c r="I88" s="317">
        <v>28</v>
      </c>
      <c r="J88" s="317">
        <v>0</v>
      </c>
      <c r="K88" s="317">
        <v>86</v>
      </c>
      <c r="L88" s="318">
        <v>15.7</v>
      </c>
      <c r="M88" s="319">
        <f>'[18]Annual conv to Monthly'!B316</f>
        <v>151.298945910264</v>
      </c>
      <c r="N88" s="317">
        <f>'[14]Data Input'!AJ162+'[16]PSP less Loss factor'!AA171</f>
        <v>3489</v>
      </c>
      <c r="O88" s="318">
        <v>187.9</v>
      </c>
      <c r="P88" s="318">
        <v>325.3</v>
      </c>
      <c r="Q88" s="316">
        <f t="shared" si="18"/>
        <v>30227122.273814753</v>
      </c>
      <c r="R88" s="50">
        <f t="shared" si="13"/>
        <v>-2390450.7261852473</v>
      </c>
      <c r="S88" s="291">
        <f t="shared" si="14"/>
        <v>-7.3287203992315655E-2</v>
      </c>
      <c r="T88" s="292">
        <f t="shared" si="15"/>
        <v>7.3287203992315655E-2</v>
      </c>
    </row>
    <row r="89" spans="1:21">
      <c r="A89" s="321">
        <v>42064</v>
      </c>
      <c r="B89" s="314">
        <f>'[14]Data Input'!B163+'[16]PSP less Loss factor'!B172</f>
        <v>30305598</v>
      </c>
      <c r="C89" s="317">
        <f>'CDM Activity'!F132</f>
        <v>746483.88254693267</v>
      </c>
      <c r="D89" s="384">
        <f t="shared" ref="D89:D98" si="21">D88</f>
        <v>1.0699880223556937</v>
      </c>
      <c r="E89" s="314">
        <f t="shared" si="16"/>
        <v>798728.81320679246</v>
      </c>
      <c r="F89" s="314">
        <f t="shared" si="17"/>
        <v>31104326.813206792</v>
      </c>
      <c r="G89" s="315">
        <f t="shared" si="20"/>
        <v>622.95999999999992</v>
      </c>
      <c r="H89" s="315">
        <f t="shared" si="20"/>
        <v>0</v>
      </c>
      <c r="I89" s="317">
        <v>31</v>
      </c>
      <c r="J89" s="317">
        <v>1</v>
      </c>
      <c r="K89" s="317">
        <v>87</v>
      </c>
      <c r="L89" s="318">
        <v>17.7</v>
      </c>
      <c r="M89" s="319">
        <f>'[18]Annual conv to Monthly'!B317</f>
        <v>151.61059696663892</v>
      </c>
      <c r="N89" s="317">
        <f>'[14]Data Input'!AJ163+'[16]PSP less Loss factor'!AA172</f>
        <v>3488</v>
      </c>
      <c r="O89" s="318">
        <v>187</v>
      </c>
      <c r="P89" s="318">
        <v>325.39999999999998</v>
      </c>
      <c r="Q89" s="316">
        <f t="shared" si="18"/>
        <v>29337670.273077961</v>
      </c>
      <c r="R89" s="50">
        <f t="shared" si="13"/>
        <v>-967927.72692203894</v>
      </c>
      <c r="S89" s="291">
        <f t="shared" si="14"/>
        <v>-3.1938908676939451E-2</v>
      </c>
      <c r="T89" s="292">
        <f t="shared" si="15"/>
        <v>3.1938908676939451E-2</v>
      </c>
    </row>
    <row r="90" spans="1:21">
      <c r="A90" s="321">
        <v>42095</v>
      </c>
      <c r="B90" s="314">
        <f>'[14]Data Input'!B164+'[16]PSP less Loss factor'!B173</f>
        <v>24419034</v>
      </c>
      <c r="C90" s="317">
        <f>'CDM Activity'!F133</f>
        <v>777291.35906108771</v>
      </c>
      <c r="D90" s="384">
        <f t="shared" si="21"/>
        <v>1.0699880223556937</v>
      </c>
      <c r="E90" s="314">
        <f t="shared" si="16"/>
        <v>831692.44407594262</v>
      </c>
      <c r="F90" s="314">
        <f t="shared" si="17"/>
        <v>25250726.444075942</v>
      </c>
      <c r="G90" s="315">
        <f t="shared" si="20"/>
        <v>379.45</v>
      </c>
      <c r="H90" s="315">
        <f t="shared" si="20"/>
        <v>0.01</v>
      </c>
      <c r="I90" s="317">
        <v>30</v>
      </c>
      <c r="J90" s="317">
        <v>1</v>
      </c>
      <c r="K90" s="317">
        <v>88</v>
      </c>
      <c r="L90" s="318">
        <v>19.600000000000001</v>
      </c>
      <c r="M90" s="319">
        <f>'[18]Annual conv to Monthly'!B318</f>
        <v>151.92288997316331</v>
      </c>
      <c r="N90" s="317">
        <f>'[14]Data Input'!AJ164+'[16]PSP less Loss factor'!AA173</f>
        <v>3485</v>
      </c>
      <c r="O90" s="318">
        <v>182.1</v>
      </c>
      <c r="P90" s="318">
        <v>325.5</v>
      </c>
      <c r="Q90" s="316">
        <f t="shared" si="18"/>
        <v>25274433.902305242</v>
      </c>
      <c r="R90" s="50">
        <f t="shared" si="13"/>
        <v>855399.90230524167</v>
      </c>
      <c r="S90" s="291">
        <f t="shared" si="14"/>
        <v>3.5030046737526216E-2</v>
      </c>
      <c r="T90" s="292">
        <f t="shared" si="15"/>
        <v>3.5030046737526216E-2</v>
      </c>
      <c r="U90" s="50"/>
    </row>
    <row r="91" spans="1:21">
      <c r="A91" s="321">
        <v>42125</v>
      </c>
      <c r="B91" s="314">
        <f>'[14]Data Input'!B165+'[16]PSP less Loss factor'!B174</f>
        <v>22122315</v>
      </c>
      <c r="C91" s="317">
        <f>'CDM Activity'!F134</f>
        <v>808098.83557524276</v>
      </c>
      <c r="D91" s="384">
        <f t="shared" si="21"/>
        <v>1.0699880223556937</v>
      </c>
      <c r="E91" s="314">
        <f t="shared" si="16"/>
        <v>864656.0749450929</v>
      </c>
      <c r="F91" s="314">
        <f t="shared" si="17"/>
        <v>22986971.074945092</v>
      </c>
      <c r="G91" s="315">
        <f t="shared" si="20"/>
        <v>190.97476190476192</v>
      </c>
      <c r="H91" s="315">
        <f t="shared" si="20"/>
        <v>8.77</v>
      </c>
      <c r="I91" s="317">
        <v>31</v>
      </c>
      <c r="J91" s="317">
        <v>1</v>
      </c>
      <c r="K91" s="317">
        <v>89</v>
      </c>
      <c r="L91" s="318">
        <v>20.100000000000001</v>
      </c>
      <c r="M91" s="319">
        <f>'[18]Annual conv to Monthly'!B319</f>
        <v>152.23582625214937</v>
      </c>
      <c r="N91" s="317">
        <f>'[14]Data Input'!AJ165+'[16]PSP less Loss factor'!AA174</f>
        <v>3486</v>
      </c>
      <c r="O91" s="318">
        <v>174.7</v>
      </c>
      <c r="P91" s="318">
        <v>325.60000000000002</v>
      </c>
      <c r="Q91" s="316">
        <f t="shared" si="18"/>
        <v>23726640.695626006</v>
      </c>
      <c r="R91" s="50">
        <f t="shared" si="13"/>
        <v>1604325.6956260055</v>
      </c>
      <c r="S91" s="291">
        <f t="shared" si="14"/>
        <v>7.2520696664250803E-2</v>
      </c>
      <c r="T91" s="292">
        <f t="shared" si="15"/>
        <v>7.2520696664250803E-2</v>
      </c>
    </row>
    <row r="92" spans="1:21">
      <c r="A92" s="321">
        <v>42156</v>
      </c>
      <c r="B92" s="314">
        <f>'[14]Data Input'!B166+'[16]PSP less Loss factor'!B175</f>
        <v>21687054</v>
      </c>
      <c r="C92" s="317">
        <f>'CDM Activity'!F135</f>
        <v>838906.3120893978</v>
      </c>
      <c r="D92" s="384">
        <f t="shared" si="21"/>
        <v>1.0699880223556937</v>
      </c>
      <c r="E92" s="314">
        <f t="shared" si="16"/>
        <v>897619.70581424306</v>
      </c>
      <c r="F92" s="314">
        <f t="shared" si="17"/>
        <v>22584673.705814242</v>
      </c>
      <c r="G92" s="315">
        <f t="shared" si="20"/>
        <v>69.127619047619049</v>
      </c>
      <c r="H92" s="315">
        <f t="shared" si="20"/>
        <v>22.15</v>
      </c>
      <c r="I92" s="317">
        <v>30</v>
      </c>
      <c r="J92" s="317">
        <v>0</v>
      </c>
      <c r="K92" s="317">
        <v>90</v>
      </c>
      <c r="L92" s="318">
        <v>16.899999999999999</v>
      </c>
      <c r="M92" s="319">
        <f>'[18]Annual conv to Monthly'!B320</f>
        <v>152.54940712863302</v>
      </c>
      <c r="N92" s="317">
        <f>'[14]Data Input'!AJ166+'[16]PSP less Loss factor'!AA175</f>
        <v>3479</v>
      </c>
      <c r="O92" s="318">
        <v>168.7</v>
      </c>
      <c r="P92" s="318">
        <v>325.8</v>
      </c>
      <c r="Q92" s="316">
        <f t="shared" si="18"/>
        <v>23258683.474074669</v>
      </c>
      <c r="R92" s="50">
        <f t="shared" si="13"/>
        <v>1571629.4740746692</v>
      </c>
      <c r="S92" s="291">
        <f t="shared" si="14"/>
        <v>7.2468555391371703E-2</v>
      </c>
      <c r="T92" s="292">
        <f t="shared" si="15"/>
        <v>7.2468555391371703E-2</v>
      </c>
    </row>
    <row r="93" spans="1:21">
      <c r="A93" s="321">
        <v>42186</v>
      </c>
      <c r="B93" s="314">
        <f>'[14]Data Input'!B167+'[16]PSP less Loss factor'!B176</f>
        <v>23793533</v>
      </c>
      <c r="C93" s="317">
        <f>'CDM Activity'!F136</f>
        <v>869713.78860355285</v>
      </c>
      <c r="D93" s="384">
        <f t="shared" si="21"/>
        <v>1.0699880223556937</v>
      </c>
      <c r="E93" s="314">
        <f t="shared" si="16"/>
        <v>930583.33668339334</v>
      </c>
      <c r="F93" s="314">
        <f t="shared" si="17"/>
        <v>24724116.336683393</v>
      </c>
      <c r="G93" s="315">
        <f t="shared" si="20"/>
        <v>22.305238095238096</v>
      </c>
      <c r="H93" s="315">
        <f t="shared" si="20"/>
        <v>53.85</v>
      </c>
      <c r="I93" s="317">
        <v>31</v>
      </c>
      <c r="J93" s="317">
        <v>0</v>
      </c>
      <c r="K93" s="317">
        <v>91</v>
      </c>
      <c r="L93" s="318">
        <v>12.9</v>
      </c>
      <c r="M93" s="319">
        <f>'[18]Annual conv to Monthly'!B321</f>
        <v>152.86363393037959</v>
      </c>
      <c r="N93" s="317">
        <f>'[14]Data Input'!AJ167+'[16]PSP less Loss factor'!AA176</f>
        <v>3500</v>
      </c>
      <c r="O93" s="318">
        <v>166</v>
      </c>
      <c r="P93" s="318">
        <v>326</v>
      </c>
      <c r="Q93" s="316">
        <f t="shared" si="18"/>
        <v>24690462.304445781</v>
      </c>
      <c r="R93" s="50">
        <f t="shared" si="13"/>
        <v>896929.30444578081</v>
      </c>
      <c r="S93" s="291">
        <f t="shared" si="14"/>
        <v>3.7696348181910637E-2</v>
      </c>
      <c r="T93" s="292">
        <f t="shared" si="15"/>
        <v>3.7696348181910637E-2</v>
      </c>
    </row>
    <row r="94" spans="1:21">
      <c r="A94" s="321">
        <v>42217</v>
      </c>
      <c r="B94" s="314">
        <f>'[14]Data Input'!B168+'[16]PSP less Loss factor'!B177</f>
        <v>23664046</v>
      </c>
      <c r="C94" s="317">
        <f>'CDM Activity'!F137</f>
        <v>900521.2651177079</v>
      </c>
      <c r="D94" s="384">
        <f t="shared" si="21"/>
        <v>1.0699880223556937</v>
      </c>
      <c r="E94" s="314">
        <f t="shared" si="16"/>
        <v>963546.96755254362</v>
      </c>
      <c r="F94" s="314">
        <f t="shared" si="17"/>
        <v>24627592.967552543</v>
      </c>
      <c r="G94" s="315">
        <f t="shared" si="20"/>
        <v>35.084761904761905</v>
      </c>
      <c r="H94" s="315">
        <f t="shared" si="20"/>
        <v>38.71</v>
      </c>
      <c r="I94" s="317">
        <v>31</v>
      </c>
      <c r="J94" s="317">
        <v>0</v>
      </c>
      <c r="K94" s="317">
        <v>92</v>
      </c>
      <c r="L94" s="318">
        <v>11.5</v>
      </c>
      <c r="M94" s="319">
        <f>'[18]Annual conv to Monthly'!B322</f>
        <v>153.17850798788936</v>
      </c>
      <c r="N94" s="317">
        <f>'[14]Data Input'!AJ168+'[16]PSP less Loss factor'!AA177</f>
        <v>3486</v>
      </c>
      <c r="O94" s="318">
        <v>163.1</v>
      </c>
      <c r="P94" s="318">
        <v>326.2</v>
      </c>
      <c r="Q94" s="316">
        <f t="shared" si="18"/>
        <v>24199544.518213246</v>
      </c>
      <c r="R94" s="50">
        <f t="shared" si="13"/>
        <v>535498.51821324602</v>
      </c>
      <c r="S94" s="291">
        <f t="shared" si="14"/>
        <v>2.262920373858494E-2</v>
      </c>
      <c r="T94" s="292">
        <f t="shared" si="15"/>
        <v>2.262920373858494E-2</v>
      </c>
    </row>
    <row r="95" spans="1:21">
      <c r="A95" s="321">
        <v>42248</v>
      </c>
      <c r="B95" s="314">
        <f>'[14]Data Input'!B169+'[16]PSP less Loss factor'!B178</f>
        <v>21503656</v>
      </c>
      <c r="C95" s="317">
        <f>'CDM Activity'!F138</f>
        <v>931328.74163186294</v>
      </c>
      <c r="D95" s="384">
        <f t="shared" si="21"/>
        <v>1.0699880223556937</v>
      </c>
      <c r="E95" s="314">
        <f t="shared" si="16"/>
        <v>996510.59842169378</v>
      </c>
      <c r="F95" s="314">
        <f t="shared" si="17"/>
        <v>22500166.598421693</v>
      </c>
      <c r="G95" s="315">
        <f t="shared" si="20"/>
        <v>119.32619047619046</v>
      </c>
      <c r="H95" s="315">
        <f t="shared" si="20"/>
        <v>14.820000000000002</v>
      </c>
      <c r="I95" s="317">
        <v>30</v>
      </c>
      <c r="J95" s="317">
        <v>1</v>
      </c>
      <c r="K95" s="317">
        <v>93</v>
      </c>
      <c r="L95" s="318">
        <v>11.3</v>
      </c>
      <c r="M95" s="319">
        <f>'[18]Annual conv to Monthly'!B323</f>
        <v>153.4940306344032</v>
      </c>
      <c r="N95" s="317">
        <f>'[14]Data Input'!AJ169+'[16]PSP less Loss factor'!AA178</f>
        <v>3487</v>
      </c>
      <c r="O95" s="318">
        <v>159.80000000000001</v>
      </c>
      <c r="P95" s="318">
        <v>326.39999999999998</v>
      </c>
      <c r="Q95" s="316">
        <f t="shared" si="18"/>
        <v>22316367.6041453</v>
      </c>
      <c r="R95" s="50">
        <f t="shared" si="13"/>
        <v>812711.60414529964</v>
      </c>
      <c r="S95" s="291">
        <f t="shared" si="14"/>
        <v>3.7794112970617633E-2</v>
      </c>
      <c r="T95" s="292">
        <f t="shared" si="15"/>
        <v>3.7794112970617633E-2</v>
      </c>
    </row>
    <row r="96" spans="1:21">
      <c r="A96" s="321">
        <v>42278</v>
      </c>
      <c r="B96" s="314">
        <f>'[14]Data Input'!B170+'[16]PSP less Loss factor'!B179</f>
        <v>24025252</v>
      </c>
      <c r="C96" s="317">
        <f>'CDM Activity'!F139</f>
        <v>962136.21814601799</v>
      </c>
      <c r="D96" s="384">
        <f t="shared" si="21"/>
        <v>1.0699880223556937</v>
      </c>
      <c r="E96" s="314">
        <f t="shared" si="16"/>
        <v>1029474.2292908441</v>
      </c>
      <c r="F96" s="314">
        <f t="shared" si="17"/>
        <v>25054726.229290843</v>
      </c>
      <c r="G96" s="315">
        <f t="shared" si="20"/>
        <v>307.71047619047624</v>
      </c>
      <c r="H96" s="315">
        <f t="shared" si="20"/>
        <v>0.03</v>
      </c>
      <c r="I96" s="317">
        <v>31</v>
      </c>
      <c r="J96" s="317">
        <v>1</v>
      </c>
      <c r="K96" s="317">
        <v>94</v>
      </c>
      <c r="L96" s="318">
        <v>12</v>
      </c>
      <c r="M96" s="319">
        <f>'[18]Annual conv to Monthly'!B324</f>
        <v>153.81020320590829</v>
      </c>
      <c r="N96" s="317">
        <f>'[14]Data Input'!AJ170+'[16]PSP less Loss factor'!AA179</f>
        <v>3486</v>
      </c>
      <c r="O96" s="318">
        <v>157.80000000000001</v>
      </c>
      <c r="P96" s="318">
        <v>326.60000000000002</v>
      </c>
      <c r="Q96" s="316">
        <f t="shared" si="18"/>
        <v>24961703.195393182</v>
      </c>
      <c r="R96" s="50">
        <f t="shared" si="13"/>
        <v>936451.19539318234</v>
      </c>
      <c r="S96" s="291">
        <f t="shared" si="14"/>
        <v>3.8977788678061828E-2</v>
      </c>
      <c r="T96" s="292">
        <f t="shared" si="15"/>
        <v>3.8977788678061828E-2</v>
      </c>
    </row>
    <row r="97" spans="1:20">
      <c r="A97" s="321">
        <v>42309</v>
      </c>
      <c r="B97" s="314">
        <f>'[14]Data Input'!B171+'[16]PSP less Loss factor'!B180</f>
        <v>24608541</v>
      </c>
      <c r="C97" s="317">
        <f>'CDM Activity'!F140</f>
        <v>992943.69466017303</v>
      </c>
      <c r="D97" s="384">
        <f t="shared" si="21"/>
        <v>1.0699880223556937</v>
      </c>
      <c r="E97" s="314">
        <f t="shared" si="16"/>
        <v>1062437.8601599943</v>
      </c>
      <c r="F97" s="314">
        <f t="shared" si="17"/>
        <v>25670978.860159993</v>
      </c>
      <c r="G97" s="315">
        <f t="shared" si="20"/>
        <v>465.15761904761905</v>
      </c>
      <c r="H97" s="315">
        <f t="shared" si="20"/>
        <v>0</v>
      </c>
      <c r="I97" s="317">
        <v>30</v>
      </c>
      <c r="J97" s="317">
        <v>1</v>
      </c>
      <c r="K97" s="317">
        <v>95</v>
      </c>
      <c r="L97" s="318">
        <v>11</v>
      </c>
      <c r="M97" s="319">
        <f>'[18]Annual conv to Monthly'!B325</f>
        <v>154.12702704114372</v>
      </c>
      <c r="N97" s="317">
        <f>'[14]Data Input'!AJ171+'[16]PSP less Loss factor'!AA180</f>
        <v>3488</v>
      </c>
      <c r="O97" s="318">
        <v>156.9</v>
      </c>
      <c r="P97" s="318">
        <v>326.8</v>
      </c>
      <c r="Q97" s="316">
        <f t="shared" si="18"/>
        <v>26464056.821929529</v>
      </c>
      <c r="R97" s="50">
        <f t="shared" si="13"/>
        <v>1855515.8219295293</v>
      </c>
      <c r="S97" s="291">
        <f t="shared" si="14"/>
        <v>7.5401293474876438E-2</v>
      </c>
      <c r="T97" s="292">
        <f t="shared" si="15"/>
        <v>7.5401293474876438E-2</v>
      </c>
    </row>
    <row r="98" spans="1:20">
      <c r="A98" s="321">
        <v>42339</v>
      </c>
      <c r="B98" s="314">
        <f>'[14]Data Input'!B172+'[16]PSP less Loss factor'!B181</f>
        <v>26280236</v>
      </c>
      <c r="C98" s="317">
        <f>'CDM Activity'!F141</f>
        <v>1023751.1711743281</v>
      </c>
      <c r="D98" s="384">
        <f t="shared" si="21"/>
        <v>1.0699880223556937</v>
      </c>
      <c r="E98" s="314">
        <f t="shared" si="16"/>
        <v>1095401.4910291445</v>
      </c>
      <c r="F98" s="314">
        <f t="shared" si="17"/>
        <v>27375637.491029143</v>
      </c>
      <c r="G98" s="315">
        <f t="shared" si="20"/>
        <v>710.40619047619066</v>
      </c>
      <c r="H98" s="315">
        <f t="shared" si="20"/>
        <v>0</v>
      </c>
      <c r="I98" s="317">
        <v>31</v>
      </c>
      <c r="J98" s="317">
        <v>0</v>
      </c>
      <c r="K98" s="317">
        <v>96</v>
      </c>
      <c r="L98" s="318">
        <v>10.5</v>
      </c>
      <c r="M98" s="319">
        <f>'[18]Annual conv to Monthly'!B326</f>
        <v>154.44450348160629</v>
      </c>
      <c r="N98" s="317">
        <f>'[14]Data Input'!AJ172+'[16]PSP less Loss factor'!AA181</f>
        <v>3488</v>
      </c>
      <c r="O98" s="318">
        <v>155.69999999999999</v>
      </c>
      <c r="P98" s="318">
        <v>326.89999999999998</v>
      </c>
      <c r="Q98" s="316">
        <f t="shared" si="18"/>
        <v>31867619.425621167</v>
      </c>
      <c r="R98" s="50">
        <f t="shared" si="13"/>
        <v>5587383.4256211668</v>
      </c>
      <c r="S98" s="291">
        <f t="shared" si="14"/>
        <v>0.21260781012853791</v>
      </c>
      <c r="T98" s="292">
        <f t="shared" si="15"/>
        <v>0.21260781012853791</v>
      </c>
    </row>
    <row r="99" spans="1:20">
      <c r="A99" s="321">
        <v>42370</v>
      </c>
      <c r="B99" s="314">
        <f>'[14]Data Input'!B173+'[16]PSP less Loss factor'!B182</f>
        <v>30495180</v>
      </c>
      <c r="C99" s="317">
        <f>'CDM Activity'!F142</f>
        <v>1039849.3704800347</v>
      </c>
      <c r="D99" s="383">
        <f>'Rate Class Energy Model'!F15</f>
        <v>1.0774567014787861</v>
      </c>
      <c r="E99" s="314">
        <f t="shared" si="16"/>
        <v>1120392.6727522104</v>
      </c>
      <c r="F99" s="314">
        <f t="shared" si="17"/>
        <v>31615572.672752209</v>
      </c>
      <c r="G99" s="315">
        <f t="shared" si="20"/>
        <v>784.93238095238098</v>
      </c>
      <c r="H99" s="315">
        <f t="shared" si="20"/>
        <v>0</v>
      </c>
      <c r="I99" s="317">
        <v>31</v>
      </c>
      <c r="J99" s="317">
        <v>0</v>
      </c>
      <c r="K99" s="317">
        <v>97</v>
      </c>
      <c r="L99" s="318">
        <v>8.5</v>
      </c>
      <c r="M99" s="319">
        <f>'[18]Annual conv to Monthly'!B327</f>
        <v>154.72483615659849</v>
      </c>
      <c r="N99" s="317">
        <f>'[14]Data Input'!AJ173+'[16]PSP less Loss factor'!AA182</f>
        <v>3490</v>
      </c>
      <c r="O99" s="318">
        <v>156.69999999999999</v>
      </c>
      <c r="P99" s="318">
        <v>327.10000000000002</v>
      </c>
      <c r="Q99" s="316">
        <f t="shared" si="18"/>
        <v>32902427.82751571</v>
      </c>
      <c r="R99" s="50">
        <f t="shared" si="13"/>
        <v>2407247.8275157101</v>
      </c>
      <c r="S99" s="291">
        <f t="shared" si="14"/>
        <v>7.8938633171396599E-2</v>
      </c>
      <c r="T99" s="292">
        <f t="shared" si="15"/>
        <v>7.8938633171396599E-2</v>
      </c>
    </row>
    <row r="100" spans="1:20">
      <c r="A100" s="321">
        <v>42401</v>
      </c>
      <c r="B100" s="314">
        <f>'[14]Data Input'!B174+'[16]PSP less Loss factor'!B183</f>
        <v>29063252</v>
      </c>
      <c r="C100" s="317">
        <f>'CDM Activity'!F143</f>
        <v>1055947.5697857414</v>
      </c>
      <c r="D100" s="384">
        <f>D99</f>
        <v>1.0774567014787861</v>
      </c>
      <c r="E100" s="314">
        <f t="shared" si="16"/>
        <v>1137737.7854758853</v>
      </c>
      <c r="F100" s="314">
        <f t="shared" si="17"/>
        <v>30200989.785475884</v>
      </c>
      <c r="G100" s="315">
        <f t="shared" si="20"/>
        <v>739.71857142857129</v>
      </c>
      <c r="H100" s="315">
        <f t="shared" si="20"/>
        <v>0</v>
      </c>
      <c r="I100" s="317">
        <v>29</v>
      </c>
      <c r="J100" s="317">
        <v>0</v>
      </c>
      <c r="K100" s="317">
        <v>98</v>
      </c>
      <c r="L100" s="318">
        <v>8.1999999999999993</v>
      </c>
      <c r="M100" s="319">
        <f>'[18]Annual conv to Monthly'!B328</f>
        <v>155.00567766425806</v>
      </c>
      <c r="N100" s="317">
        <f>'[14]Data Input'!AJ174+'[16]PSP less Loss factor'!AA183</f>
        <v>3490</v>
      </c>
      <c r="O100" s="318">
        <v>158.4</v>
      </c>
      <c r="P100" s="318">
        <v>327.2</v>
      </c>
      <c r="Q100" s="316">
        <f t="shared" si="18"/>
        <v>30909623.733257972</v>
      </c>
      <c r="R100" s="50">
        <f t="shared" si="13"/>
        <v>1846371.7332579717</v>
      </c>
      <c r="S100" s="291">
        <f t="shared" si="14"/>
        <v>6.3529426550682347E-2</v>
      </c>
      <c r="T100" s="292">
        <f t="shared" si="15"/>
        <v>6.3529426550682347E-2</v>
      </c>
    </row>
    <row r="101" spans="1:20">
      <c r="A101" s="321">
        <v>42430</v>
      </c>
      <c r="B101" s="314">
        <f>'[14]Data Input'!B175+'[16]PSP less Loss factor'!B184</f>
        <v>27667287</v>
      </c>
      <c r="C101" s="317">
        <f>'CDM Activity'!F144</f>
        <v>1072045.769091448</v>
      </c>
      <c r="D101" s="384">
        <f t="shared" ref="D101:D110" si="22">D100</f>
        <v>1.0774567014787861</v>
      </c>
      <c r="E101" s="314">
        <f t="shared" si="16"/>
        <v>1155082.8981995601</v>
      </c>
      <c r="F101" s="314">
        <f t="shared" si="17"/>
        <v>28822369.898199558</v>
      </c>
      <c r="G101" s="315">
        <f t="shared" si="20"/>
        <v>622.95999999999992</v>
      </c>
      <c r="H101" s="315">
        <f t="shared" si="20"/>
        <v>0</v>
      </c>
      <c r="I101" s="317">
        <v>31</v>
      </c>
      <c r="J101" s="317">
        <v>1</v>
      </c>
      <c r="K101" s="317">
        <v>99</v>
      </c>
      <c r="L101" s="318">
        <v>9.6999999999999993</v>
      </c>
      <c r="M101" s="319">
        <f>'[18]Annual conv to Monthly'!B329</f>
        <v>155.2870289281687</v>
      </c>
      <c r="N101" s="317">
        <f>'[14]Data Input'!AJ175+'[16]PSP less Loss factor'!AA184</f>
        <v>3491</v>
      </c>
      <c r="O101" s="318">
        <v>163.4</v>
      </c>
      <c r="P101" s="318">
        <v>327.39999999999998</v>
      </c>
      <c r="Q101" s="316">
        <f t="shared" si="18"/>
        <v>29337670.273077961</v>
      </c>
      <c r="R101" s="50">
        <f t="shared" si="13"/>
        <v>1670383.2730779611</v>
      </c>
      <c r="S101" s="291">
        <f t="shared" si="14"/>
        <v>6.0373945341224138E-2</v>
      </c>
      <c r="T101" s="292">
        <f t="shared" si="15"/>
        <v>6.0373945341224138E-2</v>
      </c>
    </row>
    <row r="102" spans="1:20">
      <c r="A102" s="321">
        <v>42461</v>
      </c>
      <c r="B102" s="314">
        <f>'[14]Data Input'!B176+'[16]PSP less Loss factor'!B185</f>
        <v>24587318</v>
      </c>
      <c r="C102" s="317">
        <f>'CDM Activity'!F145</f>
        <v>1088143.9683971547</v>
      </c>
      <c r="D102" s="384">
        <f t="shared" si="22"/>
        <v>1.0774567014787861</v>
      </c>
      <c r="E102" s="314">
        <f t="shared" si="16"/>
        <v>1172428.0109232347</v>
      </c>
      <c r="F102" s="314">
        <f t="shared" si="17"/>
        <v>25759746.010923237</v>
      </c>
      <c r="G102" s="315">
        <f t="shared" si="20"/>
        <v>379.45</v>
      </c>
      <c r="H102" s="315">
        <f t="shared" si="20"/>
        <v>0.01</v>
      </c>
      <c r="I102" s="317">
        <v>30</v>
      </c>
      <c r="J102" s="317">
        <v>1</v>
      </c>
      <c r="K102" s="317">
        <v>100</v>
      </c>
      <c r="L102" s="318">
        <v>9.9</v>
      </c>
      <c r="M102" s="319">
        <f>'[18]Annual conv to Monthly'!B330</f>
        <v>155.56889087359048</v>
      </c>
      <c r="N102" s="317">
        <f>'[14]Data Input'!AJ176+'[16]PSP less Loss factor'!AA185</f>
        <v>3494</v>
      </c>
      <c r="O102" s="318">
        <v>162.69999999999999</v>
      </c>
      <c r="P102" s="318">
        <v>327.5</v>
      </c>
      <c r="Q102" s="316">
        <f t="shared" si="18"/>
        <v>25274433.902305242</v>
      </c>
      <c r="R102" s="50">
        <f t="shared" si="13"/>
        <v>687115.90230524167</v>
      </c>
      <c r="S102" s="291">
        <f t="shared" si="14"/>
        <v>2.7945947675352051E-2</v>
      </c>
      <c r="T102" s="292">
        <f t="shared" si="15"/>
        <v>2.7945947675352051E-2</v>
      </c>
    </row>
    <row r="103" spans="1:20">
      <c r="A103" s="321">
        <v>42491</v>
      </c>
      <c r="B103" s="314">
        <f>'[14]Data Input'!B177+'[16]PSP less Loss factor'!B186</f>
        <v>21916797</v>
      </c>
      <c r="C103" s="317">
        <f>'CDM Activity'!F146</f>
        <v>1104242.1677028614</v>
      </c>
      <c r="D103" s="384">
        <f t="shared" si="22"/>
        <v>1.0774567014787861</v>
      </c>
      <c r="E103" s="314">
        <f t="shared" si="16"/>
        <v>1189773.1236469096</v>
      </c>
      <c r="F103" s="314">
        <f t="shared" si="17"/>
        <v>23106570.123646911</v>
      </c>
      <c r="G103" s="315">
        <f t="shared" si="20"/>
        <v>190.97476190476192</v>
      </c>
      <c r="H103" s="315">
        <f t="shared" si="20"/>
        <v>8.77</v>
      </c>
      <c r="I103" s="317">
        <v>31</v>
      </c>
      <c r="J103" s="317">
        <v>1</v>
      </c>
      <c r="K103" s="317">
        <v>101</v>
      </c>
      <c r="L103" s="318">
        <v>10.5</v>
      </c>
      <c r="M103" s="319">
        <f>'[18]Annual conv to Monthly'!B331</f>
        <v>155.85126442746289</v>
      </c>
      <c r="N103" s="317">
        <f>'[14]Data Input'!AJ177+'[16]PSP less Loss factor'!AA186</f>
        <v>3494</v>
      </c>
      <c r="O103" s="318">
        <v>165.7</v>
      </c>
      <c r="P103" s="318">
        <v>327.7</v>
      </c>
      <c r="Q103" s="316">
        <f t="shared" si="18"/>
        <v>23726640.695626006</v>
      </c>
      <c r="R103" s="50">
        <f t="shared" si="13"/>
        <v>1809843.6956260055</v>
      </c>
      <c r="S103" s="291">
        <f t="shared" si="14"/>
        <v>8.2577928500501482E-2</v>
      </c>
      <c r="T103" s="292">
        <f t="shared" si="15"/>
        <v>8.2577928500501482E-2</v>
      </c>
    </row>
    <row r="104" spans="1:20">
      <c r="A104" s="321">
        <v>42522</v>
      </c>
      <c r="B104" s="314">
        <f>'[14]Data Input'!B178+'[16]PSP less Loss factor'!B187</f>
        <v>22063036</v>
      </c>
      <c r="C104" s="317">
        <f>'CDM Activity'!F147</f>
        <v>1120340.367008568</v>
      </c>
      <c r="D104" s="384">
        <f t="shared" si="22"/>
        <v>1.0774567014787861</v>
      </c>
      <c r="E104" s="314">
        <f t="shared" si="16"/>
        <v>1207118.2363705845</v>
      </c>
      <c r="F104" s="314">
        <f t="shared" si="17"/>
        <v>23270154.236370586</v>
      </c>
      <c r="G104" s="315">
        <f t="shared" si="20"/>
        <v>69.127619047619049</v>
      </c>
      <c r="H104" s="315">
        <f t="shared" si="20"/>
        <v>22.15</v>
      </c>
      <c r="I104" s="317">
        <v>30</v>
      </c>
      <c r="J104" s="317">
        <v>0</v>
      </c>
      <c r="K104" s="317">
        <v>102</v>
      </c>
      <c r="L104" s="318">
        <v>11.1</v>
      </c>
      <c r="M104" s="319">
        <f>'[18]Annual conv to Monthly'!B332</f>
        <v>156.13415051840798</v>
      </c>
      <c r="N104" s="317">
        <f>'[14]Data Input'!AJ178+'[16]PSP less Loss factor'!AA187</f>
        <v>3490</v>
      </c>
      <c r="O104" s="318">
        <v>166.1</v>
      </c>
      <c r="P104" s="318">
        <v>327.9</v>
      </c>
      <c r="Q104" s="316">
        <f t="shared" si="18"/>
        <v>23258683.474074669</v>
      </c>
      <c r="R104" s="50">
        <f t="shared" si="13"/>
        <v>1195647.4740746692</v>
      </c>
      <c r="S104" s="291">
        <f t="shared" si="14"/>
        <v>5.4192336633755625E-2</v>
      </c>
      <c r="T104" s="292">
        <f t="shared" si="15"/>
        <v>5.4192336633755625E-2</v>
      </c>
    </row>
    <row r="105" spans="1:20">
      <c r="A105" s="321">
        <v>42552</v>
      </c>
      <c r="B105" s="314">
        <f>'[14]Data Input'!B179+'[16]PSP less Loss factor'!B188</f>
        <v>24449967</v>
      </c>
      <c r="C105" s="317">
        <f>'CDM Activity'!F148</f>
        <v>1136438.5663142747</v>
      </c>
      <c r="D105" s="384">
        <f t="shared" si="22"/>
        <v>1.0774567014787861</v>
      </c>
      <c r="E105" s="314">
        <f t="shared" si="16"/>
        <v>1224463.3490942591</v>
      </c>
      <c r="F105" s="314">
        <f t="shared" si="17"/>
        <v>25674430.34909426</v>
      </c>
      <c r="G105" s="315">
        <f t="shared" si="20"/>
        <v>22.305238095238096</v>
      </c>
      <c r="H105" s="315">
        <f t="shared" si="20"/>
        <v>53.85</v>
      </c>
      <c r="I105" s="317">
        <v>31</v>
      </c>
      <c r="J105" s="317">
        <v>0</v>
      </c>
      <c r="K105" s="317">
        <v>103</v>
      </c>
      <c r="L105" s="318">
        <v>13.7</v>
      </c>
      <c r="M105" s="319">
        <f>'[18]Annual conv to Monthly'!B333</f>
        <v>156.41755007673331</v>
      </c>
      <c r="N105" s="317">
        <f>'[14]Data Input'!AJ179+'[16]PSP less Loss factor'!AA188</f>
        <v>3490</v>
      </c>
      <c r="O105" s="318">
        <v>165.3</v>
      </c>
      <c r="P105" s="318">
        <v>328.1</v>
      </c>
      <c r="Q105" s="316">
        <f t="shared" si="18"/>
        <v>24690462.304445781</v>
      </c>
      <c r="R105" s="50">
        <f t="shared" si="13"/>
        <v>240495.30444578081</v>
      </c>
      <c r="S105" s="291">
        <f t="shared" si="14"/>
        <v>9.8362220466710979E-3</v>
      </c>
      <c r="T105" s="292">
        <f t="shared" si="15"/>
        <v>9.8362220466710979E-3</v>
      </c>
    </row>
    <row r="106" spans="1:20">
      <c r="A106" s="321">
        <v>42583</v>
      </c>
      <c r="B106" s="314">
        <f>'[14]Data Input'!B180+'[16]PSP less Loss factor'!B189</f>
        <v>25086525</v>
      </c>
      <c r="C106" s="317">
        <f>'CDM Activity'!F149</f>
        <v>1152536.7656199813</v>
      </c>
      <c r="D106" s="384">
        <f t="shared" si="22"/>
        <v>1.0774567014787861</v>
      </c>
      <c r="E106" s="314">
        <f t="shared" si="16"/>
        <v>1241808.4618179339</v>
      </c>
      <c r="F106" s="314">
        <f t="shared" si="17"/>
        <v>26328333.461817935</v>
      </c>
      <c r="G106" s="315">
        <f t="shared" si="20"/>
        <v>35.084761904761905</v>
      </c>
      <c r="H106" s="315">
        <f t="shared" si="20"/>
        <v>38.71</v>
      </c>
      <c r="I106" s="317">
        <v>31</v>
      </c>
      <c r="J106" s="317">
        <v>0</v>
      </c>
      <c r="K106" s="317">
        <v>104</v>
      </c>
      <c r="L106" s="318">
        <v>14.6</v>
      </c>
      <c r="M106" s="319">
        <f>'[18]Annual conv to Monthly'!B334</f>
        <v>156.70146403443502</v>
      </c>
      <c r="N106" s="317">
        <f>'[14]Data Input'!AJ180+'[16]PSP less Loss factor'!AA189</f>
        <v>3490</v>
      </c>
      <c r="O106" s="318">
        <v>163.30000000000001</v>
      </c>
      <c r="P106" s="318">
        <v>328.3</v>
      </c>
      <c r="Q106" s="316">
        <f t="shared" si="18"/>
        <v>24199544.518213246</v>
      </c>
      <c r="R106" s="50">
        <f t="shared" si="13"/>
        <v>-886980.48178675398</v>
      </c>
      <c r="S106" s="291">
        <f t="shared" si="14"/>
        <v>-3.5356849216332434E-2</v>
      </c>
      <c r="T106" s="292">
        <f t="shared" si="15"/>
        <v>3.5356849216332434E-2</v>
      </c>
    </row>
    <row r="107" spans="1:20">
      <c r="A107" s="321">
        <v>42614</v>
      </c>
      <c r="B107" s="314">
        <f>'[14]Data Input'!B181+'[16]PSP less Loss factor'!B190</f>
        <v>21516383</v>
      </c>
      <c r="C107" s="317">
        <f>'CDM Activity'!F150</f>
        <v>1168634.964925688</v>
      </c>
      <c r="D107" s="384">
        <f t="shared" si="22"/>
        <v>1.0774567014787861</v>
      </c>
      <c r="E107" s="314">
        <f t="shared" si="16"/>
        <v>1259153.5745416088</v>
      </c>
      <c r="F107" s="314">
        <f t="shared" si="17"/>
        <v>22775536.57454161</v>
      </c>
      <c r="G107" s="315">
        <f t="shared" si="20"/>
        <v>119.32619047619046</v>
      </c>
      <c r="H107" s="315">
        <f t="shared" si="20"/>
        <v>14.820000000000002</v>
      </c>
      <c r="I107" s="317">
        <v>30</v>
      </c>
      <c r="J107" s="317">
        <v>1</v>
      </c>
      <c r="K107" s="317">
        <v>105</v>
      </c>
      <c r="L107" s="318">
        <v>12.7</v>
      </c>
      <c r="M107" s="319">
        <f>'[18]Annual conv to Monthly'!B335</f>
        <v>156.98589332520095</v>
      </c>
      <c r="N107" s="317">
        <f>'[14]Data Input'!AJ181+'[16]PSP less Loss factor'!AA190</f>
        <v>3489</v>
      </c>
      <c r="O107" s="318">
        <v>164.5</v>
      </c>
      <c r="P107" s="318">
        <v>328.5</v>
      </c>
      <c r="Q107" s="316">
        <f t="shared" si="18"/>
        <v>22316367.6041453</v>
      </c>
      <c r="R107" s="50">
        <f t="shared" si="13"/>
        <v>799984.60414529964</v>
      </c>
      <c r="S107" s="291">
        <f t="shared" si="14"/>
        <v>3.7180254885093821E-2</v>
      </c>
      <c r="T107" s="292">
        <f t="shared" si="15"/>
        <v>3.7180254885093821E-2</v>
      </c>
    </row>
    <row r="108" spans="1:20">
      <c r="A108" s="321">
        <v>42644</v>
      </c>
      <c r="B108" s="314">
        <f>'[14]Data Input'!B182+'[16]PSP less Loss factor'!B191</f>
        <v>22851618</v>
      </c>
      <c r="C108" s="317">
        <f>'CDM Activity'!F151</f>
        <v>1184733.1642313947</v>
      </c>
      <c r="D108" s="384">
        <f t="shared" si="22"/>
        <v>1.0774567014787861</v>
      </c>
      <c r="E108" s="314">
        <f t="shared" si="16"/>
        <v>1276498.6872652834</v>
      </c>
      <c r="F108" s="314">
        <f t="shared" si="17"/>
        <v>24128116.687265284</v>
      </c>
      <c r="G108" s="315">
        <f t="shared" si="20"/>
        <v>307.71047619047624</v>
      </c>
      <c r="H108" s="315">
        <f t="shared" si="20"/>
        <v>0.03</v>
      </c>
      <c r="I108" s="317">
        <v>31</v>
      </c>
      <c r="J108" s="317">
        <v>1</v>
      </c>
      <c r="K108" s="317">
        <v>106</v>
      </c>
      <c r="L108" s="318">
        <v>9.6999999999999993</v>
      </c>
      <c r="M108" s="319">
        <f>'[18]Annual conv to Monthly'!B336</f>
        <v>157.27083888441365</v>
      </c>
      <c r="N108" s="317">
        <f>'[14]Data Input'!AJ182+'[16]PSP less Loss factor'!AA191</f>
        <v>3489</v>
      </c>
      <c r="O108" s="318">
        <v>175.3</v>
      </c>
      <c r="P108" s="318">
        <v>328.7</v>
      </c>
      <c r="Q108" s="316">
        <f t="shared" si="18"/>
        <v>24961703.195393182</v>
      </c>
      <c r="R108" s="50">
        <f t="shared" si="13"/>
        <v>2110085.1953931823</v>
      </c>
      <c r="S108" s="291">
        <f t="shared" si="14"/>
        <v>9.2338546679415975E-2</v>
      </c>
      <c r="T108" s="292">
        <f t="shared" si="15"/>
        <v>9.2338546679415975E-2</v>
      </c>
    </row>
    <row r="109" spans="1:20">
      <c r="A109" s="321">
        <v>42675</v>
      </c>
      <c r="B109" s="314">
        <f>'[14]Data Input'!B183+'[16]PSP less Loss factor'!B192</f>
        <v>24193372</v>
      </c>
      <c r="C109" s="317">
        <f>'CDM Activity'!F152</f>
        <v>1200831.3635371013</v>
      </c>
      <c r="D109" s="384">
        <f t="shared" si="22"/>
        <v>1.0774567014787861</v>
      </c>
      <c r="E109" s="314">
        <f t="shared" si="16"/>
        <v>1293843.7999889583</v>
      </c>
      <c r="F109" s="314">
        <f t="shared" si="17"/>
        <v>25487215.799988959</v>
      </c>
      <c r="G109" s="315">
        <f t="shared" si="20"/>
        <v>465.15761904761905</v>
      </c>
      <c r="H109" s="315">
        <f t="shared" si="20"/>
        <v>0</v>
      </c>
      <c r="I109" s="317">
        <v>30</v>
      </c>
      <c r="J109" s="317">
        <v>1</v>
      </c>
      <c r="K109" s="317">
        <v>107</v>
      </c>
      <c r="L109" s="318">
        <v>8</v>
      </c>
      <c r="M109" s="319">
        <f>'[18]Annual conv to Monthly'!B337</f>
        <v>157.55630164915351</v>
      </c>
      <c r="N109" s="317">
        <f>'[14]Data Input'!AJ183+'[16]PSP less Loss factor'!AA192</f>
        <v>3492</v>
      </c>
      <c r="O109" s="318">
        <v>183.5</v>
      </c>
      <c r="P109" s="318">
        <v>328.9</v>
      </c>
      <c r="Q109" s="316">
        <f t="shared" si="18"/>
        <v>26464056.821929529</v>
      </c>
      <c r="R109" s="50">
        <f t="shared" si="13"/>
        <v>2270684.8219295293</v>
      </c>
      <c r="S109" s="291">
        <f t="shared" si="14"/>
        <v>9.3855656910063187E-2</v>
      </c>
      <c r="T109" s="292">
        <f t="shared" si="15"/>
        <v>9.3855656910063187E-2</v>
      </c>
    </row>
    <row r="110" spans="1:20">
      <c r="A110" s="321">
        <v>42705</v>
      </c>
      <c r="B110" s="314">
        <f>'[14]Data Input'!B184+'[16]PSP less Loss factor'!B193</f>
        <v>28341333</v>
      </c>
      <c r="C110" s="317">
        <f>'CDM Activity'!F153</f>
        <v>1216929.562842808</v>
      </c>
      <c r="D110" s="384">
        <f t="shared" si="22"/>
        <v>1.0774567014787861</v>
      </c>
      <c r="E110" s="314">
        <f t="shared" si="16"/>
        <v>1311188.9127126331</v>
      </c>
      <c r="F110" s="314">
        <f t="shared" si="17"/>
        <v>29652521.912712634</v>
      </c>
      <c r="G110" s="315">
        <f t="shared" si="20"/>
        <v>710.40619047619066</v>
      </c>
      <c r="H110" s="315">
        <f t="shared" si="20"/>
        <v>0</v>
      </c>
      <c r="I110" s="317">
        <v>31</v>
      </c>
      <c r="J110" s="317">
        <v>0</v>
      </c>
      <c r="K110" s="317">
        <v>108</v>
      </c>
      <c r="L110" s="318">
        <v>7.7</v>
      </c>
      <c r="M110" s="319">
        <f>'[18]Annual conv to Monthly'!B338</f>
        <v>157.84228255820162</v>
      </c>
      <c r="N110" s="317">
        <f>'[14]Data Input'!AJ184+'[16]PSP less Loss factor'!AA193</f>
        <v>3495</v>
      </c>
      <c r="O110" s="318">
        <v>188.3</v>
      </c>
      <c r="P110" s="318">
        <v>329.1</v>
      </c>
      <c r="Q110" s="316">
        <f t="shared" si="18"/>
        <v>31867619.425621167</v>
      </c>
      <c r="R110" s="50">
        <f t="shared" si="13"/>
        <v>3526286.4256211668</v>
      </c>
      <c r="S110" s="291">
        <f t="shared" si="14"/>
        <v>0.12442203849837151</v>
      </c>
      <c r="T110" s="292">
        <f t="shared" si="15"/>
        <v>0.12442203849837151</v>
      </c>
    </row>
    <row r="111" spans="1:20">
      <c r="A111" s="321">
        <v>42736</v>
      </c>
      <c r="B111" s="314">
        <f>'[14]Data Input'!B185+'[16]PSP less Loss factor'!B194</f>
        <v>29369246</v>
      </c>
      <c r="C111" s="317">
        <f>'CDM Activity'!F154</f>
        <v>1209692.4569646295</v>
      </c>
      <c r="D111" s="383">
        <f>'Rate Class Energy Model'!F16</f>
        <v>1.066183484186241</v>
      </c>
      <c r="E111" s="314">
        <f t="shared" si="16"/>
        <v>1289754.1185603631</v>
      </c>
      <c r="F111" s="314">
        <f t="shared" si="17"/>
        <v>30659000.118560363</v>
      </c>
      <c r="G111" s="315">
        <f t="shared" si="20"/>
        <v>784.93238095238098</v>
      </c>
      <c r="H111" s="315">
        <f t="shared" si="20"/>
        <v>0</v>
      </c>
      <c r="I111" s="317">
        <v>31</v>
      </c>
      <c r="J111" s="317">
        <v>0</v>
      </c>
      <c r="K111" s="317">
        <v>109</v>
      </c>
      <c r="L111" s="318">
        <v>10.3</v>
      </c>
      <c r="M111" s="319">
        <f>'[18]Annual conv to Monthly'!B339</f>
        <v>158.15454692394951</v>
      </c>
      <c r="N111" s="317">
        <f>'[14]Data Input'!AJ185+'[16]PSP less Loss factor'!AA194</f>
        <v>3492</v>
      </c>
      <c r="O111" s="318">
        <f>'[19]02820122-eng'!E197</f>
        <v>187.9</v>
      </c>
      <c r="P111" s="318"/>
      <c r="Q111" s="316">
        <f t="shared" si="18"/>
        <v>32902427.82751571</v>
      </c>
      <c r="R111" s="50">
        <f t="shared" si="13"/>
        <v>3533181.8275157101</v>
      </c>
      <c r="S111" s="291">
        <f t="shared" si="14"/>
        <v>0.12030209517519483</v>
      </c>
      <c r="T111" s="292">
        <f t="shared" si="15"/>
        <v>0.12030209517519483</v>
      </c>
    </row>
    <row r="112" spans="1:20">
      <c r="A112" s="321">
        <v>42767</v>
      </c>
      <c r="B112" s="314">
        <f>'[14]Data Input'!B186+'[16]PSP less Loss factor'!B195</f>
        <v>26144559</v>
      </c>
      <c r="C112" s="317">
        <f>'CDM Activity'!F155</f>
        <v>1202455.351086451</v>
      </c>
      <c r="D112" s="384">
        <f>D111</f>
        <v>1.066183484186241</v>
      </c>
      <c r="E112" s="314">
        <f t="shared" si="16"/>
        <v>1282038.035799742</v>
      </c>
      <c r="F112" s="314">
        <f t="shared" si="17"/>
        <v>27426597.035799742</v>
      </c>
      <c r="G112" s="315">
        <f t="shared" si="20"/>
        <v>739.71857142857129</v>
      </c>
      <c r="H112" s="315">
        <f t="shared" si="20"/>
        <v>0</v>
      </c>
      <c r="I112" s="317">
        <v>28</v>
      </c>
      <c r="J112" s="317">
        <v>0</v>
      </c>
      <c r="K112" s="317">
        <v>110</v>
      </c>
      <c r="L112" s="318">
        <v>11</v>
      </c>
      <c r="M112" s="319">
        <f>'[18]Annual conv to Monthly'!B340</f>
        <v>158.46742905214063</v>
      </c>
      <c r="N112" s="317">
        <f>'[14]Data Input'!AJ186+'[16]PSP less Loss factor'!AA195</f>
        <v>3490</v>
      </c>
      <c r="O112" s="318">
        <f>'[19]02820122-eng'!E198</f>
        <v>185.8</v>
      </c>
      <c r="P112" s="318"/>
      <c r="Q112" s="316">
        <f t="shared" si="18"/>
        <v>30227122.273814753</v>
      </c>
      <c r="R112" s="50">
        <f t="shared" si="13"/>
        <v>4082563.2738147527</v>
      </c>
      <c r="S112" s="291">
        <f t="shared" si="14"/>
        <v>0.15615345716157433</v>
      </c>
      <c r="T112" s="292">
        <f t="shared" si="15"/>
        <v>0.15615345716157433</v>
      </c>
    </row>
    <row r="113" spans="1:35">
      <c r="A113" s="321">
        <v>42795</v>
      </c>
      <c r="B113" s="314">
        <f>'[14]Data Input'!B187+'[16]PSP less Loss factor'!B196</f>
        <v>28985084</v>
      </c>
      <c r="C113" s="317">
        <f>'CDM Activity'!F156</f>
        <v>1195218.2452082725</v>
      </c>
      <c r="D113" s="384">
        <f t="shared" ref="D113:D122" si="23">D112</f>
        <v>1.066183484186241</v>
      </c>
      <c r="E113" s="314">
        <f t="shared" si="16"/>
        <v>1274321.9530391209</v>
      </c>
      <c r="F113" s="314">
        <f t="shared" si="17"/>
        <v>30259405.953039121</v>
      </c>
      <c r="G113" s="315">
        <f t="shared" si="20"/>
        <v>622.95999999999992</v>
      </c>
      <c r="H113" s="315">
        <f t="shared" si="20"/>
        <v>0</v>
      </c>
      <c r="I113" s="317">
        <v>31</v>
      </c>
      <c r="J113" s="317">
        <v>1</v>
      </c>
      <c r="K113" s="317">
        <v>111</v>
      </c>
      <c r="L113" s="318">
        <v>12.2</v>
      </c>
      <c r="M113" s="319">
        <f>'[18]Annual conv to Monthly'!B341</f>
        <v>158.78093016491388</v>
      </c>
      <c r="N113" s="317">
        <f>'[14]Data Input'!AJ187+'[16]PSP less Loss factor'!AA196</f>
        <v>3487</v>
      </c>
      <c r="O113" s="318">
        <f>'[19]02820122-eng'!E199</f>
        <v>182.2</v>
      </c>
      <c r="P113" s="318"/>
      <c r="Q113" s="316">
        <f t="shared" si="18"/>
        <v>29337670.273077961</v>
      </c>
      <c r="R113" s="50">
        <f t="shared" si="13"/>
        <v>352586.27307796106</v>
      </c>
      <c r="S113" s="291">
        <f t="shared" si="14"/>
        <v>1.2164404045817534E-2</v>
      </c>
      <c r="T113" s="292">
        <f t="shared" si="15"/>
        <v>1.2164404045817534E-2</v>
      </c>
    </row>
    <row r="114" spans="1:35">
      <c r="A114" s="321">
        <v>42826</v>
      </c>
      <c r="B114" s="314">
        <f>'[14]Data Input'!B188+'[16]PSP less Loss factor'!B197</f>
        <v>22823269</v>
      </c>
      <c r="C114" s="317">
        <f>'CDM Activity'!F157</f>
        <v>1187981.139330094</v>
      </c>
      <c r="D114" s="384">
        <f t="shared" si="23"/>
        <v>1.066183484186241</v>
      </c>
      <c r="E114" s="314">
        <f t="shared" si="16"/>
        <v>1266605.8702784998</v>
      </c>
      <c r="F114" s="314">
        <f t="shared" si="17"/>
        <v>24089874.8702785</v>
      </c>
      <c r="G114" s="315">
        <f t="shared" si="20"/>
        <v>379.45</v>
      </c>
      <c r="H114" s="315">
        <f t="shared" si="20"/>
        <v>0.01</v>
      </c>
      <c r="I114" s="317">
        <v>30</v>
      </c>
      <c r="J114" s="317">
        <v>1</v>
      </c>
      <c r="K114" s="317">
        <v>112</v>
      </c>
      <c r="L114" s="318">
        <v>12</v>
      </c>
      <c r="M114" s="319">
        <f>'[18]Annual conv to Monthly'!B342</f>
        <v>159.09505148682601</v>
      </c>
      <c r="N114" s="317">
        <f>'[14]Data Input'!AJ188+'[16]PSP less Loss factor'!AA197</f>
        <v>3496</v>
      </c>
      <c r="O114" s="318">
        <f>'[19]02820122-eng'!E200</f>
        <v>179</v>
      </c>
      <c r="P114" s="318"/>
      <c r="Q114" s="316">
        <f t="shared" si="18"/>
        <v>25274433.902305242</v>
      </c>
      <c r="R114" s="50">
        <f t="shared" si="13"/>
        <v>2451164.9023052417</v>
      </c>
      <c r="S114" s="291">
        <f t="shared" si="14"/>
        <v>0.1073976257435007</v>
      </c>
      <c r="T114" s="292">
        <f t="shared" si="15"/>
        <v>0.1073976257435007</v>
      </c>
    </row>
    <row r="115" spans="1:35">
      <c r="A115" s="321">
        <v>42856</v>
      </c>
      <c r="B115" s="314">
        <f>'[14]Data Input'!B189+'[16]PSP less Loss factor'!B198</f>
        <v>22196746</v>
      </c>
      <c r="C115" s="317">
        <f>'CDM Activity'!F158</f>
        <v>1180744.0334519155</v>
      </c>
      <c r="D115" s="384">
        <f t="shared" si="23"/>
        <v>1.066183484186241</v>
      </c>
      <c r="E115" s="314">
        <f t="shared" si="16"/>
        <v>1258889.7875178787</v>
      </c>
      <c r="F115" s="314">
        <f t="shared" si="17"/>
        <v>23455635.787517879</v>
      </c>
      <c r="G115" s="315">
        <f t="shared" si="20"/>
        <v>190.97476190476192</v>
      </c>
      <c r="H115" s="315">
        <f t="shared" si="20"/>
        <v>8.77</v>
      </c>
      <c r="I115" s="317">
        <v>31</v>
      </c>
      <c r="J115" s="317">
        <v>1</v>
      </c>
      <c r="K115" s="317">
        <v>113</v>
      </c>
      <c r="L115" s="318">
        <v>12.5</v>
      </c>
      <c r="M115" s="319">
        <f>'[18]Annual conv to Monthly'!B343</f>
        <v>159.4097942448563</v>
      </c>
      <c r="N115" s="317">
        <f>'[14]Data Input'!AJ189+'[16]PSP less Loss factor'!AA198</f>
        <v>3505</v>
      </c>
      <c r="O115" s="318">
        <f>'[19]02820122-eng'!E201</f>
        <v>178.8</v>
      </c>
      <c r="P115" s="318"/>
      <c r="Q115" s="316">
        <f t="shared" si="18"/>
        <v>23726640.695626006</v>
      </c>
      <c r="R115" s="50">
        <f t="shared" si="13"/>
        <v>1529894.6956260055</v>
      </c>
      <c r="S115" s="291">
        <f t="shared" si="14"/>
        <v>6.8924278163385103E-2</v>
      </c>
      <c r="T115" s="292">
        <f t="shared" si="15"/>
        <v>6.8924278163385103E-2</v>
      </c>
    </row>
    <row r="116" spans="1:35">
      <c r="A116" s="321">
        <v>42887</v>
      </c>
      <c r="B116" s="314">
        <f>'[14]Data Input'!B190+'[16]PSP less Loss factor'!B199</f>
        <v>21339393</v>
      </c>
      <c r="C116" s="317">
        <f>'CDM Activity'!F159</f>
        <v>1173506.927573737</v>
      </c>
      <c r="D116" s="384">
        <f t="shared" si="23"/>
        <v>1.066183484186241</v>
      </c>
      <c r="E116" s="314">
        <f t="shared" si="16"/>
        <v>1251173.7047572576</v>
      </c>
      <c r="F116" s="314">
        <f t="shared" si="17"/>
        <v>22590566.704757258</v>
      </c>
      <c r="G116" s="315">
        <f t="shared" si="20"/>
        <v>69.127619047619049</v>
      </c>
      <c r="H116" s="315">
        <f t="shared" si="20"/>
        <v>22.15</v>
      </c>
      <c r="I116" s="317">
        <v>30</v>
      </c>
      <c r="J116" s="317">
        <v>0</v>
      </c>
      <c r="K116" s="317">
        <v>114</v>
      </c>
      <c r="L116" s="318">
        <v>13.2</v>
      </c>
      <c r="M116" s="319">
        <f>'[18]Annual conv to Monthly'!B344</f>
        <v>159.72515966841141</v>
      </c>
      <c r="N116" s="317">
        <f>'[14]Data Input'!AJ190+'[16]PSP less Loss factor'!AA199</f>
        <v>3531</v>
      </c>
      <c r="O116" s="318">
        <f>'[19]02820122-eng'!E202</f>
        <v>179.8</v>
      </c>
      <c r="P116" s="318"/>
      <c r="Q116" s="316">
        <f t="shared" si="18"/>
        <v>23258683.474074669</v>
      </c>
      <c r="R116" s="50">
        <f t="shared" si="13"/>
        <v>1919290.4740746692</v>
      </c>
      <c r="S116" s="291">
        <f t="shared" si="14"/>
        <v>8.99411934573148E-2</v>
      </c>
      <c r="T116" s="292">
        <f t="shared" si="15"/>
        <v>8.99411934573148E-2</v>
      </c>
    </row>
    <row r="117" spans="1:35">
      <c r="A117" s="321">
        <v>42917</v>
      </c>
      <c r="B117" s="314">
        <f>'[14]Data Input'!B191+'[16]PSP less Loss factor'!B200</f>
        <v>22953227</v>
      </c>
      <c r="C117" s="317">
        <f>'CDM Activity'!F160</f>
        <v>1166269.8216955585</v>
      </c>
      <c r="D117" s="384">
        <f t="shared" si="23"/>
        <v>1.066183484186241</v>
      </c>
      <c r="E117" s="314">
        <f t="shared" si="16"/>
        <v>1243457.6219966365</v>
      </c>
      <c r="F117" s="314">
        <f t="shared" si="17"/>
        <v>24196684.621996637</v>
      </c>
      <c r="G117" s="315">
        <f t="shared" si="20"/>
        <v>22.305238095238096</v>
      </c>
      <c r="H117" s="315">
        <f t="shared" si="20"/>
        <v>53.85</v>
      </c>
      <c r="I117" s="317">
        <v>31</v>
      </c>
      <c r="J117" s="317">
        <v>0</v>
      </c>
      <c r="K117" s="317">
        <v>115</v>
      </c>
      <c r="L117" s="318">
        <v>11.3</v>
      </c>
      <c r="M117" s="319">
        <f>'[18]Annual conv to Monthly'!B345</f>
        <v>160.0411489893302</v>
      </c>
      <c r="N117" s="317">
        <f>'[14]Data Input'!AJ191+'[16]PSP less Loss factor'!AA200</f>
        <v>3531</v>
      </c>
      <c r="O117" s="318">
        <f>'[19]02820122-eng'!E203</f>
        <v>183.8</v>
      </c>
      <c r="P117" s="318"/>
      <c r="Q117" s="316">
        <f t="shared" si="18"/>
        <v>24690462.304445781</v>
      </c>
      <c r="R117" s="50">
        <f t="shared" si="13"/>
        <v>1737235.3044457808</v>
      </c>
      <c r="S117" s="291">
        <f t="shared" si="14"/>
        <v>7.5685885232859892E-2</v>
      </c>
      <c r="T117" s="292">
        <f t="shared" si="15"/>
        <v>7.5685885232859892E-2</v>
      </c>
    </row>
    <row r="118" spans="1:35">
      <c r="A118" s="321">
        <v>42948</v>
      </c>
      <c r="B118" s="314">
        <f>'[14]Data Input'!B192+'[16]PSP less Loss factor'!B201</f>
        <v>22947367</v>
      </c>
      <c r="C118" s="317">
        <f>'CDM Activity'!F161</f>
        <v>1159032.71581738</v>
      </c>
      <c r="D118" s="384">
        <f t="shared" si="23"/>
        <v>1.066183484186241</v>
      </c>
      <c r="E118" s="314">
        <f t="shared" si="16"/>
        <v>1235741.5392360154</v>
      </c>
      <c r="F118" s="314">
        <f t="shared" si="17"/>
        <v>24183108.539236017</v>
      </c>
      <c r="G118" s="315">
        <f t="shared" si="20"/>
        <v>35.084761904761905</v>
      </c>
      <c r="H118" s="315">
        <f t="shared" si="20"/>
        <v>38.71</v>
      </c>
      <c r="I118" s="317">
        <v>31</v>
      </c>
      <c r="J118" s="317">
        <v>0</v>
      </c>
      <c r="K118" s="317">
        <v>116</v>
      </c>
      <c r="L118" s="318">
        <v>12.3</v>
      </c>
      <c r="M118" s="319">
        <f>'[18]Annual conv to Monthly'!B346</f>
        <v>160.35776344188849</v>
      </c>
      <c r="N118" s="317">
        <f>'[14]Data Input'!AJ192+'[16]PSP less Loss factor'!AA201</f>
        <v>3530</v>
      </c>
      <c r="O118" s="318">
        <f>'[19]02820122-eng'!E204</f>
        <v>182.5</v>
      </c>
      <c r="P118" s="318"/>
      <c r="Q118" s="316">
        <f t="shared" si="18"/>
        <v>24199544.518213246</v>
      </c>
      <c r="R118" s="50">
        <f t="shared" si="13"/>
        <v>1252177.518213246</v>
      </c>
      <c r="S118" s="291">
        <f t="shared" si="14"/>
        <v>5.4567372292134694E-2</v>
      </c>
      <c r="T118" s="292">
        <f t="shared" si="15"/>
        <v>5.4567372292134694E-2</v>
      </c>
    </row>
    <row r="119" spans="1:35">
      <c r="A119" s="321">
        <v>42979</v>
      </c>
      <c r="B119" s="314">
        <f>'[14]Data Input'!B193+'[16]PSP less Loss factor'!B202</f>
        <v>21826159</v>
      </c>
      <c r="C119" s="317">
        <f>'CDM Activity'!F162</f>
        <v>1151795.6099392015</v>
      </c>
      <c r="D119" s="384">
        <f t="shared" si="23"/>
        <v>1.066183484186241</v>
      </c>
      <c r="E119" s="314">
        <f t="shared" si="16"/>
        <v>1228025.4564753945</v>
      </c>
      <c r="F119" s="314">
        <f t="shared" si="17"/>
        <v>23054184.456475396</v>
      </c>
      <c r="G119" s="315">
        <f t="shared" si="20"/>
        <v>119.32619047619046</v>
      </c>
      <c r="H119" s="315">
        <f t="shared" si="20"/>
        <v>14.820000000000002</v>
      </c>
      <c r="I119" s="317">
        <v>30</v>
      </c>
      <c r="J119" s="317">
        <v>1</v>
      </c>
      <c r="K119" s="317">
        <v>117</v>
      </c>
      <c r="L119" s="318">
        <v>10.8</v>
      </c>
      <c r="M119" s="319">
        <f>'[18]Annual conv to Monthly'!B347</f>
        <v>160.67500426280395</v>
      </c>
      <c r="N119" s="317">
        <f>'[14]Data Input'!AJ193+'[16]PSP less Loss factor'!AA202</f>
        <v>3530</v>
      </c>
      <c r="O119" s="318">
        <f>'[19]02820122-eng'!E205</f>
        <v>182.7</v>
      </c>
      <c r="P119" s="318"/>
      <c r="Q119" s="316">
        <f t="shared" si="18"/>
        <v>22316367.6041453</v>
      </c>
      <c r="R119" s="50">
        <f t="shared" si="13"/>
        <v>490208.60414529964</v>
      </c>
      <c r="S119" s="291">
        <f t="shared" si="14"/>
        <v>2.2459682628780429E-2</v>
      </c>
      <c r="T119" s="292">
        <f t="shared" si="15"/>
        <v>2.2459682628780429E-2</v>
      </c>
    </row>
    <row r="120" spans="1:35">
      <c r="A120" s="321">
        <v>43009</v>
      </c>
      <c r="B120" s="314">
        <f>'[14]Data Input'!B194+'[16]PSP less Loss factor'!B203</f>
        <v>22377976</v>
      </c>
      <c r="C120" s="317">
        <f>'CDM Activity'!F163</f>
        <v>1144558.504061023</v>
      </c>
      <c r="D120" s="384">
        <f t="shared" si="23"/>
        <v>1.066183484186241</v>
      </c>
      <c r="E120" s="314">
        <f t="shared" si="16"/>
        <v>1220309.3737147735</v>
      </c>
      <c r="F120" s="314">
        <f t="shared" si="17"/>
        <v>23598285.373714775</v>
      </c>
      <c r="G120" s="315">
        <f t="shared" si="20"/>
        <v>307.71047619047624</v>
      </c>
      <c r="H120" s="315">
        <f t="shared" si="20"/>
        <v>0.03</v>
      </c>
      <c r="I120" s="317">
        <v>31</v>
      </c>
      <c r="J120" s="317">
        <v>1</v>
      </c>
      <c r="K120" s="317">
        <v>118</v>
      </c>
      <c r="L120" s="318">
        <v>10.7</v>
      </c>
      <c r="M120" s="319">
        <f>'[18]Annual conv to Monthly'!B348</f>
        <v>160.99287269124085</v>
      </c>
      <c r="N120" s="317">
        <f>'[14]Data Input'!AJ194+'[16]PSP less Loss factor'!AA203</f>
        <v>3536</v>
      </c>
      <c r="O120" s="318">
        <f>'[19]02820122-eng'!E206</f>
        <v>184.3</v>
      </c>
      <c r="P120" s="318"/>
      <c r="Q120" s="316">
        <f t="shared" si="18"/>
        <v>24961703.195393182</v>
      </c>
      <c r="R120" s="50">
        <f t="shared" si="13"/>
        <v>2583727.1953931823</v>
      </c>
      <c r="S120" s="291">
        <f t="shared" si="14"/>
        <v>0.11545848451143134</v>
      </c>
      <c r="T120" s="292">
        <f t="shared" si="15"/>
        <v>0.11545848451143134</v>
      </c>
    </row>
    <row r="121" spans="1:35">
      <c r="A121" s="321">
        <v>43040</v>
      </c>
      <c r="B121" s="314">
        <f>'[14]Data Input'!B195+'[16]PSP less Loss factor'!B204</f>
        <v>25903115</v>
      </c>
      <c r="C121" s="317">
        <f>'CDM Activity'!F164</f>
        <v>1137321.3981828445</v>
      </c>
      <c r="D121" s="384">
        <f t="shared" si="23"/>
        <v>1.066183484186241</v>
      </c>
      <c r="E121" s="314">
        <f t="shared" si="16"/>
        <v>1212593.2909541524</v>
      </c>
      <c r="F121" s="314">
        <f t="shared" si="17"/>
        <v>27115708.290954154</v>
      </c>
      <c r="G121" s="315">
        <f t="shared" si="20"/>
        <v>465.15761904761905</v>
      </c>
      <c r="H121" s="315">
        <f t="shared" si="20"/>
        <v>0</v>
      </c>
      <c r="I121" s="317">
        <v>30</v>
      </c>
      <c r="J121" s="317">
        <v>1</v>
      </c>
      <c r="K121" s="317">
        <v>119</v>
      </c>
      <c r="L121" s="318">
        <v>9.4</v>
      </c>
      <c r="M121" s="319">
        <f>'[18]Annual conv to Monthly'!B349</f>
        <v>161.31136996881492</v>
      </c>
      <c r="N121" s="317">
        <f>'[14]Data Input'!AJ195+'[16]PSP less Loss factor'!AA204</f>
        <v>3536</v>
      </c>
      <c r="O121" s="318">
        <f>'[19]02820122-eng'!E207</f>
        <v>183.5</v>
      </c>
      <c r="P121" s="318"/>
      <c r="Q121" s="316">
        <f t="shared" si="18"/>
        <v>26464056.821929529</v>
      </c>
      <c r="R121" s="50">
        <f t="shared" si="13"/>
        <v>560941.82192952931</v>
      </c>
      <c r="S121" s="291">
        <f t="shared" si="14"/>
        <v>2.1655380904170379E-2</v>
      </c>
      <c r="T121" s="292">
        <f t="shared" si="15"/>
        <v>2.1655380904170379E-2</v>
      </c>
    </row>
    <row r="122" spans="1:35">
      <c r="A122" s="321">
        <v>43070</v>
      </c>
      <c r="B122" s="314">
        <f>'[14]Data Input'!B196+'[16]PSP less Loss factor'!B205</f>
        <v>30421258</v>
      </c>
      <c r="C122" s="317">
        <f>'CDM Activity'!F165</f>
        <v>1130084.292304666</v>
      </c>
      <c r="D122" s="384">
        <f t="shared" si="23"/>
        <v>1.066183484186241</v>
      </c>
      <c r="E122" s="314">
        <f t="shared" si="16"/>
        <v>1204877.2081935313</v>
      </c>
      <c r="F122" s="314">
        <f t="shared" si="17"/>
        <v>31626135.208193533</v>
      </c>
      <c r="G122" s="315">
        <f t="shared" si="20"/>
        <v>710.40619047619066</v>
      </c>
      <c r="H122" s="315">
        <f t="shared" si="20"/>
        <v>0</v>
      </c>
      <c r="I122" s="317">
        <v>31</v>
      </c>
      <c r="J122" s="317">
        <v>0</v>
      </c>
      <c r="K122" s="317">
        <v>120</v>
      </c>
      <c r="L122" s="318">
        <v>9.6</v>
      </c>
      <c r="M122" s="319">
        <f>'[18]Annual conv to Monthly'!B350</f>
        <v>161.63049733959846</v>
      </c>
      <c r="N122" s="317">
        <f>'[14]Data Input'!AJ196+'[16]PSP less Loss factor'!AA205</f>
        <v>3545</v>
      </c>
      <c r="O122" s="318">
        <f>'[19]02820122-eng'!E208</f>
        <v>180.7</v>
      </c>
      <c r="P122" s="318"/>
      <c r="Q122" s="316">
        <f t="shared" si="18"/>
        <v>31867619.425621167</v>
      </c>
      <c r="R122" s="50">
        <f t="shared" si="13"/>
        <v>1446361.4256211668</v>
      </c>
      <c r="S122" s="291">
        <f t="shared" si="14"/>
        <v>4.7544431779289562E-2</v>
      </c>
      <c r="T122" s="292">
        <f t="shared" si="15"/>
        <v>4.7544431779289562E-2</v>
      </c>
    </row>
    <row r="123" spans="1:35" s="33" customFormat="1">
      <c r="A123" s="321">
        <v>43101</v>
      </c>
      <c r="B123" s="314"/>
      <c r="C123" s="317">
        <f>'CDM Activity'!F166</f>
        <v>1142048.925594694</v>
      </c>
      <c r="D123" s="383">
        <f>'Rate Class Energy Model'!F20</f>
        <v>1.0725267186616549</v>
      </c>
      <c r="E123" s="314">
        <f t="shared" si="16"/>
        <v>1224877.9867191457</v>
      </c>
      <c r="F123" s="314"/>
      <c r="G123" s="315">
        <f t="shared" si="20"/>
        <v>784.93238095238098</v>
      </c>
      <c r="H123" s="315">
        <f t="shared" si="20"/>
        <v>0</v>
      </c>
      <c r="I123" s="317">
        <v>31</v>
      </c>
      <c r="J123" s="317">
        <v>0</v>
      </c>
      <c r="K123" s="317">
        <v>121</v>
      </c>
      <c r="L123" s="318"/>
      <c r="M123" s="319">
        <f>'[18]Annual conv to Monthly'!B351</f>
        <v>161.95025605012432</v>
      </c>
      <c r="N123" s="317"/>
      <c r="O123" s="318"/>
      <c r="P123" s="318"/>
      <c r="Q123" s="316">
        <f t="shared" si="18"/>
        <v>32902427.82751571</v>
      </c>
      <c r="R123" s="50"/>
      <c r="S123" s="382"/>
      <c r="T123" s="5">
        <f>AVERAGE(T3:T122)</f>
        <v>4.3885116519906606E-2</v>
      </c>
      <c r="U123" s="24"/>
      <c r="AB123"/>
      <c r="AC123"/>
      <c r="AD123"/>
      <c r="AE123"/>
      <c r="AF123"/>
      <c r="AG123"/>
      <c r="AH123"/>
      <c r="AI123"/>
    </row>
    <row r="124" spans="1:35" s="33" customFormat="1">
      <c r="A124" s="321">
        <v>43132</v>
      </c>
      <c r="B124" s="314"/>
      <c r="C124" s="317">
        <f>'CDM Activity'!F167</f>
        <v>1154013.5588847219</v>
      </c>
      <c r="D124" s="383">
        <f>D123</f>
        <v>1.0725267186616549</v>
      </c>
      <c r="E124" s="314">
        <f t="shared" si="16"/>
        <v>1237710.3756016893</v>
      </c>
      <c r="F124" s="314"/>
      <c r="G124" s="315">
        <f t="shared" si="20"/>
        <v>739.71857142857129</v>
      </c>
      <c r="H124" s="315">
        <f t="shared" si="20"/>
        <v>0</v>
      </c>
      <c r="I124" s="317">
        <v>28</v>
      </c>
      <c r="J124" s="317">
        <v>0</v>
      </c>
      <c r="K124" s="317">
        <v>122</v>
      </c>
      <c r="L124" s="318"/>
      <c r="M124" s="319">
        <f>'[18]Annual conv to Monthly'!B352</f>
        <v>162.27064734939202</v>
      </c>
      <c r="N124" s="317"/>
      <c r="O124" s="318"/>
      <c r="P124" s="318"/>
      <c r="Q124" s="316">
        <f t="shared" si="18"/>
        <v>30227122.273814753</v>
      </c>
      <c r="R124" s="10"/>
      <c r="S124" s="10"/>
      <c r="T124" s="36"/>
      <c r="U124" s="24"/>
      <c r="AB124"/>
      <c r="AC124"/>
      <c r="AD124"/>
      <c r="AE124"/>
      <c r="AF124"/>
      <c r="AG124"/>
      <c r="AH124"/>
      <c r="AI124"/>
    </row>
    <row r="125" spans="1:35" s="33" customFormat="1">
      <c r="A125" s="321">
        <v>43160</v>
      </c>
      <c r="B125" s="314"/>
      <c r="C125" s="317">
        <f>'CDM Activity'!F168</f>
        <v>1165978.1921747499</v>
      </c>
      <c r="D125" s="383">
        <f t="shared" ref="D125:D146" si="24">D124</f>
        <v>1.0725267186616549</v>
      </c>
      <c r="E125" s="314">
        <f t="shared" si="16"/>
        <v>1250542.764484233</v>
      </c>
      <c r="F125" s="314"/>
      <c r="G125" s="315">
        <f t="shared" si="20"/>
        <v>622.95999999999992</v>
      </c>
      <c r="H125" s="315">
        <f t="shared" si="20"/>
        <v>0</v>
      </c>
      <c r="I125" s="317">
        <v>31</v>
      </c>
      <c r="J125" s="317">
        <v>1</v>
      </c>
      <c r="K125" s="317">
        <v>123</v>
      </c>
      <c r="L125" s="318"/>
      <c r="M125" s="319">
        <f>'[18]Annual conv to Monthly'!B353</f>
        <v>162.59167248887184</v>
      </c>
      <c r="N125" s="317"/>
      <c r="O125" s="318"/>
      <c r="P125" s="318"/>
      <c r="Q125" s="316">
        <f t="shared" si="18"/>
        <v>29337670.273077961</v>
      </c>
      <c r="R125" s="10"/>
      <c r="S125" s="10"/>
      <c r="T125" s="36"/>
      <c r="U125" s="24"/>
      <c r="AB125"/>
      <c r="AC125"/>
      <c r="AD125"/>
      <c r="AE125"/>
      <c r="AF125"/>
      <c r="AG125"/>
      <c r="AH125"/>
      <c r="AI125"/>
    </row>
    <row r="126" spans="1:35" s="33" customFormat="1">
      <c r="A126" s="321">
        <v>43191</v>
      </c>
      <c r="B126" s="314"/>
      <c r="C126" s="317">
        <f>'CDM Activity'!F169</f>
        <v>1177942.8254647779</v>
      </c>
      <c r="D126" s="383">
        <f t="shared" si="24"/>
        <v>1.0725267186616549</v>
      </c>
      <c r="E126" s="314">
        <f t="shared" si="16"/>
        <v>1263375.1533667766</v>
      </c>
      <c r="F126" s="314"/>
      <c r="G126" s="315">
        <f t="shared" si="20"/>
        <v>379.45</v>
      </c>
      <c r="H126" s="315">
        <f t="shared" si="20"/>
        <v>0.01</v>
      </c>
      <c r="I126" s="317">
        <v>30</v>
      </c>
      <c r="J126" s="317">
        <v>1</v>
      </c>
      <c r="K126" s="317">
        <v>124</v>
      </c>
      <c r="L126" s="318"/>
      <c r="M126" s="319">
        <f>'[18]Annual conv to Monthly'!B354</f>
        <v>162.91333272250986</v>
      </c>
      <c r="N126" s="317"/>
      <c r="O126" s="318"/>
      <c r="P126" s="318"/>
      <c r="Q126" s="316">
        <f t="shared" si="18"/>
        <v>25274433.902305242</v>
      </c>
      <c r="R126" s="10"/>
      <c r="S126" s="10"/>
      <c r="T126" s="36"/>
      <c r="U126" s="24"/>
      <c r="AB126"/>
      <c r="AC126"/>
      <c r="AD126"/>
      <c r="AE126"/>
      <c r="AF126"/>
      <c r="AG126"/>
      <c r="AH126"/>
      <c r="AI126"/>
    </row>
    <row r="127" spans="1:35" s="33" customFormat="1">
      <c r="A127" s="321">
        <v>43221</v>
      </c>
      <c r="B127" s="314"/>
      <c r="C127" s="317">
        <f>'CDM Activity'!F170</f>
        <v>1189907.4587548058</v>
      </c>
      <c r="D127" s="383">
        <f t="shared" si="24"/>
        <v>1.0725267186616549</v>
      </c>
      <c r="E127" s="314">
        <f t="shared" si="16"/>
        <v>1276207.5422493205</v>
      </c>
      <c r="F127" s="314"/>
      <c r="G127" s="315">
        <f t="shared" si="20"/>
        <v>190.97476190476192</v>
      </c>
      <c r="H127" s="315">
        <f t="shared" si="20"/>
        <v>8.77</v>
      </c>
      <c r="I127" s="317">
        <v>31</v>
      </c>
      <c r="J127" s="317">
        <v>1</v>
      </c>
      <c r="K127" s="317">
        <v>125</v>
      </c>
      <c r="L127" s="318"/>
      <c r="M127" s="319">
        <f>'[18]Annual conv to Monthly'!B355</f>
        <v>163.23562930673287</v>
      </c>
      <c r="N127" s="317"/>
      <c r="O127" s="318"/>
      <c r="P127" s="318"/>
      <c r="Q127" s="316">
        <f t="shared" si="18"/>
        <v>23726640.695626006</v>
      </c>
      <c r="R127" s="10"/>
      <c r="S127" s="10"/>
      <c r="T127" s="36"/>
      <c r="U127" s="24"/>
      <c r="AB127"/>
      <c r="AC127"/>
      <c r="AD127"/>
      <c r="AE127"/>
      <c r="AF127"/>
      <c r="AG127"/>
      <c r="AH127"/>
      <c r="AI127"/>
    </row>
    <row r="128" spans="1:35" s="33" customFormat="1">
      <c r="A128" s="321">
        <v>43252</v>
      </c>
      <c r="B128" s="314"/>
      <c r="C128" s="317">
        <f>'CDM Activity'!F171</f>
        <v>1201872.0920448338</v>
      </c>
      <c r="D128" s="383">
        <f t="shared" si="24"/>
        <v>1.0725267186616549</v>
      </c>
      <c r="E128" s="314">
        <f t="shared" si="16"/>
        <v>1289039.9311318642</v>
      </c>
      <c r="F128" s="314"/>
      <c r="G128" s="315">
        <f t="shared" si="20"/>
        <v>69.127619047619049</v>
      </c>
      <c r="H128" s="315">
        <f t="shared" si="20"/>
        <v>22.15</v>
      </c>
      <c r="I128" s="317">
        <v>30</v>
      </c>
      <c r="J128" s="317">
        <v>0</v>
      </c>
      <c r="K128" s="317">
        <v>126</v>
      </c>
      <c r="L128" s="318"/>
      <c r="M128" s="319">
        <f>'[18]Annual conv to Monthly'!B356</f>
        <v>163.55856350045332</v>
      </c>
      <c r="N128" s="317"/>
      <c r="O128" s="318"/>
      <c r="P128" s="318"/>
      <c r="Q128" s="316">
        <f t="shared" si="18"/>
        <v>23258683.474074669</v>
      </c>
      <c r="R128" s="10"/>
      <c r="S128" s="10"/>
      <c r="T128" s="36"/>
      <c r="U128" s="24"/>
      <c r="AB128"/>
      <c r="AC128"/>
      <c r="AD128"/>
      <c r="AE128"/>
      <c r="AF128"/>
      <c r="AG128"/>
      <c r="AH128"/>
      <c r="AI128"/>
    </row>
    <row r="129" spans="1:35" s="33" customFormat="1">
      <c r="A129" s="321">
        <v>43282</v>
      </c>
      <c r="B129" s="314"/>
      <c r="C129" s="317">
        <f>'CDM Activity'!F172</f>
        <v>1213836.7253348618</v>
      </c>
      <c r="D129" s="383">
        <f t="shared" si="24"/>
        <v>1.0725267186616549</v>
      </c>
      <c r="E129" s="314">
        <f t="shared" si="16"/>
        <v>1301872.3200144079</v>
      </c>
      <c r="F129" s="314"/>
      <c r="G129" s="315">
        <f t="shared" si="20"/>
        <v>22.305238095238096</v>
      </c>
      <c r="H129" s="315">
        <f t="shared" si="20"/>
        <v>53.85</v>
      </c>
      <c r="I129" s="317">
        <v>31</v>
      </c>
      <c r="J129" s="317">
        <v>0</v>
      </c>
      <c r="K129" s="317">
        <v>127</v>
      </c>
      <c r="L129" s="318"/>
      <c r="M129" s="319">
        <f>'[18]Annual conv to Monthly'!B357</f>
        <v>163.88213656507418</v>
      </c>
      <c r="N129" s="317"/>
      <c r="O129" s="318"/>
      <c r="P129" s="318"/>
      <c r="Q129" s="316">
        <f t="shared" si="18"/>
        <v>24690462.304445781</v>
      </c>
      <c r="R129" s="10"/>
      <c r="S129" s="10"/>
      <c r="T129" s="36"/>
      <c r="U129" s="24"/>
      <c r="AB129"/>
      <c r="AC129"/>
      <c r="AD129"/>
      <c r="AE129"/>
      <c r="AF129"/>
      <c r="AG129"/>
      <c r="AH129"/>
      <c r="AI129"/>
    </row>
    <row r="130" spans="1:35" s="33" customFormat="1">
      <c r="A130" s="321">
        <v>43313</v>
      </c>
      <c r="B130" s="314"/>
      <c r="C130" s="317">
        <f>'CDM Activity'!F173</f>
        <v>1225801.3586248897</v>
      </c>
      <c r="D130" s="383">
        <f t="shared" si="24"/>
        <v>1.0725267186616549</v>
      </c>
      <c r="E130" s="314">
        <f t="shared" si="16"/>
        <v>1314704.7088969515</v>
      </c>
      <c r="F130" s="314"/>
      <c r="G130" s="315">
        <f t="shared" si="20"/>
        <v>35.084761904761905</v>
      </c>
      <c r="H130" s="315">
        <f t="shared" si="20"/>
        <v>38.71</v>
      </c>
      <c r="I130" s="317">
        <v>31</v>
      </c>
      <c r="J130" s="317">
        <v>0</v>
      </c>
      <c r="K130" s="317">
        <v>128</v>
      </c>
      <c r="L130" s="318"/>
      <c r="M130" s="319">
        <f>'[18]Annual conv to Monthly'!B358</f>
        <v>164.20634976449389</v>
      </c>
      <c r="N130" s="317"/>
      <c r="O130" s="318"/>
      <c r="P130" s="318"/>
      <c r="Q130" s="316">
        <f t="shared" si="18"/>
        <v>24199544.518213246</v>
      </c>
      <c r="R130" s="10"/>
      <c r="S130" s="10"/>
      <c r="T130" s="36"/>
      <c r="U130" s="24"/>
      <c r="AB130"/>
      <c r="AC130"/>
      <c r="AD130"/>
      <c r="AE130"/>
      <c r="AF130"/>
      <c r="AG130"/>
      <c r="AH130"/>
      <c r="AI130"/>
    </row>
    <row r="131" spans="1:35" s="33" customFormat="1">
      <c r="A131" s="321">
        <v>43344</v>
      </c>
      <c r="B131" s="314"/>
      <c r="C131" s="317">
        <f>'CDM Activity'!F174</f>
        <v>1237765.9919149177</v>
      </c>
      <c r="D131" s="383">
        <f t="shared" si="24"/>
        <v>1.0725267186616549</v>
      </c>
      <c r="E131" s="314">
        <f t="shared" si="16"/>
        <v>1327537.0977794952</v>
      </c>
      <c r="F131" s="314"/>
      <c r="G131" s="315">
        <f t="shared" si="20"/>
        <v>119.32619047619046</v>
      </c>
      <c r="H131" s="315">
        <f t="shared" si="20"/>
        <v>14.820000000000002</v>
      </c>
      <c r="I131" s="317">
        <v>30</v>
      </c>
      <c r="J131" s="317">
        <v>1</v>
      </c>
      <c r="K131" s="317">
        <v>129</v>
      </c>
      <c r="L131" s="318"/>
      <c r="M131" s="319">
        <f>'[18]Annual conv to Monthly'!B359</f>
        <v>164.53120436511134</v>
      </c>
      <c r="N131" s="317"/>
      <c r="O131" s="318"/>
      <c r="P131" s="318"/>
      <c r="Q131" s="316">
        <f t="shared" si="18"/>
        <v>22316367.6041453</v>
      </c>
      <c r="R131" s="10"/>
      <c r="S131" s="10"/>
      <c r="T131" s="36"/>
      <c r="U131" s="24"/>
      <c r="AB131"/>
      <c r="AC131"/>
      <c r="AD131"/>
      <c r="AE131"/>
      <c r="AF131"/>
      <c r="AG131"/>
      <c r="AH131"/>
      <c r="AI131"/>
    </row>
    <row r="132" spans="1:35" s="33" customFormat="1">
      <c r="A132" s="321">
        <v>43374</v>
      </c>
      <c r="B132" s="314"/>
      <c r="C132" s="317">
        <f>'CDM Activity'!F175</f>
        <v>1249730.6252049457</v>
      </c>
      <c r="D132" s="383">
        <f t="shared" si="24"/>
        <v>1.0725267186616549</v>
      </c>
      <c r="E132" s="314">
        <f t="shared" ref="E132:E146" si="25">C132*D132</f>
        <v>1340369.4866620388</v>
      </c>
      <c r="F132" s="314"/>
      <c r="G132" s="315">
        <f t="shared" si="20"/>
        <v>307.71047619047624</v>
      </c>
      <c r="H132" s="315">
        <f t="shared" si="20"/>
        <v>0.03</v>
      </c>
      <c r="I132" s="317">
        <v>31</v>
      </c>
      <c r="J132" s="317">
        <v>1</v>
      </c>
      <c r="K132" s="317">
        <v>130</v>
      </c>
      <c r="L132" s="318"/>
      <c r="M132" s="319">
        <f>'[18]Annual conv to Monthly'!B360</f>
        <v>164.85670163583072</v>
      </c>
      <c r="N132" s="323"/>
      <c r="O132" s="319"/>
      <c r="P132" s="319"/>
      <c r="Q132" s="316">
        <f t="shared" ref="Q132:Q146" si="26">$V$18+G132*$V$19+H132*$V$20+I132*$V$21+J132*$V$22</f>
        <v>24961703.195393182</v>
      </c>
      <c r="R132" s="10"/>
      <c r="S132" s="10"/>
      <c r="T132" s="36"/>
      <c r="U132" s="24"/>
      <c r="AB132"/>
      <c r="AC132"/>
      <c r="AD132"/>
      <c r="AE132"/>
      <c r="AF132"/>
      <c r="AG132"/>
      <c r="AH132"/>
      <c r="AI132"/>
    </row>
    <row r="133" spans="1:35" s="33" customFormat="1">
      <c r="A133" s="321">
        <v>43405</v>
      </c>
      <c r="B133" s="314"/>
      <c r="C133" s="317">
        <f>'CDM Activity'!F176</f>
        <v>1261695.2584949736</v>
      </c>
      <c r="D133" s="383">
        <f t="shared" si="24"/>
        <v>1.0725267186616549</v>
      </c>
      <c r="E133" s="314">
        <f t="shared" si="25"/>
        <v>1353201.8755445827</v>
      </c>
      <c r="F133" s="314"/>
      <c r="G133" s="315">
        <f t="shared" si="20"/>
        <v>465.15761904761905</v>
      </c>
      <c r="H133" s="315">
        <f t="shared" si="20"/>
        <v>0</v>
      </c>
      <c r="I133" s="317">
        <v>30</v>
      </c>
      <c r="J133" s="317">
        <v>1</v>
      </c>
      <c r="K133" s="317">
        <v>131</v>
      </c>
      <c r="L133" s="318"/>
      <c r="M133" s="319">
        <f>'[18]Annual conv to Monthly'!B361</f>
        <v>165.18284284806657</v>
      </c>
      <c r="N133" s="323"/>
      <c r="O133" s="319"/>
      <c r="P133" s="319"/>
      <c r="Q133" s="316">
        <f t="shared" si="26"/>
        <v>26464056.821929529</v>
      </c>
      <c r="R133" s="10"/>
      <c r="S133" s="10"/>
      <c r="T133" s="36"/>
      <c r="U133" s="24"/>
      <c r="AB133"/>
      <c r="AC133"/>
      <c r="AD133"/>
      <c r="AE133"/>
      <c r="AF133"/>
      <c r="AG133"/>
      <c r="AH133"/>
      <c r="AI133"/>
    </row>
    <row r="134" spans="1:35" s="33" customFormat="1">
      <c r="A134" s="321">
        <v>43435</v>
      </c>
      <c r="B134" s="314"/>
      <c r="C134" s="317">
        <f>'CDM Activity'!F177</f>
        <v>1273659.8917850016</v>
      </c>
      <c r="D134" s="383">
        <f t="shared" si="24"/>
        <v>1.0725267186616549</v>
      </c>
      <c r="E134" s="314">
        <f t="shared" si="25"/>
        <v>1366034.2644271264</v>
      </c>
      <c r="F134" s="314"/>
      <c r="G134" s="315">
        <f t="shared" si="20"/>
        <v>710.40619047619066</v>
      </c>
      <c r="H134" s="315">
        <f t="shared" si="20"/>
        <v>0</v>
      </c>
      <c r="I134" s="317">
        <v>31</v>
      </c>
      <c r="J134" s="317">
        <v>0</v>
      </c>
      <c r="K134" s="317">
        <v>132</v>
      </c>
      <c r="L134" s="318"/>
      <c r="M134" s="319">
        <f>'[18]Annual conv to Monthly'!B362</f>
        <v>165.18636828106963</v>
      </c>
      <c r="N134" s="323"/>
      <c r="O134" s="319"/>
      <c r="P134" s="319"/>
      <c r="Q134" s="316">
        <f t="shared" si="26"/>
        <v>31867619.425621167</v>
      </c>
      <c r="R134" s="10"/>
      <c r="S134" s="10"/>
      <c r="T134" s="36"/>
      <c r="U134" s="24"/>
      <c r="AB134"/>
      <c r="AC134"/>
      <c r="AD134"/>
      <c r="AE134"/>
      <c r="AF134"/>
      <c r="AG134"/>
      <c r="AH134"/>
      <c r="AI134"/>
    </row>
    <row r="135" spans="1:35" s="33" customFormat="1">
      <c r="A135" s="321">
        <v>43466</v>
      </c>
      <c r="B135" s="314"/>
      <c r="C135" s="317">
        <f>'CDM Activity'!F178</f>
        <v>1262660.9258392768</v>
      </c>
      <c r="D135" s="383">
        <f t="shared" si="24"/>
        <v>1.0725267186616549</v>
      </c>
      <c r="E135" s="314">
        <f t="shared" si="25"/>
        <v>1354237.5795726867</v>
      </c>
      <c r="F135" s="314"/>
      <c r="G135" s="315">
        <f t="shared" si="20"/>
        <v>784.93238095238098</v>
      </c>
      <c r="H135" s="315">
        <f t="shared" si="20"/>
        <v>0</v>
      </c>
      <c r="I135" s="317">
        <v>31</v>
      </c>
      <c r="J135" s="317">
        <v>0</v>
      </c>
      <c r="K135" s="317">
        <v>133</v>
      </c>
      <c r="L135" s="318"/>
      <c r="M135" s="319"/>
      <c r="N135" s="323"/>
      <c r="O135" s="319"/>
      <c r="P135" s="319"/>
      <c r="Q135" s="316">
        <f t="shared" si="26"/>
        <v>32902427.82751571</v>
      </c>
      <c r="R135" s="10"/>
      <c r="S135" s="10"/>
      <c r="T135" s="36"/>
      <c r="U135" s="24"/>
      <c r="AB135"/>
      <c r="AC135"/>
      <c r="AD135"/>
      <c r="AE135"/>
      <c r="AF135"/>
      <c r="AG135"/>
      <c r="AH135"/>
      <c r="AI135"/>
    </row>
    <row r="136" spans="1:35" s="33" customFormat="1">
      <c r="A136" s="321">
        <v>43497</v>
      </c>
      <c r="B136" s="314"/>
      <c r="C136" s="317">
        <f>'CDM Activity'!F179</f>
        <v>1251661.9598935519</v>
      </c>
      <c r="D136" s="383">
        <f t="shared" si="24"/>
        <v>1.0725267186616549</v>
      </c>
      <c r="E136" s="314">
        <f t="shared" si="25"/>
        <v>1342440.8947182472</v>
      </c>
      <c r="F136" s="314"/>
      <c r="G136" s="315">
        <f t="shared" si="20"/>
        <v>739.71857142857129</v>
      </c>
      <c r="H136" s="315">
        <f t="shared" si="20"/>
        <v>0</v>
      </c>
      <c r="I136" s="317">
        <v>28</v>
      </c>
      <c r="J136" s="317">
        <v>0</v>
      </c>
      <c r="K136" s="317">
        <v>134</v>
      </c>
      <c r="L136" s="318"/>
      <c r="M136" s="319"/>
      <c r="N136" s="323"/>
      <c r="O136" s="319"/>
      <c r="P136" s="319"/>
      <c r="Q136" s="316">
        <f t="shared" si="26"/>
        <v>30227122.273814753</v>
      </c>
      <c r="R136" s="10"/>
      <c r="S136" s="10"/>
      <c r="T136" s="36"/>
      <c r="U136" s="24"/>
      <c r="AB136"/>
      <c r="AC136"/>
      <c r="AD136"/>
      <c r="AE136"/>
      <c r="AF136"/>
      <c r="AG136"/>
      <c r="AH136"/>
      <c r="AI136"/>
    </row>
    <row r="137" spans="1:35" s="33" customFormat="1">
      <c r="A137" s="321">
        <v>43525</v>
      </c>
      <c r="B137" s="314"/>
      <c r="C137" s="317">
        <f>'CDM Activity'!F180</f>
        <v>1240662.993947827</v>
      </c>
      <c r="D137" s="383">
        <f t="shared" si="24"/>
        <v>1.0725267186616549</v>
      </c>
      <c r="E137" s="314">
        <f t="shared" si="25"/>
        <v>1330644.2098638075</v>
      </c>
      <c r="F137" s="314"/>
      <c r="G137" s="315">
        <f t="shared" si="20"/>
        <v>622.95999999999992</v>
      </c>
      <c r="H137" s="315">
        <f t="shared" si="20"/>
        <v>0</v>
      </c>
      <c r="I137" s="317">
        <v>31</v>
      </c>
      <c r="J137" s="317">
        <v>1</v>
      </c>
      <c r="K137" s="317">
        <v>135</v>
      </c>
      <c r="L137" s="318"/>
      <c r="M137" s="319"/>
      <c r="N137" s="323"/>
      <c r="O137" s="319"/>
      <c r="P137" s="319"/>
      <c r="Q137" s="316">
        <f t="shared" si="26"/>
        <v>29337670.273077961</v>
      </c>
      <c r="R137" s="10"/>
      <c r="S137" s="10"/>
      <c r="T137" s="36"/>
      <c r="U137" s="24"/>
      <c r="AB137"/>
      <c r="AC137"/>
      <c r="AD137"/>
      <c r="AE137"/>
      <c r="AF137"/>
      <c r="AG137"/>
      <c r="AH137"/>
      <c r="AI137"/>
    </row>
    <row r="138" spans="1:35" s="33" customFormat="1">
      <c r="A138" s="321">
        <v>43556</v>
      </c>
      <c r="B138" s="314"/>
      <c r="C138" s="317">
        <f>'CDM Activity'!F181</f>
        <v>1229664.0280021022</v>
      </c>
      <c r="D138" s="383">
        <f t="shared" si="24"/>
        <v>1.0725267186616549</v>
      </c>
      <c r="E138" s="314">
        <f t="shared" si="25"/>
        <v>1318847.5250093681</v>
      </c>
      <c r="F138" s="314"/>
      <c r="G138" s="315">
        <f t="shared" si="20"/>
        <v>379.45</v>
      </c>
      <c r="H138" s="315">
        <f t="shared" si="20"/>
        <v>0.01</v>
      </c>
      <c r="I138" s="317">
        <v>30</v>
      </c>
      <c r="J138" s="317">
        <v>1</v>
      </c>
      <c r="K138" s="317">
        <v>136</v>
      </c>
      <c r="L138" s="318"/>
      <c r="M138" s="319"/>
      <c r="N138" s="323"/>
      <c r="O138" s="319"/>
      <c r="P138" s="319"/>
      <c r="Q138" s="316">
        <f t="shared" si="26"/>
        <v>25274433.902305242</v>
      </c>
      <c r="R138" s="10"/>
      <c r="S138" s="10"/>
      <c r="T138" s="36"/>
      <c r="U138" s="24"/>
      <c r="AB138"/>
      <c r="AC138"/>
      <c r="AD138"/>
      <c r="AE138"/>
      <c r="AF138"/>
      <c r="AG138"/>
      <c r="AH138"/>
      <c r="AI138"/>
    </row>
    <row r="139" spans="1:35" s="33" customFormat="1">
      <c r="A139" s="321">
        <v>43586</v>
      </c>
      <c r="B139" s="314"/>
      <c r="C139" s="317">
        <f>'CDM Activity'!F182</f>
        <v>1218665.0620563773</v>
      </c>
      <c r="D139" s="383">
        <f t="shared" si="24"/>
        <v>1.0725267186616549</v>
      </c>
      <c r="E139" s="314">
        <f t="shared" si="25"/>
        <v>1307050.8401549284</v>
      </c>
      <c r="F139" s="314"/>
      <c r="G139" s="315">
        <f t="shared" si="20"/>
        <v>190.97476190476192</v>
      </c>
      <c r="H139" s="315">
        <f t="shared" si="20"/>
        <v>8.77</v>
      </c>
      <c r="I139" s="317">
        <v>31</v>
      </c>
      <c r="J139" s="317">
        <v>1</v>
      </c>
      <c r="K139" s="317">
        <v>137</v>
      </c>
      <c r="L139" s="318"/>
      <c r="M139" s="319"/>
      <c r="N139" s="323"/>
      <c r="O139" s="319"/>
      <c r="P139" s="319"/>
      <c r="Q139" s="316">
        <f t="shared" si="26"/>
        <v>23726640.695626006</v>
      </c>
      <c r="R139" s="10"/>
      <c r="S139" s="10"/>
      <c r="T139" s="36"/>
      <c r="U139" s="24"/>
      <c r="AB139"/>
      <c r="AC139"/>
      <c r="AD139"/>
      <c r="AE139"/>
      <c r="AF139"/>
      <c r="AG139"/>
      <c r="AH139"/>
      <c r="AI139"/>
    </row>
    <row r="140" spans="1:35" s="33" customFormat="1">
      <c r="A140" s="321">
        <v>43617</v>
      </c>
      <c r="B140" s="314"/>
      <c r="C140" s="317">
        <f>'CDM Activity'!F183</f>
        <v>1207666.0961106524</v>
      </c>
      <c r="D140" s="383">
        <f t="shared" si="24"/>
        <v>1.0725267186616549</v>
      </c>
      <c r="E140" s="314">
        <f t="shared" si="25"/>
        <v>1295254.1553004889</v>
      </c>
      <c r="F140" s="314"/>
      <c r="G140" s="315">
        <f t="shared" si="20"/>
        <v>69.127619047619049</v>
      </c>
      <c r="H140" s="315">
        <f t="shared" si="20"/>
        <v>22.15</v>
      </c>
      <c r="I140" s="317">
        <v>30</v>
      </c>
      <c r="J140" s="317">
        <v>0</v>
      </c>
      <c r="K140" s="317">
        <v>138</v>
      </c>
      <c r="L140" s="318"/>
      <c r="M140" s="319"/>
      <c r="N140" s="323"/>
      <c r="O140" s="319"/>
      <c r="P140" s="319"/>
      <c r="Q140" s="316">
        <f t="shared" si="26"/>
        <v>23258683.474074669</v>
      </c>
      <c r="R140" s="10"/>
      <c r="S140" s="10"/>
      <c r="T140" s="36"/>
      <c r="U140" s="24"/>
      <c r="AB140"/>
      <c r="AC140"/>
      <c r="AD140"/>
      <c r="AE140"/>
      <c r="AF140"/>
      <c r="AG140"/>
      <c r="AH140"/>
      <c r="AI140"/>
    </row>
    <row r="141" spans="1:35" s="33" customFormat="1">
      <c r="A141" s="321">
        <v>43647</v>
      </c>
      <c r="B141" s="314"/>
      <c r="C141" s="317">
        <f>'CDM Activity'!F184</f>
        <v>1196667.1301649276</v>
      </c>
      <c r="D141" s="383">
        <f t="shared" si="24"/>
        <v>1.0725267186616549</v>
      </c>
      <c r="E141" s="314">
        <f t="shared" si="25"/>
        <v>1283457.4704460492</v>
      </c>
      <c r="F141" s="314"/>
      <c r="G141" s="315">
        <f t="shared" si="20"/>
        <v>22.305238095238096</v>
      </c>
      <c r="H141" s="315">
        <f t="shared" si="20"/>
        <v>53.85</v>
      </c>
      <c r="I141" s="317">
        <v>31</v>
      </c>
      <c r="J141" s="317">
        <v>0</v>
      </c>
      <c r="K141" s="317">
        <v>139</v>
      </c>
      <c r="L141" s="318"/>
      <c r="M141" s="319"/>
      <c r="N141" s="323"/>
      <c r="O141" s="319"/>
      <c r="P141" s="319"/>
      <c r="Q141" s="316">
        <f t="shared" si="26"/>
        <v>24690462.304445781</v>
      </c>
      <c r="R141" s="10"/>
      <c r="S141" s="10"/>
      <c r="T141" s="36"/>
      <c r="U141" s="24"/>
      <c r="AB141"/>
      <c r="AC141"/>
      <c r="AD141"/>
      <c r="AE141"/>
      <c r="AF141"/>
      <c r="AG141"/>
      <c r="AH141"/>
      <c r="AI141"/>
    </row>
    <row r="142" spans="1:35" s="33" customFormat="1">
      <c r="A142" s="321">
        <v>43678</v>
      </c>
      <c r="B142" s="314"/>
      <c r="C142" s="317">
        <f>'CDM Activity'!F185</f>
        <v>1185668.1642192027</v>
      </c>
      <c r="D142" s="383">
        <f t="shared" si="24"/>
        <v>1.0725267186616549</v>
      </c>
      <c r="E142" s="314">
        <f t="shared" si="25"/>
        <v>1271660.7855916098</v>
      </c>
      <c r="F142" s="314"/>
      <c r="G142" s="315">
        <f t="shared" si="20"/>
        <v>35.084761904761905</v>
      </c>
      <c r="H142" s="315">
        <f t="shared" si="20"/>
        <v>38.71</v>
      </c>
      <c r="I142" s="317">
        <v>31</v>
      </c>
      <c r="J142" s="317">
        <v>0</v>
      </c>
      <c r="K142" s="317">
        <v>140</v>
      </c>
      <c r="L142" s="318"/>
      <c r="M142" s="319"/>
      <c r="N142" s="323"/>
      <c r="O142" s="319"/>
      <c r="P142" s="319"/>
      <c r="Q142" s="316">
        <f t="shared" si="26"/>
        <v>24199544.518213246</v>
      </c>
      <c r="R142" s="10"/>
      <c r="S142" s="10"/>
      <c r="T142" s="36"/>
      <c r="U142" s="24"/>
      <c r="AB142"/>
      <c r="AC142"/>
      <c r="AD142"/>
      <c r="AE142"/>
      <c r="AF142"/>
      <c r="AG142"/>
      <c r="AH142"/>
      <c r="AI142"/>
    </row>
    <row r="143" spans="1:35" s="33" customFormat="1">
      <c r="A143" s="321">
        <v>43709</v>
      </c>
      <c r="B143" s="314"/>
      <c r="C143" s="317">
        <f>'CDM Activity'!F186</f>
        <v>1174669.1982734778</v>
      </c>
      <c r="D143" s="383">
        <f t="shared" si="24"/>
        <v>1.0725267186616549</v>
      </c>
      <c r="E143" s="314">
        <f t="shared" si="25"/>
        <v>1259864.1007371701</v>
      </c>
      <c r="F143" s="314"/>
      <c r="G143" s="315">
        <f t="shared" si="20"/>
        <v>119.32619047619046</v>
      </c>
      <c r="H143" s="315">
        <f t="shared" si="20"/>
        <v>14.820000000000002</v>
      </c>
      <c r="I143" s="317">
        <v>30</v>
      </c>
      <c r="J143" s="317">
        <v>1</v>
      </c>
      <c r="K143" s="317">
        <v>141</v>
      </c>
      <c r="L143" s="318"/>
      <c r="M143" s="319"/>
      <c r="N143" s="323"/>
      <c r="O143" s="319"/>
      <c r="P143" s="319"/>
      <c r="Q143" s="316">
        <f t="shared" si="26"/>
        <v>22316367.6041453</v>
      </c>
      <c r="R143" s="10"/>
      <c r="S143" s="10"/>
      <c r="T143" s="36"/>
      <c r="U143" s="24"/>
      <c r="AB143"/>
      <c r="AC143"/>
      <c r="AD143"/>
      <c r="AE143"/>
      <c r="AF143"/>
      <c r="AG143"/>
      <c r="AH143"/>
      <c r="AI143"/>
    </row>
    <row r="144" spans="1:35" s="33" customFormat="1">
      <c r="A144" s="321">
        <v>43739</v>
      </c>
      <c r="B144" s="314"/>
      <c r="C144" s="317">
        <f>'CDM Activity'!F187</f>
        <v>1163670.232327753</v>
      </c>
      <c r="D144" s="383">
        <f t="shared" si="24"/>
        <v>1.0725267186616549</v>
      </c>
      <c r="E144" s="314">
        <f t="shared" si="25"/>
        <v>1248067.4158827306</v>
      </c>
      <c r="F144" s="314"/>
      <c r="G144" s="315">
        <f t="shared" ref="G144:H146" si="27">G132</f>
        <v>307.71047619047624</v>
      </c>
      <c r="H144" s="315">
        <f t="shared" si="27"/>
        <v>0.03</v>
      </c>
      <c r="I144" s="317">
        <v>31</v>
      </c>
      <c r="J144" s="317">
        <v>1</v>
      </c>
      <c r="K144" s="317">
        <v>142</v>
      </c>
      <c r="L144" s="318"/>
      <c r="M144" s="319"/>
      <c r="N144" s="323"/>
      <c r="O144" s="319"/>
      <c r="P144" s="319"/>
      <c r="Q144" s="316">
        <f t="shared" si="26"/>
        <v>24961703.195393182</v>
      </c>
      <c r="R144" s="10"/>
      <c r="S144" s="10"/>
      <c r="T144" s="36"/>
      <c r="U144" s="24"/>
      <c r="AB144"/>
      <c r="AC144"/>
      <c r="AD144"/>
      <c r="AE144"/>
      <c r="AF144"/>
      <c r="AG144"/>
      <c r="AH144"/>
      <c r="AI144"/>
    </row>
    <row r="145" spans="1:35" s="33" customFormat="1">
      <c r="A145" s="321">
        <v>43770</v>
      </c>
      <c r="B145" s="314"/>
      <c r="C145" s="317">
        <f>'CDM Activity'!F188</f>
        <v>1152671.2663820281</v>
      </c>
      <c r="D145" s="383">
        <f t="shared" si="24"/>
        <v>1.0725267186616549</v>
      </c>
      <c r="E145" s="314">
        <f t="shared" si="25"/>
        <v>1236270.7310282909</v>
      </c>
      <c r="F145" s="314"/>
      <c r="G145" s="315">
        <f t="shared" si="27"/>
        <v>465.15761904761905</v>
      </c>
      <c r="H145" s="315">
        <f t="shared" si="27"/>
        <v>0</v>
      </c>
      <c r="I145" s="317">
        <v>30</v>
      </c>
      <c r="J145" s="317">
        <v>1</v>
      </c>
      <c r="K145" s="317">
        <v>143</v>
      </c>
      <c r="L145" s="318"/>
      <c r="M145" s="319"/>
      <c r="N145" s="323"/>
      <c r="O145" s="319"/>
      <c r="P145" s="319"/>
      <c r="Q145" s="316">
        <f t="shared" si="26"/>
        <v>26464056.821929529</v>
      </c>
      <c r="R145" s="10"/>
      <c r="S145" s="10"/>
      <c r="T145" s="36"/>
      <c r="U145" s="24"/>
      <c r="AB145"/>
      <c r="AC145"/>
      <c r="AD145"/>
      <c r="AE145"/>
      <c r="AF145"/>
      <c r="AG145"/>
      <c r="AH145"/>
      <c r="AI145"/>
    </row>
    <row r="146" spans="1:35" s="33" customFormat="1">
      <c r="A146" s="321">
        <v>43800</v>
      </c>
      <c r="B146" s="314"/>
      <c r="C146" s="317">
        <f>'CDM Activity'!F189</f>
        <v>1141672.3004363033</v>
      </c>
      <c r="D146" s="383">
        <f t="shared" si="24"/>
        <v>1.0725267186616549</v>
      </c>
      <c r="E146" s="314">
        <f t="shared" si="25"/>
        <v>1224474.0461738515</v>
      </c>
      <c r="F146" s="314"/>
      <c r="G146" s="315">
        <f t="shared" si="27"/>
        <v>710.40619047619066</v>
      </c>
      <c r="H146" s="315">
        <f t="shared" si="27"/>
        <v>0</v>
      </c>
      <c r="I146" s="317">
        <v>31</v>
      </c>
      <c r="J146" s="317">
        <v>0</v>
      </c>
      <c r="K146" s="317">
        <v>144</v>
      </c>
      <c r="L146" s="318"/>
      <c r="M146" s="319"/>
      <c r="N146" s="323"/>
      <c r="O146" s="319"/>
      <c r="P146" s="319"/>
      <c r="Q146" s="316">
        <f t="shared" si="26"/>
        <v>31867619.425621167</v>
      </c>
      <c r="R146" s="10"/>
      <c r="S146" s="10"/>
      <c r="T146" s="36"/>
      <c r="U146" s="24"/>
      <c r="AB146"/>
      <c r="AC146"/>
      <c r="AD146"/>
      <c r="AE146"/>
      <c r="AF146"/>
      <c r="AG146"/>
      <c r="AH146"/>
      <c r="AI146"/>
    </row>
    <row r="147" spans="1:35" s="33" customFormat="1">
      <c r="A147" s="32"/>
      <c r="B147" s="28"/>
      <c r="C147" s="18"/>
      <c r="D147" s="18"/>
      <c r="E147" s="28"/>
      <c r="F147" s="28"/>
      <c r="G147" s="99"/>
      <c r="H147" s="99"/>
      <c r="I147" s="18"/>
      <c r="J147" s="18"/>
      <c r="K147" s="18"/>
      <c r="L147" s="34"/>
      <c r="M147" s="36"/>
      <c r="N147" s="24"/>
      <c r="O147" s="36"/>
      <c r="P147" s="36"/>
      <c r="Q147" s="10"/>
      <c r="R147" s="10"/>
      <c r="S147" s="10"/>
      <c r="T147" s="36"/>
      <c r="U147" s="24"/>
      <c r="AB147"/>
      <c r="AC147"/>
      <c r="AD147"/>
      <c r="AE147"/>
      <c r="AF147"/>
      <c r="AG147"/>
      <c r="AH147"/>
      <c r="AI147"/>
    </row>
    <row r="148" spans="1:35" s="33" customFormat="1">
      <c r="A148" s="3"/>
      <c r="B148" s="28"/>
      <c r="C148" s="24"/>
      <c r="D148" s="24"/>
      <c r="E148" s="28"/>
      <c r="F148" s="28"/>
      <c r="G148" s="100"/>
      <c r="H148"/>
      <c r="I148"/>
      <c r="J148" s="382"/>
      <c r="K148" s="24"/>
      <c r="L148" s="36"/>
      <c r="M148" s="36"/>
      <c r="N148" s="24"/>
      <c r="O148" s="36"/>
      <c r="P148" s="36"/>
      <c r="Q148" s="50">
        <f>SUM(Q3:Q146)</f>
        <v>3832768292.1722765</v>
      </c>
      <c r="R148" s="36"/>
      <c r="S148" s="24"/>
      <c r="Z148"/>
      <c r="AA148"/>
      <c r="AB148"/>
      <c r="AC148"/>
      <c r="AD148"/>
      <c r="AE148"/>
      <c r="AF148"/>
      <c r="AG148"/>
    </row>
    <row r="149" spans="1:35" s="33" customFormat="1">
      <c r="A149" s="3"/>
      <c r="B149" s="28"/>
      <c r="C149" s="24"/>
      <c r="D149" s="24"/>
      <c r="E149" s="28"/>
      <c r="F149" s="28"/>
      <c r="G149" s="100"/>
      <c r="H149"/>
      <c r="I149"/>
      <c r="J149" s="387"/>
      <c r="K149" s="24"/>
      <c r="L149" s="36"/>
      <c r="M149" s="36"/>
      <c r="N149" s="24"/>
      <c r="O149" s="36"/>
      <c r="P149" s="36"/>
      <c r="Q149" s="50"/>
      <c r="R149" s="36"/>
      <c r="S149" s="24"/>
      <c r="Z149"/>
      <c r="AA149"/>
      <c r="AB149"/>
      <c r="AC149"/>
      <c r="AD149"/>
      <c r="AE149"/>
      <c r="AF149"/>
      <c r="AG149"/>
    </row>
    <row r="150" spans="1:35" s="33" customFormat="1" ht="62.5">
      <c r="A150" s="3"/>
      <c r="B150" s="28"/>
      <c r="C150" s="24"/>
      <c r="D150" s="24"/>
      <c r="E150" s="28"/>
      <c r="F150" s="28"/>
      <c r="G150" s="100"/>
      <c r="H150" s="100"/>
      <c r="I150" s="388" t="s">
        <v>352</v>
      </c>
      <c r="J150" s="388" t="s">
        <v>348</v>
      </c>
      <c r="K150" s="24"/>
      <c r="L150" s="36"/>
      <c r="M150" s="36"/>
      <c r="N150" s="24"/>
      <c r="O150" s="36"/>
      <c r="P150" s="36"/>
      <c r="Q150" s="388" t="s">
        <v>350</v>
      </c>
      <c r="R150" s="36"/>
      <c r="S150" s="24"/>
      <c r="Z150"/>
      <c r="AA150"/>
      <c r="AB150"/>
      <c r="AC150"/>
      <c r="AD150"/>
      <c r="AE150"/>
      <c r="AF150"/>
      <c r="AG150"/>
    </row>
    <row r="151" spans="1:35" s="33" customFormat="1">
      <c r="A151">
        <v>2008</v>
      </c>
      <c r="B151" s="28">
        <f>SUM(B3:B14)</f>
        <v>326411407.022681</v>
      </c>
      <c r="C151" s="24"/>
      <c r="D151" s="24"/>
      <c r="E151" s="28">
        <f>SUM(E3:E14)</f>
        <v>2154623.996872589</v>
      </c>
      <c r="F151" s="28">
        <f>SUM(F3:F14)</f>
        <v>328566031.01955354</v>
      </c>
      <c r="G151" s="28"/>
      <c r="H151" s="100"/>
      <c r="I151" s="28">
        <f>SUM($Q$3:$Q$14)</f>
        <v>319909233.77560574</v>
      </c>
      <c r="J151" s="386">
        <f>E151</f>
        <v>2154623.996872589</v>
      </c>
      <c r="K151" s="24"/>
      <c r="L151" s="36"/>
      <c r="M151" s="36"/>
      <c r="N151" s="24"/>
      <c r="O151" s="36"/>
      <c r="P151" s="36"/>
      <c r="Q151" s="28">
        <f>I151-J151</f>
        <v>317754609.77873313</v>
      </c>
      <c r="R151" s="28"/>
      <c r="S151" s="274"/>
      <c r="T151" s="38"/>
      <c r="U151" s="5"/>
      <c r="Z151"/>
      <c r="AA151"/>
      <c r="AB151"/>
      <c r="AC151"/>
      <c r="AD151"/>
      <c r="AE151"/>
      <c r="AF151"/>
      <c r="AG151"/>
    </row>
    <row r="152" spans="1:35" s="33" customFormat="1">
      <c r="A152" s="17">
        <v>2009</v>
      </c>
      <c r="B152" s="28">
        <f>SUM(B15:B26)</f>
        <v>318733350.66887528</v>
      </c>
      <c r="C152" s="24"/>
      <c r="D152" s="24"/>
      <c r="E152" s="28">
        <f>SUM(E15:E26)</f>
        <v>3186144.8456580103</v>
      </c>
      <c r="F152" s="28">
        <f>SUM(F15:F26)</f>
        <v>321919495.51453322</v>
      </c>
      <c r="G152" s="28"/>
      <c r="H152" s="100"/>
      <c r="I152" s="28">
        <f>SUM($Q$15:$Q$26)</f>
        <v>319226732.31616253</v>
      </c>
      <c r="J152" s="386">
        <f t="shared" ref="J152:J162" si="28">E152</f>
        <v>3186144.8456580103</v>
      </c>
      <c r="K152" s="24"/>
      <c r="L152" s="36"/>
      <c r="M152" s="36"/>
      <c r="N152" s="24"/>
      <c r="O152" s="36"/>
      <c r="P152" s="36"/>
      <c r="Q152" s="28">
        <f>I152-J152</f>
        <v>316040587.47050452</v>
      </c>
      <c r="R152" s="28"/>
      <c r="S152" s="274"/>
      <c r="T152" s="38"/>
      <c r="U152" s="5"/>
      <c r="Z152"/>
      <c r="AA152"/>
      <c r="AB152"/>
      <c r="AC152"/>
      <c r="AD152"/>
      <c r="AE152"/>
      <c r="AF152"/>
      <c r="AG152"/>
    </row>
    <row r="153" spans="1:35" s="33" customFormat="1">
      <c r="A153">
        <v>2010</v>
      </c>
      <c r="B153" s="28">
        <f>SUM(B27:B38)</f>
        <v>311592501.22999996</v>
      </c>
      <c r="C153" s="24"/>
      <c r="D153" s="24"/>
      <c r="E153" s="28">
        <f>SUM(E27:E38)</f>
        <v>3347553.1667862744</v>
      </c>
      <c r="F153" s="28">
        <f>SUM(F27:F38)</f>
        <v>314940054.39678627</v>
      </c>
      <c r="G153" s="28"/>
      <c r="H153" s="100"/>
      <c r="I153" s="28">
        <f>SUM($Q$27:$Q$38)</f>
        <v>319226732.31616253</v>
      </c>
      <c r="J153" s="386">
        <f t="shared" si="28"/>
        <v>3347553.1667862744</v>
      </c>
      <c r="K153" s="24"/>
      <c r="L153" s="36"/>
      <c r="M153" s="36"/>
      <c r="N153" s="24"/>
      <c r="O153" s="36"/>
      <c r="P153" s="36"/>
      <c r="Q153" s="28">
        <f>I153-J153</f>
        <v>315879179.14937627</v>
      </c>
      <c r="R153" s="28"/>
      <c r="S153" s="274"/>
      <c r="T153" s="38"/>
      <c r="U153" s="5"/>
      <c r="Z153"/>
      <c r="AA153"/>
      <c r="AB153"/>
      <c r="AC153"/>
      <c r="AD153"/>
      <c r="AE153"/>
      <c r="AF153"/>
      <c r="AG153"/>
    </row>
    <row r="154" spans="1:35" s="33" customFormat="1">
      <c r="A154">
        <v>2011</v>
      </c>
      <c r="B154" s="28">
        <f>SUM(B39:B50)</f>
        <v>312740386.70999998</v>
      </c>
      <c r="C154" s="24"/>
      <c r="D154" s="24"/>
      <c r="E154" s="28">
        <f>SUM(E39:E50)</f>
        <v>3776577.9219721039</v>
      </c>
      <c r="F154" s="28">
        <f>SUM(F39:F50)</f>
        <v>316516964.63197213</v>
      </c>
      <c r="G154" s="28"/>
      <c r="H154" s="100"/>
      <c r="I154" s="28">
        <f>SUM($Q$39:$Q$50)</f>
        <v>319226732.31616253</v>
      </c>
      <c r="J154" s="386">
        <f t="shared" si="28"/>
        <v>3776577.9219721039</v>
      </c>
      <c r="K154" s="24"/>
      <c r="L154" s="36"/>
      <c r="M154" s="36"/>
      <c r="N154" s="24"/>
      <c r="O154" s="36"/>
      <c r="P154" s="36"/>
      <c r="Q154" s="28">
        <f>I154-J154</f>
        <v>315450154.39419043</v>
      </c>
      <c r="R154" s="28"/>
      <c r="S154" s="274"/>
      <c r="T154" s="38"/>
      <c r="U154" s="5"/>
      <c r="Z154"/>
      <c r="AA154"/>
      <c r="AB154"/>
      <c r="AC154"/>
      <c r="AD154"/>
      <c r="AE154"/>
      <c r="AF154"/>
      <c r="AG154"/>
    </row>
    <row r="155" spans="1:35" s="33" customFormat="1">
      <c r="A155">
        <v>2012</v>
      </c>
      <c r="B155" s="28">
        <f>SUM(B51:B62)</f>
        <v>309445216.88000005</v>
      </c>
      <c r="C155" s="24"/>
      <c r="D155" s="24"/>
      <c r="E155" s="28">
        <f>SUM(E51:E62)</f>
        <v>5006260.7801691676</v>
      </c>
      <c r="F155" s="28">
        <f>SUM(F51:F62)</f>
        <v>314451477.66016918</v>
      </c>
      <c r="G155" s="28"/>
      <c r="H155" s="100"/>
      <c r="I155" s="28">
        <f>SUM($Q$51:$Q$62)</f>
        <v>319909233.77560574</v>
      </c>
      <c r="J155" s="386">
        <f t="shared" si="28"/>
        <v>5006260.7801691676</v>
      </c>
      <c r="K155" s="24"/>
      <c r="L155" s="36"/>
      <c r="M155" s="36"/>
      <c r="N155" s="24"/>
      <c r="O155" s="36"/>
      <c r="P155" s="36"/>
      <c r="Q155" s="28">
        <f>I155-J155</f>
        <v>314902972.99543655</v>
      </c>
      <c r="R155" s="28"/>
      <c r="S155" s="274"/>
      <c r="T155" s="38"/>
      <c r="U155" s="5"/>
      <c r="Z155"/>
      <c r="AA155"/>
      <c r="AB155"/>
      <c r="AC155"/>
      <c r="AD155"/>
      <c r="AE155"/>
      <c r="AF155"/>
      <c r="AG155"/>
    </row>
    <row r="156" spans="1:35" s="33" customFormat="1">
      <c r="A156">
        <v>2013</v>
      </c>
      <c r="B156" s="28">
        <f>SUM(B63:B74)</f>
        <v>315512631.28999996</v>
      </c>
      <c r="C156" s="24"/>
      <c r="D156" s="24"/>
      <c r="E156" s="28">
        <f>SUM(E63:E74)</f>
        <v>6367940.0721887713</v>
      </c>
      <c r="F156" s="28">
        <f>SUM(F63:F74)</f>
        <v>321880571.36218876</v>
      </c>
      <c r="G156" s="28"/>
      <c r="H156" s="100"/>
      <c r="I156" s="28">
        <f>SUM($Q$63:$Q$74)</f>
        <v>319226732.31616253</v>
      </c>
      <c r="J156" s="386">
        <f t="shared" si="28"/>
        <v>6367940.0721887713</v>
      </c>
      <c r="K156" s="24"/>
      <c r="L156" s="36"/>
      <c r="M156" s="36"/>
      <c r="N156" s="24"/>
      <c r="O156" s="36"/>
      <c r="P156" s="36"/>
      <c r="Q156" s="28">
        <f>I156-J156</f>
        <v>312858792.24397373</v>
      </c>
      <c r="R156" s="28"/>
      <c r="S156" s="274"/>
      <c r="T156" s="38"/>
      <c r="U156" s="5"/>
      <c r="Z156"/>
      <c r="AA156"/>
      <c r="AB156"/>
      <c r="AC156"/>
      <c r="AD156"/>
      <c r="AE156"/>
      <c r="AF156"/>
      <c r="AG156"/>
    </row>
    <row r="157" spans="1:35" s="33" customFormat="1">
      <c r="A157">
        <v>2014</v>
      </c>
      <c r="B157" s="28">
        <f>SUM(B75:B86)</f>
        <v>319149657</v>
      </c>
      <c r="C157" s="24"/>
      <c r="D157" s="24"/>
      <c r="E157" s="28">
        <f>SUM(E75:E86)</f>
        <v>7883159.2264545523</v>
      </c>
      <c r="F157" s="28">
        <f>SUM(F75:F86)</f>
        <v>327032816.22645462</v>
      </c>
      <c r="G157" s="28"/>
      <c r="H157" s="100"/>
      <c r="I157" s="28">
        <f>SUM($Q$75:$Q$86)</f>
        <v>319226732.31616253</v>
      </c>
      <c r="J157" s="386">
        <f t="shared" si="28"/>
        <v>7883159.2264545523</v>
      </c>
      <c r="K157" s="24"/>
      <c r="L157" s="36"/>
      <c r="M157" s="36"/>
      <c r="N157" s="24"/>
      <c r="O157" s="36"/>
      <c r="P157" s="36"/>
      <c r="Q157" s="28">
        <f>I157-J157</f>
        <v>311343573.08970797</v>
      </c>
      <c r="R157" s="28"/>
      <c r="S157" s="274"/>
      <c r="T157" s="38"/>
      <c r="U157" s="5"/>
      <c r="Z157"/>
      <c r="AA157"/>
      <c r="AB157"/>
      <c r="AC157"/>
      <c r="AD157"/>
      <c r="AE157"/>
      <c r="AF157"/>
      <c r="AG157"/>
    </row>
    <row r="158" spans="1:35" s="33" customFormat="1">
      <c r="A158" s="17">
        <v>2015</v>
      </c>
      <c r="B158" s="28">
        <f>SUM(B87:B98)</f>
        <v>308961454</v>
      </c>
      <c r="C158" s="24"/>
      <c r="D158" s="24"/>
      <c r="E158" s="28">
        <f>SUM(E87:E98)</f>
        <v>10969218.254985821</v>
      </c>
      <c r="F158" s="28">
        <f>SUM(F87:F98)</f>
        <v>319930672.25498581</v>
      </c>
      <c r="G158" s="28"/>
      <c r="H158" s="100"/>
      <c r="I158" s="28">
        <f>SUM($Q$87:$Q$98)</f>
        <v>319226732.31616253</v>
      </c>
      <c r="J158" s="386">
        <f t="shared" si="28"/>
        <v>10969218.254985821</v>
      </c>
      <c r="K158" s="24"/>
      <c r="L158" s="36"/>
      <c r="M158" s="36"/>
      <c r="N158" s="24"/>
      <c r="O158" s="36"/>
      <c r="P158" s="36"/>
      <c r="Q158" s="28">
        <f>I158-J158</f>
        <v>308257514.06117672</v>
      </c>
      <c r="R158" s="28"/>
      <c r="S158" s="274"/>
      <c r="T158" s="38"/>
      <c r="U158" s="5"/>
      <c r="Z158"/>
      <c r="AA158"/>
      <c r="AB158"/>
      <c r="AC158"/>
      <c r="AD158"/>
      <c r="AE158"/>
      <c r="AF158"/>
      <c r="AG158"/>
    </row>
    <row r="159" spans="1:35" s="33" customFormat="1">
      <c r="A159" s="17">
        <v>2016</v>
      </c>
      <c r="B159" s="28">
        <f>SUM(B99:B110)</f>
        <v>302232068</v>
      </c>
      <c r="C159" s="24"/>
      <c r="D159" s="24"/>
      <c r="E159" s="28">
        <f>SUM(E99:E110)</f>
        <v>14589489.512789063</v>
      </c>
      <c r="F159" s="28">
        <f>SUM(F99:F110)</f>
        <v>316821557.51278907</v>
      </c>
      <c r="G159" s="28"/>
      <c r="H159" s="100"/>
      <c r="I159" s="28">
        <f>SUM($Q$99:$Q$110)</f>
        <v>319909233.77560574</v>
      </c>
      <c r="J159" s="386">
        <f t="shared" si="28"/>
        <v>14589489.512789063</v>
      </c>
      <c r="K159" s="24"/>
      <c r="L159" s="36"/>
      <c r="M159" s="36"/>
      <c r="N159" s="24"/>
      <c r="O159" s="36"/>
      <c r="P159" s="36"/>
      <c r="Q159" s="28">
        <f>I159-J159</f>
        <v>305319744.26281667</v>
      </c>
      <c r="R159" s="28"/>
      <c r="S159" s="274"/>
      <c r="T159" s="38"/>
      <c r="U159" s="5"/>
      <c r="Z159"/>
      <c r="AA159"/>
      <c r="AB159"/>
      <c r="AC159"/>
      <c r="AD159"/>
      <c r="AE159"/>
      <c r="AF159"/>
      <c r="AG159"/>
    </row>
    <row r="160" spans="1:35" s="33" customFormat="1">
      <c r="A160" s="17">
        <v>2017</v>
      </c>
      <c r="B160" s="28">
        <f>SUM(B111:B122)</f>
        <v>297287399</v>
      </c>
      <c r="C160" s="24"/>
      <c r="D160" s="24"/>
      <c r="E160" s="28">
        <f>SUM(E111:E122)</f>
        <v>14967787.960523363</v>
      </c>
      <c r="F160" s="28">
        <f>SUM(F111:F122)</f>
        <v>312255186.96052343</v>
      </c>
      <c r="G160" s="100"/>
      <c r="H160" s="100"/>
      <c r="I160" s="28">
        <f>SUM($Q$111:$Q$122)</f>
        <v>319226732.31616253</v>
      </c>
      <c r="J160" s="386">
        <f t="shared" si="28"/>
        <v>14967787.960523363</v>
      </c>
      <c r="K160" s="24"/>
      <c r="L160" s="36"/>
      <c r="M160" s="36"/>
      <c r="N160" s="24"/>
      <c r="O160" s="36"/>
      <c r="P160" s="36"/>
      <c r="Q160" s="28">
        <f>I160-J160</f>
        <v>304258944.35563916</v>
      </c>
      <c r="R160" s="28"/>
      <c r="S160" s="274"/>
      <c r="T160" s="38"/>
      <c r="U160" s="5"/>
      <c r="Z160"/>
      <c r="AA160"/>
      <c r="AB160"/>
      <c r="AC160"/>
      <c r="AD160"/>
      <c r="AE160"/>
      <c r="AF160"/>
      <c r="AG160"/>
    </row>
    <row r="161" spans="1:33" s="33" customFormat="1">
      <c r="A161">
        <v>2018</v>
      </c>
      <c r="B161" s="28"/>
      <c r="C161" s="24"/>
      <c r="D161" s="24"/>
      <c r="E161" s="28">
        <f>SUM(E123:E134)</f>
        <v>15545473.506877635</v>
      </c>
      <c r="F161" s="28"/>
      <c r="G161" s="100"/>
      <c r="H161" s="100"/>
      <c r="I161" s="28">
        <f>SUM($Q$123:$Q$134)</f>
        <v>319226732.31616253</v>
      </c>
      <c r="J161" s="386">
        <f t="shared" si="28"/>
        <v>15545473.506877635</v>
      </c>
      <c r="K161" s="24"/>
      <c r="L161" s="36"/>
      <c r="M161" s="36"/>
      <c r="N161" s="24"/>
      <c r="O161" s="36"/>
      <c r="P161" s="36"/>
      <c r="Q161" s="28">
        <f>I161-J161</f>
        <v>303681258.80928487</v>
      </c>
      <c r="R161" s="28"/>
      <c r="S161" s="274"/>
      <c r="Z161"/>
      <c r="AA161"/>
      <c r="AB161"/>
      <c r="AC161"/>
      <c r="AD161"/>
      <c r="AE161"/>
      <c r="AF161"/>
      <c r="AG161"/>
    </row>
    <row r="162" spans="1:33" s="33" customFormat="1">
      <c r="A162" s="17">
        <v>2019</v>
      </c>
      <c r="B162" s="28"/>
      <c r="C162" s="24"/>
      <c r="D162" s="24"/>
      <c r="E162" s="28">
        <f>SUM(E135:E146)</f>
        <v>15472269.754479228</v>
      </c>
      <c r="F162" s="28"/>
      <c r="G162" s="100"/>
      <c r="H162" s="100"/>
      <c r="I162" s="28">
        <f>SUM($Q$135:$Q$146)</f>
        <v>319226732.31616253</v>
      </c>
      <c r="J162" s="386">
        <f t="shared" si="28"/>
        <v>15472269.754479228</v>
      </c>
      <c r="K162" s="24"/>
      <c r="L162" s="36"/>
      <c r="M162" s="36"/>
      <c r="N162" s="24"/>
      <c r="O162" s="36"/>
      <c r="P162" s="36"/>
      <c r="Q162" s="28">
        <f>I162-J162</f>
        <v>303754462.5616833</v>
      </c>
      <c r="R162" s="28"/>
      <c r="S162" s="274"/>
      <c r="Z162"/>
      <c r="AA162"/>
      <c r="AB162"/>
      <c r="AC162"/>
      <c r="AD162"/>
      <c r="AE162"/>
      <c r="AF162"/>
      <c r="AG162"/>
    </row>
    <row r="163" spans="1:33" s="33" customFormat="1">
      <c r="A163"/>
      <c r="B163"/>
      <c r="C163"/>
      <c r="D163"/>
      <c r="E163"/>
      <c r="F163"/>
      <c r="G163"/>
      <c r="H163"/>
      <c r="I163"/>
      <c r="J163"/>
      <c r="K163"/>
      <c r="L163"/>
      <c r="M163"/>
      <c r="N163"/>
      <c r="O163"/>
      <c r="P163"/>
      <c r="Q163"/>
      <c r="R163"/>
      <c r="Z163"/>
      <c r="AA163"/>
      <c r="AB163"/>
      <c r="AC163"/>
      <c r="AD163"/>
      <c r="AE163"/>
      <c r="AF163"/>
      <c r="AG163"/>
    </row>
    <row r="164" spans="1:33" s="33" customFormat="1">
      <c r="A164" s="105" t="s">
        <v>164</v>
      </c>
      <c r="B164" s="28">
        <f>SUM(B151:B160)</f>
        <v>3122066071.8015566</v>
      </c>
      <c r="C164" s="24"/>
      <c r="D164" s="24"/>
      <c r="E164" s="28">
        <f>SUM(E151:E162)</f>
        <v>103266498.99975657</v>
      </c>
      <c r="F164" s="28">
        <f>SUM(F151:F160)</f>
        <v>3194314827.5399561</v>
      </c>
      <c r="G164" s="100"/>
      <c r="H164" s="100"/>
      <c r="I164" s="28">
        <f>SUM(I151:I160)</f>
        <v>3194314827.5399551</v>
      </c>
      <c r="J164" s="386">
        <f>I164-F164</f>
        <v>0</v>
      </c>
      <c r="K164" s="24"/>
      <c r="L164" s="36"/>
      <c r="M164" s="36"/>
      <c r="N164" s="24"/>
      <c r="O164" s="36"/>
      <c r="P164" s="36"/>
      <c r="Q164" s="28"/>
      <c r="R164" s="381"/>
      <c r="Z164"/>
      <c r="AA164"/>
      <c r="AB164"/>
      <c r="AC164"/>
      <c r="AD164"/>
      <c r="AE164"/>
      <c r="AF164"/>
      <c r="AG164"/>
    </row>
    <row r="165" spans="1:33" s="33" customFormat="1">
      <c r="A165"/>
      <c r="B165" s="28"/>
      <c r="C165" s="24"/>
      <c r="D165" s="24"/>
      <c r="E165" s="28">
        <f>SUM(E151:E160)</f>
        <v>72248755.738399714</v>
      </c>
      <c r="F165" s="28"/>
      <c r="G165" s="100"/>
      <c r="H165" s="100"/>
      <c r="I165" s="387"/>
      <c r="J165" s="387"/>
      <c r="K165" s="24"/>
      <c r="L165" s="36"/>
      <c r="M165" s="36"/>
      <c r="N165" s="24"/>
      <c r="O165" s="36"/>
      <c r="P165" s="36"/>
      <c r="Q165" s="387"/>
      <c r="R165" s="382"/>
      <c r="Z165"/>
      <c r="AA165"/>
      <c r="AB165"/>
      <c r="AC165"/>
      <c r="AD165"/>
      <c r="AE165"/>
      <c r="AF165"/>
      <c r="AG165"/>
    </row>
    <row r="166" spans="1:33" s="33" customFormat="1">
      <c r="A166"/>
      <c r="B166" s="28"/>
      <c r="C166" s="24"/>
      <c r="D166" s="24"/>
      <c r="E166" s="28"/>
      <c r="F166" s="28"/>
      <c r="G166" s="100"/>
      <c r="H166" s="100"/>
      <c r="I166" s="386">
        <f>SUM(I151:I162)</f>
        <v>3832768292.1722803</v>
      </c>
      <c r="J166" s="386">
        <f>I166-Q148</f>
        <v>3.814697265625E-6</v>
      </c>
      <c r="K166" s="24"/>
      <c r="L166" s="36"/>
      <c r="M166" s="36"/>
      <c r="N166" s="24"/>
      <c r="O166" s="36"/>
      <c r="P166" s="36"/>
      <c r="Q166" s="386"/>
      <c r="R166" s="50"/>
      <c r="Z166"/>
      <c r="AA166"/>
      <c r="AB166"/>
      <c r="AC166"/>
      <c r="AD166"/>
      <c r="AE166"/>
      <c r="AF166"/>
      <c r="AG166"/>
    </row>
    <row r="167" spans="1:33" s="33" customFormat="1">
      <c r="A167"/>
      <c r="B167" s="28"/>
      <c r="C167" s="24"/>
      <c r="D167" s="24"/>
      <c r="E167" s="28"/>
      <c r="F167" s="28"/>
      <c r="G167" s="100"/>
      <c r="H167" s="100"/>
      <c r="I167" s="109"/>
      <c r="J167" s="389" t="s">
        <v>351</v>
      </c>
      <c r="K167" s="24"/>
      <c r="L167"/>
      <c r="M167"/>
      <c r="N167" s="24"/>
      <c r="O167"/>
      <c r="P167"/>
      <c r="Q167" s="109"/>
      <c r="R167"/>
      <c r="S167"/>
      <c r="Z167"/>
      <c r="AA167"/>
      <c r="AB167"/>
      <c r="AC167"/>
      <c r="AD167"/>
      <c r="AE167"/>
      <c r="AF167"/>
      <c r="AG167"/>
    </row>
    <row r="168" spans="1:33" s="33" customFormat="1">
      <c r="A168"/>
      <c r="B168" s="28"/>
      <c r="C168" s="24"/>
      <c r="D168" s="24"/>
      <c r="E168" s="28"/>
      <c r="F168" s="28"/>
      <c r="G168" s="100"/>
      <c r="H168" s="100"/>
      <c r="I168" s="382"/>
      <c r="J168" s="382"/>
      <c r="K168" s="24"/>
      <c r="L168" s="36"/>
      <c r="M168" s="36"/>
      <c r="N168" s="24"/>
      <c r="O168" s="36"/>
      <c r="P168" s="36"/>
      <c r="Q168" s="382"/>
      <c r="R168" s="36"/>
      <c r="Z168"/>
      <c r="AA168"/>
      <c r="AB168"/>
      <c r="AC168"/>
      <c r="AD168"/>
      <c r="AE168"/>
      <c r="AF168"/>
      <c r="AG168"/>
    </row>
    <row r="169" spans="1:33" s="33" customFormat="1">
      <c r="A169"/>
      <c r="B169" s="28" t="s">
        <v>90</v>
      </c>
      <c r="C169" s="24"/>
      <c r="D169" s="24"/>
      <c r="E169" s="28"/>
      <c r="F169" s="28"/>
      <c r="G169" s="100"/>
      <c r="H169" s="100"/>
      <c r="I169" s="382"/>
      <c r="J169" s="382"/>
      <c r="K169" s="24"/>
      <c r="L169" s="36"/>
      <c r="M169" s="36"/>
      <c r="N169" s="24"/>
      <c r="O169" s="36"/>
      <c r="P169" s="36"/>
      <c r="Q169" s="382"/>
      <c r="R169" s="36"/>
      <c r="S169" s="24"/>
      <c r="Z169"/>
      <c r="AA169"/>
      <c r="AB169"/>
      <c r="AC169"/>
      <c r="AD169"/>
      <c r="AE169"/>
      <c r="AF169"/>
      <c r="AG169"/>
    </row>
    <row r="170" spans="1:33" s="33" customFormat="1">
      <c r="A170" s="3">
        <v>43466</v>
      </c>
      <c r="B170" s="28"/>
      <c r="C170" s="87">
        <f>C135</f>
        <v>1262660.9258392768</v>
      </c>
      <c r="D170" s="87"/>
      <c r="E170" s="28"/>
      <c r="F170" s="28"/>
      <c r="G170" s="101">
        <f>'Weather Analysis'!AC8</f>
        <v>755.56968492660235</v>
      </c>
      <c r="H170" s="101">
        <f>'Weather Analysis'!AC28</f>
        <v>0</v>
      </c>
      <c r="I170" s="87">
        <f>I135</f>
        <v>31</v>
      </c>
      <c r="J170" s="87">
        <f>J135</f>
        <v>0</v>
      </c>
      <c r="K170" s="87">
        <f>K135</f>
        <v>133</v>
      </c>
      <c r="L170" s="88"/>
      <c r="M170" s="88"/>
      <c r="N170" s="87"/>
      <c r="O170" s="88"/>
      <c r="P170" s="88"/>
      <c r="Q170" s="87">
        <f t="shared" ref="Q170:Q181" si="29">$V$18+G170*$V$19+H170*$V$20+I170*$V$21+J170*$V$22+K170*$V$23</f>
        <v>32494721.967929896</v>
      </c>
      <c r="R170" s="36"/>
      <c r="S170" s="24"/>
      <c r="Z170"/>
      <c r="AA170"/>
      <c r="AB170"/>
      <c r="AC170"/>
      <c r="AD170"/>
      <c r="AE170"/>
      <c r="AF170"/>
      <c r="AG170"/>
    </row>
    <row r="171" spans="1:33" s="33" customFormat="1">
      <c r="A171" s="3">
        <v>43497</v>
      </c>
      <c r="B171" s="28"/>
      <c r="C171" s="87">
        <f>C136</f>
        <v>1251661.9598935519</v>
      </c>
      <c r="D171" s="87"/>
      <c r="E171" s="28"/>
      <c r="F171" s="28"/>
      <c r="G171" s="101">
        <f>'Weather Analysis'!AC9</f>
        <v>782.74221267454323</v>
      </c>
      <c r="H171" s="101">
        <f>'Weather Analysis'!AC29</f>
        <v>0</v>
      </c>
      <c r="I171" s="87">
        <f>I136</f>
        <v>28</v>
      </c>
      <c r="J171" s="87">
        <f>J136</f>
        <v>0</v>
      </c>
      <c r="K171" s="87">
        <f>K136</f>
        <v>134</v>
      </c>
      <c r="L171" s="88"/>
      <c r="M171" s="88"/>
      <c r="N171" s="87"/>
      <c r="O171" s="88"/>
      <c r="P171" s="88"/>
      <c r="Q171" s="87">
        <f t="shared" si="29"/>
        <v>30824512.602730758</v>
      </c>
      <c r="R171" s="36"/>
      <c r="S171" s="24"/>
      <c r="Z171"/>
      <c r="AA171"/>
      <c r="AB171"/>
      <c r="AC171"/>
      <c r="AD171"/>
      <c r="AE171"/>
      <c r="AF171"/>
      <c r="AG171"/>
    </row>
    <row r="172" spans="1:33" s="33" customFormat="1">
      <c r="A172" s="3">
        <v>43525</v>
      </c>
      <c r="B172" s="28"/>
      <c r="C172" s="87">
        <f>C137</f>
        <v>1240662.993947827</v>
      </c>
      <c r="D172" s="87"/>
      <c r="E172" s="28"/>
      <c r="F172" s="28"/>
      <c r="G172" s="101">
        <f>'Weather Analysis'!AC10</f>
        <v>643.01898317221594</v>
      </c>
      <c r="H172" s="101">
        <f>'Weather Analysis'!AC30</f>
        <v>0</v>
      </c>
      <c r="I172" s="87">
        <f>I137</f>
        <v>31</v>
      </c>
      <c r="J172" s="87">
        <f>J137</f>
        <v>1</v>
      </c>
      <c r="K172" s="87">
        <f>K137</f>
        <v>135</v>
      </c>
      <c r="L172" s="88"/>
      <c r="M172" s="88"/>
      <c r="N172" s="87"/>
      <c r="O172" s="88"/>
      <c r="P172" s="88"/>
      <c r="Q172" s="87">
        <f t="shared" si="29"/>
        <v>29616192.550782494</v>
      </c>
      <c r="R172" s="36"/>
      <c r="S172" s="24"/>
      <c r="Z172"/>
      <c r="AA172"/>
      <c r="AB172"/>
      <c r="AC172"/>
      <c r="AD172"/>
      <c r="AE172"/>
      <c r="AF172"/>
      <c r="AG172"/>
    </row>
    <row r="173" spans="1:33" s="33" customFormat="1">
      <c r="A173" s="3">
        <v>43556</v>
      </c>
      <c r="B173" s="28"/>
      <c r="C173" s="87">
        <f>C138</f>
        <v>1229664.0280021022</v>
      </c>
      <c r="D173" s="87"/>
      <c r="E173" s="28"/>
      <c r="F173" s="28"/>
      <c r="G173" s="101">
        <f>'Weather Analysis'!AC11</f>
        <v>390.75904403866787</v>
      </c>
      <c r="H173" s="101">
        <f>'Weather Analysis'!AC31</f>
        <v>-0.12969924812030342</v>
      </c>
      <c r="I173" s="87">
        <f>I138</f>
        <v>30</v>
      </c>
      <c r="J173" s="87">
        <f>J138</f>
        <v>1</v>
      </c>
      <c r="K173" s="87">
        <f>K138</f>
        <v>136</v>
      </c>
      <c r="L173" s="88"/>
      <c r="M173" s="88"/>
      <c r="N173" s="87"/>
      <c r="O173" s="88"/>
      <c r="P173" s="88"/>
      <c r="Q173" s="87">
        <f t="shared" si="29"/>
        <v>25425294.737576567</v>
      </c>
      <c r="R173" s="36"/>
      <c r="S173" s="24"/>
      <c r="Z173"/>
      <c r="AA173"/>
      <c r="AB173"/>
      <c r="AC173"/>
      <c r="AD173"/>
      <c r="AE173"/>
      <c r="AF173"/>
      <c r="AG173"/>
    </row>
    <row r="174" spans="1:33" s="33" customFormat="1">
      <c r="A174" s="3">
        <v>43586</v>
      </c>
      <c r="B174" s="28"/>
      <c r="C174" s="87">
        <f>C139</f>
        <v>1218665.0620563773</v>
      </c>
      <c r="D174" s="87"/>
      <c r="E174" s="28"/>
      <c r="F174" s="28"/>
      <c r="G174" s="101">
        <f>'Weather Analysis'!AC12</f>
        <v>205.78646616541346</v>
      </c>
      <c r="H174" s="101">
        <f>'Weather Analysis'!AC32</f>
        <v>12.756541353383454</v>
      </c>
      <c r="I174" s="87">
        <f>I139</f>
        <v>31</v>
      </c>
      <c r="J174" s="87">
        <f>J139</f>
        <v>1</v>
      </c>
      <c r="K174" s="87">
        <f>K139</f>
        <v>137</v>
      </c>
      <c r="L174" s="88"/>
      <c r="M174" s="88"/>
      <c r="N174" s="87"/>
      <c r="O174" s="88"/>
      <c r="P174" s="88"/>
      <c r="Q174" s="87">
        <f t="shared" si="29"/>
        <v>24108291.690141175</v>
      </c>
      <c r="R174" s="36"/>
      <c r="S174" s="24"/>
      <c r="Z174"/>
      <c r="AA174"/>
      <c r="AB174"/>
      <c r="AC174"/>
      <c r="AD174"/>
      <c r="AE174"/>
      <c r="AF174"/>
      <c r="AG174"/>
    </row>
    <row r="175" spans="1:33">
      <c r="A175" s="3">
        <v>43617</v>
      </c>
      <c r="C175" s="87">
        <f>C140</f>
        <v>1207666.0961106524</v>
      </c>
      <c r="D175" s="87"/>
      <c r="G175" s="101">
        <f>'Weather Analysis'!AC13</f>
        <v>65.881131399928449</v>
      </c>
      <c r="H175" s="101">
        <f>'Weather Analysis'!AC33</f>
        <v>19.404812030075163</v>
      </c>
      <c r="I175" s="87">
        <f>I140</f>
        <v>30</v>
      </c>
      <c r="J175" s="87">
        <f>J140</f>
        <v>0</v>
      </c>
      <c r="K175" s="87">
        <f>K140</f>
        <v>138</v>
      </c>
      <c r="L175" s="88"/>
      <c r="M175" s="88"/>
      <c r="N175" s="87"/>
      <c r="O175" s="88"/>
      <c r="P175" s="88"/>
      <c r="Q175" s="87">
        <f t="shared" si="29"/>
        <v>23092417.636327073</v>
      </c>
      <c r="R175" s="36"/>
      <c r="S175"/>
      <c r="T175"/>
      <c r="U175"/>
    </row>
    <row r="176" spans="1:33" s="33" customFormat="1">
      <c r="A176" s="3">
        <v>43647</v>
      </c>
      <c r="B176" s="28"/>
      <c r="C176" s="87">
        <f>C141</f>
        <v>1196667.1301649276</v>
      </c>
      <c r="D176" s="87"/>
      <c r="E176" s="28"/>
      <c r="F176" s="28"/>
      <c r="G176" s="101">
        <f>'Weather Analysis'!AC14</f>
        <v>21.02228428213391</v>
      </c>
      <c r="H176" s="101">
        <f>'Weather Analysis'!AC34</f>
        <v>65.23195488721808</v>
      </c>
      <c r="I176" s="87">
        <f>I141</f>
        <v>31</v>
      </c>
      <c r="J176" s="87">
        <f>J141</f>
        <v>0</v>
      </c>
      <c r="K176" s="87">
        <f>K141</f>
        <v>139</v>
      </c>
      <c r="L176" s="88"/>
      <c r="M176" s="88"/>
      <c r="N176" s="87"/>
      <c r="O176" s="88"/>
      <c r="P176" s="88"/>
      <c r="Q176" s="87">
        <f t="shared" si="29"/>
        <v>25175110.898968205</v>
      </c>
      <c r="R176" s="36"/>
      <c r="S176" s="24"/>
      <c r="Z176"/>
      <c r="AA176"/>
      <c r="AB176"/>
      <c r="AC176"/>
      <c r="AD176"/>
      <c r="AE176"/>
      <c r="AF176"/>
      <c r="AG176"/>
    </row>
    <row r="177" spans="1:35" s="33" customFormat="1">
      <c r="A177" s="3">
        <v>43678</v>
      </c>
      <c r="B177" s="28"/>
      <c r="C177" s="87">
        <f>C142</f>
        <v>1185668.1642192027</v>
      </c>
      <c r="D177" s="87"/>
      <c r="E177" s="28"/>
      <c r="F177" s="28"/>
      <c r="G177" s="101">
        <f>'Weather Analysis'!AC15</f>
        <v>37.470837808807687</v>
      </c>
      <c r="H177" s="101">
        <f>'Weather Analysis'!AC35</f>
        <v>45.260601503759347</v>
      </c>
      <c r="I177" s="87">
        <f>I142</f>
        <v>31</v>
      </c>
      <c r="J177" s="87">
        <f>J142</f>
        <v>0</v>
      </c>
      <c r="K177" s="87">
        <f>K142</f>
        <v>140</v>
      </c>
      <c r="L177" s="88"/>
      <c r="M177" s="88"/>
      <c r="N177" s="87"/>
      <c r="O177" s="88"/>
      <c r="P177" s="88"/>
      <c r="Q177" s="87">
        <f t="shared" si="29"/>
        <v>24521855.457720924</v>
      </c>
      <c r="R177" s="36"/>
      <c r="S177" s="24"/>
      <c r="Z177"/>
      <c r="AA177"/>
      <c r="AB177"/>
      <c r="AC177"/>
      <c r="AD177"/>
      <c r="AE177"/>
      <c r="AF177"/>
      <c r="AG177"/>
    </row>
    <row r="178" spans="1:35" s="33" customFormat="1">
      <c r="A178" s="3">
        <v>43709</v>
      </c>
      <c r="B178" s="28"/>
      <c r="C178" s="87">
        <f>C143</f>
        <v>1174669.1982734778</v>
      </c>
      <c r="D178" s="87"/>
      <c r="E178" s="28"/>
      <c r="F178" s="28"/>
      <c r="G178" s="101">
        <f>'Weather Analysis'!AC16</f>
        <v>110.70053347654857</v>
      </c>
      <c r="H178" s="101">
        <f>'Weather Analysis'!AC36</f>
        <v>16.821879699248029</v>
      </c>
      <c r="I178" s="87">
        <f>I143</f>
        <v>30</v>
      </c>
      <c r="J178" s="87">
        <f>J143</f>
        <v>1</v>
      </c>
      <c r="K178" s="87">
        <f>K143</f>
        <v>141</v>
      </c>
      <c r="L178" s="88"/>
      <c r="M178" s="88"/>
      <c r="N178" s="87"/>
      <c r="O178" s="88"/>
      <c r="P178" s="88"/>
      <c r="Q178" s="87">
        <f t="shared" si="29"/>
        <v>22284973.012628771</v>
      </c>
      <c r="R178" s="36"/>
      <c r="S178" s="24"/>
      <c r="Z178"/>
      <c r="AA178"/>
      <c r="AB178"/>
      <c r="AC178"/>
      <c r="AD178"/>
      <c r="AE178"/>
      <c r="AF178"/>
      <c r="AG178"/>
    </row>
    <row r="179" spans="1:35" s="33" customFormat="1">
      <c r="A179" s="3">
        <v>43739</v>
      </c>
      <c r="B179" s="28"/>
      <c r="C179" s="87">
        <f>C144</f>
        <v>1163670.232327753</v>
      </c>
      <c r="D179" s="87"/>
      <c r="E179" s="28"/>
      <c r="F179" s="28"/>
      <c r="G179" s="101">
        <f>'Weather Analysis'!AC17</f>
        <v>284.00799140708932</v>
      </c>
      <c r="H179" s="101">
        <f>'Weather Analysis'!AC37</f>
        <v>8.1879699248119664E-2</v>
      </c>
      <c r="I179" s="87">
        <f>I144</f>
        <v>31</v>
      </c>
      <c r="J179" s="87">
        <f>J144</f>
        <v>1</v>
      </c>
      <c r="K179" s="87">
        <f>K144</f>
        <v>142</v>
      </c>
      <c r="L179" s="88"/>
      <c r="M179" s="88"/>
      <c r="N179" s="87"/>
      <c r="O179" s="88"/>
      <c r="P179" s="88"/>
      <c r="Q179" s="87">
        <f t="shared" si="29"/>
        <v>24634880.556746002</v>
      </c>
      <c r="R179" s="36"/>
      <c r="Z179"/>
      <c r="AA179"/>
      <c r="AB179"/>
      <c r="AC179"/>
      <c r="AD179"/>
      <c r="AE179"/>
      <c r="AF179"/>
      <c r="AG179"/>
    </row>
    <row r="180" spans="1:35" s="33" customFormat="1">
      <c r="A180" s="3">
        <v>43770</v>
      </c>
      <c r="B180" s="28"/>
      <c r="C180" s="87">
        <f>C145</f>
        <v>1152671.2663820281</v>
      </c>
      <c r="D180" s="87"/>
      <c r="E180" s="28"/>
      <c r="F180" s="28"/>
      <c r="G180" s="101">
        <f>'Weather Analysis'!AC18</f>
        <v>449.04982098102482</v>
      </c>
      <c r="H180" s="101">
        <f>'Weather Analysis'!AC38</f>
        <v>0</v>
      </c>
      <c r="I180" s="87">
        <f>I145</f>
        <v>30</v>
      </c>
      <c r="J180" s="87">
        <f>J145</f>
        <v>1</v>
      </c>
      <c r="K180" s="87">
        <f>K145</f>
        <v>143</v>
      </c>
      <c r="L180" s="88"/>
      <c r="M180" s="88"/>
      <c r="N180" s="87"/>
      <c r="O180" s="88"/>
      <c r="P180" s="88"/>
      <c r="Q180" s="87">
        <f t="shared" si="29"/>
        <v>26240397.398727726</v>
      </c>
      <c r="R180" s="36"/>
      <c r="S180" s="24"/>
      <c r="Z180"/>
      <c r="AA180"/>
      <c r="AB180"/>
      <c r="AC180"/>
      <c r="AD180"/>
      <c r="AE180"/>
      <c r="AF180"/>
      <c r="AG180"/>
    </row>
    <row r="181" spans="1:35" s="33" customFormat="1">
      <c r="A181" s="3">
        <v>43800</v>
      </c>
      <c r="B181" s="28"/>
      <c r="C181" s="87">
        <f>C146</f>
        <v>1141672.3004363033</v>
      </c>
      <c r="D181" s="87"/>
      <c r="E181" s="28"/>
      <c r="F181" s="28"/>
      <c r="G181" s="101">
        <f>'Weather Analysis'!AC19</f>
        <v>702.41429645542394</v>
      </c>
      <c r="H181" s="101">
        <f>'Weather Analysis'!AC39</f>
        <v>0</v>
      </c>
      <c r="I181" s="87">
        <f>I146</f>
        <v>31</v>
      </c>
      <c r="J181" s="87">
        <f>J146</f>
        <v>0</v>
      </c>
      <c r="K181" s="87">
        <f>K146</f>
        <v>144</v>
      </c>
      <c r="L181" s="88"/>
      <c r="M181" s="88"/>
      <c r="N181" s="87"/>
      <c r="O181" s="88"/>
      <c r="P181" s="88"/>
      <c r="Q181" s="87">
        <f t="shared" si="29"/>
        <v>31756650.663808733</v>
      </c>
      <c r="R181" s="381">
        <f>SUM(Q170:Q181)</f>
        <v>320175299.17408836</v>
      </c>
      <c r="S181" s="24"/>
      <c r="Z181"/>
      <c r="AA181"/>
      <c r="AB181"/>
      <c r="AC181"/>
      <c r="AD181"/>
      <c r="AE181"/>
      <c r="AF181"/>
      <c r="AG181"/>
    </row>
    <row r="182" spans="1:35" s="33" customFormat="1">
      <c r="A182"/>
      <c r="B182" s="28"/>
      <c r="C182" s="24"/>
      <c r="D182" s="24"/>
      <c r="E182" s="28"/>
      <c r="F182" s="28"/>
      <c r="G182" s="100"/>
      <c r="H182" s="100"/>
      <c r="I182" s="382"/>
      <c r="J182" s="382"/>
      <c r="K182" s="24"/>
      <c r="L182" s="36"/>
      <c r="M182" s="36"/>
      <c r="N182" s="24"/>
      <c r="O182" s="36"/>
      <c r="P182" s="36"/>
      <c r="Q182" s="382"/>
      <c r="R182" s="382"/>
      <c r="S182" s="382"/>
      <c r="T182" s="36"/>
      <c r="U182" s="24"/>
      <c r="AB182"/>
      <c r="AC182"/>
      <c r="AD182"/>
      <c r="AE182"/>
      <c r="AF182"/>
      <c r="AG182"/>
      <c r="AH182"/>
      <c r="AI182"/>
    </row>
    <row r="183" spans="1:35" s="33" customFormat="1">
      <c r="A183"/>
      <c r="B183" s="28"/>
      <c r="C183" s="24"/>
      <c r="D183" s="24"/>
      <c r="E183" s="28"/>
      <c r="F183" s="28"/>
      <c r="G183" s="100"/>
      <c r="H183" s="100"/>
      <c r="I183" s="382"/>
      <c r="J183" s="382"/>
      <c r="K183" s="24"/>
      <c r="L183" s="36"/>
      <c r="M183" s="36"/>
      <c r="N183" s="24"/>
      <c r="O183" s="36"/>
      <c r="P183" s="36"/>
      <c r="Q183" s="382"/>
      <c r="R183" s="382"/>
      <c r="S183" s="382"/>
      <c r="T183" s="36"/>
      <c r="U183" s="24"/>
      <c r="AB183"/>
      <c r="AC183"/>
      <c r="AD183"/>
      <c r="AE183"/>
      <c r="AF183"/>
      <c r="AG183"/>
      <c r="AH183"/>
      <c r="AI183"/>
    </row>
    <row r="184" spans="1:35" s="33" customFormat="1">
      <c r="A184"/>
      <c r="B184" s="28"/>
      <c r="C184" s="24"/>
      <c r="D184" s="24"/>
      <c r="E184" s="28"/>
      <c r="F184" s="28"/>
      <c r="G184" s="100"/>
      <c r="H184" s="100"/>
      <c r="I184" s="382"/>
      <c r="J184" s="382"/>
      <c r="K184" s="24"/>
      <c r="L184" s="36"/>
      <c r="M184" s="36"/>
      <c r="N184" s="24"/>
      <c r="O184" s="36"/>
      <c r="P184" s="36"/>
      <c r="Q184" s="382"/>
      <c r="R184" s="382"/>
      <c r="S184" s="382"/>
      <c r="T184" s="36"/>
      <c r="U184" s="24"/>
      <c r="AB184"/>
      <c r="AC184"/>
      <c r="AD184"/>
      <c r="AE184"/>
      <c r="AF184"/>
      <c r="AG184"/>
      <c r="AH184"/>
      <c r="AI184"/>
    </row>
    <row r="185" spans="1:35" s="33" customFormat="1">
      <c r="A185"/>
      <c r="B185" s="28"/>
      <c r="C185" s="24"/>
      <c r="D185" s="24"/>
      <c r="E185" s="28"/>
      <c r="F185" s="28"/>
      <c r="G185" s="100"/>
      <c r="H185" s="100"/>
      <c r="I185" s="382"/>
      <c r="J185" s="382"/>
      <c r="K185" s="24"/>
      <c r="L185" s="36"/>
      <c r="M185" s="36"/>
      <c r="N185" s="24"/>
      <c r="O185" s="36"/>
      <c r="P185" s="36"/>
      <c r="Q185" s="382"/>
      <c r="R185" s="382"/>
      <c r="S185" s="382"/>
      <c r="T185" s="36"/>
      <c r="U185" s="24"/>
      <c r="AB185"/>
      <c r="AC185"/>
      <c r="AD185"/>
      <c r="AE185"/>
      <c r="AF185"/>
      <c r="AG185"/>
      <c r="AH185"/>
      <c r="AI185"/>
    </row>
    <row r="186" spans="1:35" s="33" customFormat="1">
      <c r="A186"/>
      <c r="B186" s="28"/>
      <c r="C186" s="24"/>
      <c r="D186" s="24"/>
      <c r="E186" s="28"/>
      <c r="F186" s="28"/>
      <c r="G186" s="100"/>
      <c r="H186" s="100"/>
      <c r="I186" s="382"/>
      <c r="J186" s="382"/>
      <c r="K186" s="24"/>
      <c r="L186" s="36"/>
      <c r="M186" s="36"/>
      <c r="N186" s="24"/>
      <c r="O186" s="36"/>
      <c r="P186" s="36"/>
      <c r="Q186" s="382"/>
      <c r="R186" s="382"/>
      <c r="S186" s="382"/>
      <c r="T186" s="36"/>
      <c r="U186" s="24"/>
      <c r="AB186"/>
      <c r="AC186"/>
      <c r="AD186"/>
      <c r="AE186"/>
      <c r="AF186"/>
      <c r="AG186"/>
      <c r="AH186"/>
      <c r="AI186"/>
    </row>
    <row r="187" spans="1:35" s="33" customFormat="1">
      <c r="A187"/>
      <c r="B187" s="28"/>
      <c r="C187" s="24"/>
      <c r="D187" s="24"/>
      <c r="E187" s="28"/>
      <c r="F187" s="28"/>
      <c r="G187" s="100"/>
      <c r="H187" s="100"/>
      <c r="I187" s="382"/>
      <c r="J187" s="382"/>
      <c r="K187" s="24"/>
      <c r="L187" s="36"/>
      <c r="M187" s="36"/>
      <c r="N187" s="24"/>
      <c r="O187" s="36"/>
      <c r="P187" s="36"/>
      <c r="Q187" s="382"/>
      <c r="R187" s="382"/>
      <c r="S187" s="382"/>
      <c r="T187" s="36"/>
      <c r="U187" s="24"/>
      <c r="AB187"/>
      <c r="AC187"/>
      <c r="AD187"/>
      <c r="AE187"/>
      <c r="AF187"/>
      <c r="AG187"/>
      <c r="AH187"/>
      <c r="AI187"/>
    </row>
    <row r="188" spans="1:35" s="33" customFormat="1">
      <c r="A188"/>
      <c r="B188" s="28"/>
      <c r="C188" s="24"/>
      <c r="D188" s="24"/>
      <c r="E188" s="28"/>
      <c r="F188" s="28"/>
      <c r="G188" s="100"/>
      <c r="H188" s="100"/>
      <c r="I188" s="382"/>
      <c r="J188" s="382"/>
      <c r="K188" s="24"/>
      <c r="L188" s="36"/>
      <c r="M188" s="36"/>
      <c r="N188" s="24"/>
      <c r="O188" s="36"/>
      <c r="P188" s="36"/>
      <c r="Q188" s="382"/>
      <c r="R188" s="382"/>
      <c r="S188" s="382"/>
      <c r="T188" s="36"/>
      <c r="U188" s="24"/>
      <c r="AB188"/>
      <c r="AC188"/>
      <c r="AD188"/>
      <c r="AE188"/>
      <c r="AF188"/>
      <c r="AG188"/>
      <c r="AH188"/>
      <c r="AI188"/>
    </row>
    <row r="189" spans="1:35" s="33" customFormat="1">
      <c r="A189"/>
      <c r="B189" s="28"/>
      <c r="C189" s="24"/>
      <c r="D189" s="24"/>
      <c r="E189" s="28"/>
      <c r="F189" s="28"/>
      <c r="G189" s="100"/>
      <c r="H189" s="100"/>
      <c r="I189" s="382"/>
      <c r="J189" s="382"/>
      <c r="K189" s="24"/>
      <c r="L189" s="36"/>
      <c r="M189" s="36"/>
      <c r="N189" s="24"/>
      <c r="O189" s="36"/>
      <c r="P189" s="36"/>
      <c r="Q189" s="382"/>
      <c r="R189" s="382"/>
      <c r="S189" s="382"/>
      <c r="T189" s="36"/>
      <c r="U189" s="24"/>
      <c r="AB189"/>
      <c r="AC189"/>
      <c r="AD189"/>
      <c r="AE189"/>
      <c r="AF189"/>
      <c r="AG189"/>
      <c r="AH189"/>
      <c r="AI189"/>
    </row>
    <row r="190" spans="1:35" s="33" customFormat="1">
      <c r="A190"/>
      <c r="B190" s="28"/>
      <c r="C190" s="24"/>
      <c r="D190" s="24"/>
      <c r="E190" s="28"/>
      <c r="F190" s="28"/>
      <c r="G190" s="100"/>
      <c r="H190" s="100"/>
      <c r="I190" s="382"/>
      <c r="J190" s="382"/>
      <c r="K190" s="24"/>
      <c r="L190" s="36"/>
      <c r="M190" s="36"/>
      <c r="N190" s="24"/>
      <c r="O190" s="36"/>
      <c r="P190" s="36"/>
      <c r="Q190" s="382"/>
      <c r="R190" s="382"/>
      <c r="S190" s="382"/>
      <c r="T190" s="36"/>
      <c r="U190" s="24"/>
      <c r="AB190"/>
      <c r="AC190"/>
      <c r="AD190"/>
      <c r="AE190"/>
      <c r="AF190"/>
      <c r="AG190"/>
      <c r="AH190"/>
      <c r="AI190"/>
    </row>
    <row r="191" spans="1:35" s="33" customFormat="1">
      <c r="A191"/>
      <c r="B191" s="28"/>
      <c r="C191" s="24"/>
      <c r="D191" s="24"/>
      <c r="E191" s="28"/>
      <c r="F191" s="28"/>
      <c r="G191" s="100"/>
      <c r="H191" s="100"/>
      <c r="I191" s="382"/>
      <c r="J191" s="382"/>
      <c r="K191" s="24"/>
      <c r="L191" s="36"/>
      <c r="M191" s="36"/>
      <c r="N191" s="24"/>
      <c r="O191" s="36"/>
      <c r="P191" s="36"/>
      <c r="Q191" s="382"/>
      <c r="R191" s="382"/>
      <c r="S191" s="382"/>
      <c r="T191" s="36"/>
      <c r="U191" s="24"/>
      <c r="AB191"/>
      <c r="AC191"/>
      <c r="AD191"/>
      <c r="AE191"/>
      <c r="AF191"/>
      <c r="AG191"/>
      <c r="AH191"/>
      <c r="AI191"/>
    </row>
    <row r="192" spans="1:35" s="33" customFormat="1">
      <c r="A192"/>
      <c r="B192" s="28"/>
      <c r="C192" s="24"/>
      <c r="D192" s="24"/>
      <c r="E192" s="28"/>
      <c r="F192" s="28"/>
      <c r="G192" s="100"/>
      <c r="H192" s="100"/>
      <c r="I192" s="382"/>
      <c r="J192" s="382"/>
      <c r="K192" s="24"/>
      <c r="L192" s="36"/>
      <c r="M192" s="36"/>
      <c r="N192" s="24"/>
      <c r="O192" s="36"/>
      <c r="P192" s="36"/>
      <c r="Q192" s="382"/>
      <c r="R192" s="382"/>
      <c r="S192" s="382"/>
      <c r="T192" s="36"/>
      <c r="U192" s="24"/>
      <c r="AB192"/>
      <c r="AC192"/>
      <c r="AD192"/>
      <c r="AE192"/>
      <c r="AF192"/>
      <c r="AG192"/>
      <c r="AH192"/>
      <c r="AI192"/>
    </row>
    <row r="193" spans="1:35" s="33" customFormat="1">
      <c r="A193"/>
      <c r="B193" s="28"/>
      <c r="C193" s="24"/>
      <c r="D193" s="24"/>
      <c r="E193" s="28"/>
      <c r="F193" s="28"/>
      <c r="G193" s="100"/>
      <c r="H193" s="100"/>
      <c r="I193" s="382"/>
      <c r="J193" s="382"/>
      <c r="K193" s="24"/>
      <c r="L193" s="36"/>
      <c r="M193" s="36"/>
      <c r="N193" s="24"/>
      <c r="O193" s="36"/>
      <c r="P193" s="36"/>
      <c r="Q193" s="382"/>
      <c r="R193" s="382"/>
      <c r="S193" s="382"/>
      <c r="T193" s="36"/>
      <c r="U193" s="24"/>
      <c r="AB193"/>
      <c r="AC193"/>
      <c r="AD193"/>
      <c r="AE193"/>
      <c r="AF193"/>
      <c r="AG193"/>
      <c r="AH193"/>
      <c r="AI193"/>
    </row>
    <row r="194" spans="1:35" s="33" customFormat="1">
      <c r="A194"/>
      <c r="B194" s="28"/>
      <c r="C194" s="24"/>
      <c r="D194" s="24"/>
      <c r="E194" s="28"/>
      <c r="F194" s="28"/>
      <c r="G194" s="100"/>
      <c r="H194" s="100"/>
      <c r="I194" s="382"/>
      <c r="J194" s="382"/>
      <c r="K194" s="24"/>
      <c r="L194" s="36"/>
      <c r="M194" s="36"/>
      <c r="N194" s="24"/>
      <c r="O194" s="36"/>
      <c r="P194" s="36"/>
      <c r="Q194" s="382"/>
      <c r="R194" s="382"/>
      <c r="S194" s="382"/>
      <c r="T194" s="36"/>
      <c r="U194" s="24"/>
      <c r="AB194"/>
      <c r="AC194"/>
      <c r="AD194"/>
      <c r="AE194"/>
      <c r="AF194"/>
      <c r="AG194"/>
      <c r="AH194"/>
      <c r="AI194"/>
    </row>
    <row r="195" spans="1:35" s="33" customFormat="1">
      <c r="A195"/>
      <c r="B195" s="28"/>
      <c r="C195" s="24"/>
      <c r="D195" s="24"/>
      <c r="E195" s="28"/>
      <c r="F195" s="28"/>
      <c r="G195" s="100"/>
      <c r="H195" s="100"/>
      <c r="I195" s="382"/>
      <c r="J195" s="382"/>
      <c r="K195" s="24"/>
      <c r="L195" s="36"/>
      <c r="M195" s="36"/>
      <c r="N195" s="24"/>
      <c r="O195" s="36"/>
      <c r="P195" s="36"/>
      <c r="Q195" s="382"/>
      <c r="R195" s="382"/>
      <c r="S195" s="382"/>
      <c r="T195" s="36"/>
      <c r="U195" s="24"/>
      <c r="AB195"/>
      <c r="AC195"/>
      <c r="AD195"/>
      <c r="AE195"/>
      <c r="AF195"/>
      <c r="AG195"/>
      <c r="AH195"/>
      <c r="AI195"/>
    </row>
    <row r="196" spans="1:35" s="33" customFormat="1">
      <c r="A196"/>
      <c r="B196" s="28"/>
      <c r="C196" s="24"/>
      <c r="D196" s="24"/>
      <c r="E196" s="28"/>
      <c r="F196" s="28"/>
      <c r="G196" s="100"/>
      <c r="H196" s="100"/>
      <c r="I196" s="382"/>
      <c r="J196" s="382"/>
      <c r="K196" s="24"/>
      <c r="L196" s="36"/>
      <c r="M196" s="36"/>
      <c r="N196" s="24"/>
      <c r="O196" s="36"/>
      <c r="P196" s="36"/>
      <c r="Q196" s="382"/>
      <c r="R196" s="382"/>
      <c r="S196" s="382"/>
      <c r="T196" s="36"/>
      <c r="U196" s="24"/>
      <c r="AB196"/>
      <c r="AC196"/>
      <c r="AD196"/>
      <c r="AE196"/>
      <c r="AF196"/>
      <c r="AG196"/>
      <c r="AH196"/>
      <c r="AI196"/>
    </row>
    <row r="197" spans="1:35" s="33" customFormat="1">
      <c r="A197"/>
      <c r="B197" s="28"/>
      <c r="C197" s="24"/>
      <c r="D197" s="24"/>
      <c r="E197" s="28"/>
      <c r="F197" s="28"/>
      <c r="G197" s="100"/>
      <c r="H197" s="100"/>
      <c r="I197" s="382"/>
      <c r="J197" s="382"/>
      <c r="K197" s="24"/>
      <c r="L197" s="36"/>
      <c r="M197" s="36"/>
      <c r="N197" s="24"/>
      <c r="O197" s="36"/>
      <c r="P197" s="36"/>
      <c r="Q197" s="382"/>
      <c r="R197" s="382"/>
      <c r="S197" s="382"/>
      <c r="T197" s="382"/>
      <c r="U197" s="24"/>
      <c r="AB197"/>
      <c r="AC197"/>
      <c r="AD197"/>
      <c r="AE197"/>
      <c r="AF197"/>
      <c r="AG197"/>
      <c r="AH197"/>
      <c r="AI197"/>
    </row>
    <row r="198" spans="1:35" s="33" customFormat="1">
      <c r="A198"/>
      <c r="B198" s="28"/>
      <c r="C198" s="24"/>
      <c r="D198" s="24"/>
      <c r="E198" s="28"/>
      <c r="F198" s="28"/>
      <c r="G198" s="100"/>
      <c r="H198" s="100"/>
      <c r="I198" s="382"/>
      <c r="J198" s="382"/>
      <c r="K198" s="24"/>
      <c r="L198" s="36"/>
      <c r="M198" s="36"/>
      <c r="N198" s="24"/>
      <c r="O198" s="36"/>
      <c r="P198" s="36"/>
      <c r="Q198" s="382"/>
      <c r="R198" s="382"/>
      <c r="S198" s="382"/>
      <c r="T198" s="382"/>
      <c r="U198" s="24"/>
      <c r="AB198"/>
      <c r="AC198"/>
      <c r="AD198"/>
      <c r="AE198"/>
      <c r="AF198"/>
      <c r="AG198"/>
      <c r="AH198"/>
      <c r="AI198"/>
    </row>
    <row r="199" spans="1:35" s="33" customFormat="1">
      <c r="A199"/>
      <c r="B199" s="28"/>
      <c r="C199" s="24"/>
      <c r="D199" s="24"/>
      <c r="E199" s="28"/>
      <c r="F199" s="28"/>
      <c r="G199" s="100"/>
      <c r="H199" s="100"/>
      <c r="I199" s="382"/>
      <c r="J199" s="382"/>
      <c r="K199" s="24"/>
      <c r="L199" s="36"/>
      <c r="M199" s="36"/>
      <c r="N199" s="24"/>
      <c r="O199" s="36"/>
      <c r="P199" s="36"/>
      <c r="Q199" s="382"/>
      <c r="R199" s="382"/>
      <c r="S199" s="382"/>
      <c r="T199" s="382"/>
      <c r="U199" s="24"/>
      <c r="AB199"/>
      <c r="AC199"/>
      <c r="AD199"/>
      <c r="AE199"/>
      <c r="AF199"/>
      <c r="AG199"/>
      <c r="AH199"/>
      <c r="AI199"/>
    </row>
    <row r="200" spans="1:35" s="33" customFormat="1">
      <c r="A200"/>
      <c r="B200" s="28"/>
      <c r="C200" s="24"/>
      <c r="D200" s="24"/>
      <c r="E200" s="28"/>
      <c r="F200" s="28"/>
      <c r="G200" s="100"/>
      <c r="H200" s="100"/>
      <c r="I200" s="382"/>
      <c r="J200" s="382"/>
      <c r="K200" s="24"/>
      <c r="L200" s="36"/>
      <c r="M200" s="36"/>
      <c r="N200" s="24"/>
      <c r="O200" s="36"/>
      <c r="P200" s="36"/>
      <c r="Q200" s="382"/>
      <c r="R200" s="382"/>
      <c r="S200" s="382"/>
      <c r="T200" s="382"/>
      <c r="U200" s="24"/>
      <c r="AB200"/>
      <c r="AC200"/>
      <c r="AD200"/>
      <c r="AE200"/>
      <c r="AF200"/>
      <c r="AG200"/>
      <c r="AH200"/>
      <c r="AI200"/>
    </row>
    <row r="201" spans="1:35" s="33" customFormat="1">
      <c r="A201"/>
      <c r="B201" s="28"/>
      <c r="C201" s="24"/>
      <c r="D201" s="24"/>
      <c r="E201" s="28"/>
      <c r="F201" s="28"/>
      <c r="G201" s="100"/>
      <c r="H201" s="100"/>
      <c r="I201" s="382"/>
      <c r="J201" s="382"/>
      <c r="K201" s="24"/>
      <c r="L201" s="36"/>
      <c r="M201" s="36"/>
      <c r="N201" s="24"/>
      <c r="O201" s="36"/>
      <c r="P201" s="36"/>
      <c r="Q201" s="382"/>
      <c r="R201" s="382"/>
      <c r="S201" s="382"/>
      <c r="T201" s="382"/>
      <c r="U201" s="24"/>
      <c r="AB201"/>
      <c r="AC201"/>
      <c r="AD201"/>
      <c r="AE201"/>
      <c r="AF201"/>
      <c r="AG201"/>
      <c r="AH201"/>
      <c r="AI201"/>
    </row>
    <row r="202" spans="1:35" s="33" customFormat="1">
      <c r="A202"/>
      <c r="B202" s="28"/>
      <c r="C202" s="24"/>
      <c r="D202" s="24"/>
      <c r="E202" s="28"/>
      <c r="F202" s="28"/>
      <c r="G202" s="100"/>
      <c r="H202" s="100"/>
      <c r="I202" s="382"/>
      <c r="J202" s="382"/>
      <c r="K202" s="24"/>
      <c r="L202" s="36"/>
      <c r="M202" s="36"/>
      <c r="N202" s="24"/>
      <c r="O202" s="36"/>
      <c r="P202" s="36"/>
      <c r="Q202"/>
      <c r="R202"/>
      <c r="S202"/>
      <c r="T202"/>
      <c r="U202" s="24"/>
      <c r="AB202"/>
      <c r="AC202"/>
      <c r="AD202"/>
      <c r="AE202"/>
      <c r="AF202"/>
      <c r="AG202"/>
      <c r="AH202"/>
      <c r="AI202"/>
    </row>
    <row r="203" spans="1:35" s="33" customFormat="1">
      <c r="A203"/>
      <c r="B203" s="28"/>
      <c r="C203" s="24"/>
      <c r="D203" s="24"/>
      <c r="E203" s="28"/>
      <c r="F203" s="28"/>
      <c r="G203" s="100"/>
      <c r="H203" s="100"/>
      <c r="I203" s="382"/>
      <c r="J203" s="382"/>
      <c r="K203" s="24"/>
      <c r="L203" s="36"/>
      <c r="M203" s="36"/>
      <c r="N203" s="24"/>
      <c r="O203" s="36"/>
      <c r="P203" s="36"/>
      <c r="Q203"/>
      <c r="R203"/>
      <c r="S203"/>
      <c r="T203"/>
      <c r="U203" s="24"/>
      <c r="AB203"/>
      <c r="AC203"/>
      <c r="AD203"/>
      <c r="AE203"/>
      <c r="AF203"/>
      <c r="AG203"/>
      <c r="AH203"/>
      <c r="AI203"/>
    </row>
    <row r="204" spans="1:35" s="33" customFormat="1">
      <c r="A204"/>
      <c r="B204" s="28"/>
      <c r="C204" s="24"/>
      <c r="D204" s="24"/>
      <c r="E204" s="28"/>
      <c r="F204" s="28"/>
      <c r="G204" s="100"/>
      <c r="H204" s="100"/>
      <c r="I204" s="382"/>
      <c r="J204" s="382"/>
      <c r="K204" s="24"/>
      <c r="L204" s="36"/>
      <c r="M204" s="36"/>
      <c r="N204" s="24"/>
      <c r="O204" s="36"/>
      <c r="P204" s="36"/>
      <c r="Q204"/>
      <c r="R204"/>
      <c r="S204"/>
      <c r="T204"/>
      <c r="U204" s="24"/>
      <c r="AB204"/>
      <c r="AC204"/>
      <c r="AD204"/>
      <c r="AE204"/>
      <c r="AF204"/>
      <c r="AG204"/>
      <c r="AH204"/>
      <c r="AI204"/>
    </row>
    <row r="205" spans="1:35" s="33" customFormat="1">
      <c r="A205"/>
      <c r="B205" s="28"/>
      <c r="C205" s="24"/>
      <c r="D205" s="24"/>
      <c r="E205" s="28"/>
      <c r="F205" s="28"/>
      <c r="G205" s="100"/>
      <c r="H205" s="100"/>
      <c r="I205" s="382"/>
      <c r="J205" s="382"/>
      <c r="K205" s="24"/>
      <c r="L205" s="36"/>
      <c r="M205" s="36"/>
      <c r="N205" s="24"/>
      <c r="O205" s="36"/>
      <c r="P205" s="36"/>
      <c r="Q205"/>
      <c r="R205"/>
      <c r="S205"/>
      <c r="T205"/>
      <c r="U205" s="24"/>
      <c r="AB205"/>
      <c r="AC205"/>
      <c r="AD205"/>
      <c r="AE205"/>
      <c r="AF205"/>
      <c r="AG205"/>
      <c r="AH205"/>
      <c r="AI205"/>
    </row>
    <row r="206" spans="1:35" s="33" customFormat="1">
      <c r="A206"/>
      <c r="B206" s="28"/>
      <c r="C206" s="24"/>
      <c r="D206" s="24"/>
      <c r="E206" s="28"/>
      <c r="F206" s="28"/>
      <c r="G206" s="100"/>
      <c r="H206" s="100"/>
      <c r="I206" s="382"/>
      <c r="J206" s="382"/>
      <c r="K206" s="24"/>
      <c r="L206" s="36"/>
      <c r="M206" s="36"/>
      <c r="N206" s="24"/>
      <c r="O206" s="36"/>
      <c r="P206" s="36"/>
      <c r="Q206"/>
      <c r="R206"/>
      <c r="S206"/>
      <c r="T206"/>
      <c r="U206" s="24"/>
      <c r="AB206"/>
      <c r="AC206"/>
      <c r="AD206"/>
      <c r="AE206"/>
      <c r="AF206"/>
      <c r="AG206"/>
      <c r="AH206"/>
      <c r="AI206"/>
    </row>
    <row r="207" spans="1:35" s="33" customFormat="1">
      <c r="A207"/>
      <c r="B207" s="28"/>
      <c r="C207" s="24"/>
      <c r="D207" s="24"/>
      <c r="E207" s="28"/>
      <c r="F207" s="28"/>
      <c r="G207" s="100"/>
      <c r="H207" s="100"/>
      <c r="I207" s="382"/>
      <c r="J207" s="382"/>
      <c r="K207" s="24"/>
      <c r="L207" s="36"/>
      <c r="M207" s="36"/>
      <c r="N207" s="24"/>
      <c r="O207" s="36"/>
      <c r="P207" s="36"/>
      <c r="Q207"/>
      <c r="R207"/>
      <c r="S207"/>
      <c r="T207"/>
      <c r="U207" s="24"/>
      <c r="AB207"/>
      <c r="AC207"/>
      <c r="AD207"/>
      <c r="AE207"/>
      <c r="AF207"/>
      <c r="AG207"/>
      <c r="AH207"/>
      <c r="AI207"/>
    </row>
    <row r="208" spans="1:35" s="33" customFormat="1">
      <c r="A208"/>
      <c r="B208" s="28"/>
      <c r="C208" s="24"/>
      <c r="D208" s="24"/>
      <c r="E208" s="28"/>
      <c r="F208" s="28"/>
      <c r="G208" s="100"/>
      <c r="H208" s="100"/>
      <c r="I208" s="382"/>
      <c r="J208" s="382"/>
      <c r="K208" s="24"/>
      <c r="L208" s="36"/>
      <c r="M208" s="36"/>
      <c r="N208" s="24"/>
      <c r="O208" s="36"/>
      <c r="P208" s="36"/>
      <c r="Q208"/>
      <c r="R208"/>
      <c r="S208"/>
      <c r="T208"/>
      <c r="U208" s="24"/>
      <c r="AB208"/>
      <c r="AC208"/>
      <c r="AD208"/>
      <c r="AE208"/>
      <c r="AF208"/>
      <c r="AG208"/>
      <c r="AH208"/>
      <c r="AI208"/>
    </row>
    <row r="209" spans="17:21">
      <c r="Q209"/>
      <c r="R209"/>
      <c r="S209"/>
      <c r="T209"/>
    </row>
    <row r="210" spans="17:21">
      <c r="Q210"/>
      <c r="R210"/>
      <c r="S210"/>
      <c r="T210"/>
    </row>
    <row r="211" spans="17:21">
      <c r="Q211"/>
      <c r="R211"/>
      <c r="S211"/>
      <c r="T211"/>
    </row>
    <row r="212" spans="17:21">
      <c r="Q212"/>
      <c r="R212"/>
      <c r="S212"/>
      <c r="T212"/>
    </row>
    <row r="213" spans="17:21">
      <c r="Q213"/>
      <c r="R213"/>
      <c r="S213"/>
      <c r="T213"/>
    </row>
    <row r="214" spans="17:21">
      <c r="Q214"/>
      <c r="R214"/>
      <c r="S214"/>
      <c r="T214"/>
      <c r="U214"/>
    </row>
    <row r="215" spans="17:21">
      <c r="Q215"/>
      <c r="R215"/>
      <c r="S215"/>
      <c r="T215"/>
      <c r="U215"/>
    </row>
    <row r="216" spans="17:21">
      <c r="Q216"/>
      <c r="R216"/>
      <c r="S216"/>
      <c r="T216"/>
      <c r="U216"/>
    </row>
    <row r="217" spans="17:21">
      <c r="Q217"/>
      <c r="R217"/>
      <c r="S217"/>
      <c r="T217"/>
      <c r="U217"/>
    </row>
    <row r="218" spans="17:21">
      <c r="Q218"/>
      <c r="R218"/>
      <c r="S218"/>
      <c r="T218"/>
      <c r="U218"/>
    </row>
    <row r="219" spans="17:21">
      <c r="Q219"/>
      <c r="R219"/>
      <c r="S219"/>
      <c r="T219"/>
      <c r="U219"/>
    </row>
    <row r="220" spans="17:21">
      <c r="Q220"/>
      <c r="R220"/>
      <c r="S220"/>
      <c r="T220"/>
      <c r="U220"/>
    </row>
    <row r="221" spans="17:21">
      <c r="Q221"/>
      <c r="R221"/>
      <c r="S221"/>
      <c r="T221"/>
      <c r="U221"/>
    </row>
    <row r="222" spans="17:21">
      <c r="Q222"/>
      <c r="R222"/>
      <c r="S222"/>
      <c r="T222"/>
      <c r="U222"/>
    </row>
    <row r="223" spans="17:21">
      <c r="Q223"/>
      <c r="R223"/>
      <c r="S223"/>
      <c r="T223"/>
      <c r="U223"/>
    </row>
    <row r="224" spans="17:21">
      <c r="Q224"/>
      <c r="R224"/>
      <c r="S224"/>
      <c r="T224"/>
      <c r="U224"/>
    </row>
    <row r="225" spans="17:22">
      <c r="Q225"/>
      <c r="R225"/>
      <c r="S225"/>
      <c r="T225"/>
      <c r="U225"/>
    </row>
    <row r="226" spans="17:22">
      <c r="Q226"/>
      <c r="R226"/>
      <c r="S226"/>
      <c r="T226"/>
      <c r="U226"/>
    </row>
    <row r="227" spans="17:22">
      <c r="Q227"/>
      <c r="R227"/>
      <c r="S227"/>
      <c r="T227"/>
      <c r="U227"/>
    </row>
    <row r="228" spans="17:22">
      <c r="U228"/>
      <c r="V228" s="95"/>
    </row>
    <row r="229" spans="17:22">
      <c r="U229"/>
      <c r="V229" s="95"/>
    </row>
    <row r="230" spans="17:22">
      <c r="T230" s="35"/>
      <c r="U230"/>
      <c r="V230" s="95"/>
    </row>
    <row r="231" spans="17:22">
      <c r="T231" s="35"/>
      <c r="U231"/>
      <c r="V231" s="95"/>
    </row>
    <row r="232" spans="17:22">
      <c r="T232" s="35"/>
      <c r="U232"/>
      <c r="V232" s="95"/>
    </row>
    <row r="233" spans="17:22">
      <c r="T233" s="35"/>
      <c r="U233"/>
      <c r="V233" s="95"/>
    </row>
    <row r="234" spans="17:22">
      <c r="T234" s="35"/>
      <c r="U234"/>
      <c r="V234" s="95"/>
    </row>
    <row r="235" spans="17:22">
      <c r="T235" s="35"/>
      <c r="U235"/>
      <c r="V235" s="95"/>
    </row>
    <row r="236" spans="17:22">
      <c r="T236" s="35"/>
      <c r="U236"/>
    </row>
    <row r="237" spans="17:22">
      <c r="T237" s="35"/>
      <c r="U237"/>
    </row>
    <row r="238" spans="17:22">
      <c r="T238" s="35"/>
      <c r="U238"/>
    </row>
    <row r="239" spans="17:22">
      <c r="T239" s="35"/>
      <c r="U239"/>
    </row>
    <row r="240" spans="17:22">
      <c r="T240" s="35"/>
    </row>
    <row r="241" spans="20:20">
      <c r="T241" s="35">
        <f>SUM(Q170:Q181)</f>
        <v>320175299.17408836</v>
      </c>
    </row>
  </sheetData>
  <pageMargins left="0.38" right="0.22" top="0.49" bottom="0.74" header="0.5" footer="0.5"/>
  <pageSetup orientation="landscape"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255"/>
  <sheetViews>
    <sheetView workbookViewId="0">
      <pane xSplit="1" ySplit="2" topLeftCell="M3" activePane="bottomRight" state="frozen"/>
      <selection pane="topRight" activeCell="B1" sqref="B1"/>
      <selection pane="bottomLeft" activeCell="A3" sqref="A3"/>
      <selection pane="bottomRight" activeCell="O26" sqref="O26"/>
    </sheetView>
  </sheetViews>
  <sheetFormatPr defaultRowHeight="12.5"/>
  <cols>
    <col min="1" max="1" width="15.81640625" bestFit="1" customWidth="1"/>
    <col min="2" max="2" width="18" style="28" customWidth="1"/>
    <col min="3" max="3" width="11.81640625" style="24" customWidth="1"/>
    <col min="4" max="4" width="13.453125" style="24" customWidth="1"/>
    <col min="5" max="5" width="12.453125" style="24" customWidth="1"/>
    <col min="6" max="6" width="10.1796875" style="24" customWidth="1"/>
    <col min="7" max="8" width="12.453125" style="24" customWidth="1"/>
    <col min="9" max="9" width="14.81640625" style="24" hidden="1" customWidth="1"/>
    <col min="10" max="12" width="12.453125" style="24" hidden="1" customWidth="1"/>
    <col min="13" max="13" width="15.453125" style="1" bestFit="1" customWidth="1"/>
    <col min="14" max="14" width="17" style="1" customWidth="1"/>
    <col min="15" max="15" width="19" style="1" customWidth="1"/>
    <col min="16" max="16" width="25.81640625" bestFit="1" customWidth="1"/>
    <col min="17" max="19" width="18" customWidth="1"/>
    <col min="20" max="20" width="17.1796875" customWidth="1"/>
    <col min="21" max="22" width="15.81640625" customWidth="1"/>
    <col min="23" max="23" width="15" customWidth="1"/>
    <col min="24" max="25" width="14.1796875" bestFit="1" customWidth="1"/>
    <col min="26" max="27" width="11.81640625" bestFit="1" customWidth="1"/>
    <col min="28" max="28" width="12.54296875" customWidth="1"/>
    <col min="29" max="29" width="11.1796875" customWidth="1"/>
    <col min="30" max="30" width="11.54296875" customWidth="1"/>
    <col min="31" max="31" width="9.1796875" customWidth="1"/>
    <col min="33" max="33" width="11.81640625" bestFit="1" customWidth="1"/>
    <col min="34" max="34" width="10.81640625" bestFit="1" customWidth="1"/>
    <col min="36" max="36" width="9.1796875" style="6"/>
  </cols>
  <sheetData>
    <row r="1" spans="1:20">
      <c r="I1" s="108"/>
      <c r="J1" s="108" t="s">
        <v>91</v>
      </c>
      <c r="K1" s="108"/>
      <c r="L1" s="108"/>
    </row>
    <row r="2" spans="1:20" ht="37.5">
      <c r="B2" s="80" t="s">
        <v>68</v>
      </c>
      <c r="C2" s="81" t="s">
        <v>3</v>
      </c>
      <c r="D2" s="81" t="s">
        <v>4</v>
      </c>
      <c r="E2" s="81" t="str">
        <f>'Purchased Power Model '!I2</f>
        <v>Number of Days in Month</v>
      </c>
      <c r="F2" s="81" t="str">
        <f>'Purchased Power Model '!J2</f>
        <v>Spring Fall Flag</v>
      </c>
      <c r="G2" s="81" t="str">
        <f>'Purchased Power Model '!K2</f>
        <v>Trend</v>
      </c>
      <c r="H2" s="81" t="s">
        <v>60</v>
      </c>
      <c r="I2" s="81" t="str">
        <f>'Purchased Power Model '!L2</f>
        <v>Unemployment (x 1,000)</v>
      </c>
      <c r="J2" s="81" t="str">
        <f>'Purchased Power Model '!M2</f>
        <v>Ontario Real GDP Monthly %</v>
      </c>
      <c r="K2" s="81" t="str">
        <f>'Purchased Power Model '!O2</f>
        <v>Employment (x 1,000)</v>
      </c>
      <c r="L2" s="81" t="str">
        <f>'Purchased Power Model '!P2</f>
        <v>Population (x 1,000)</v>
      </c>
      <c r="M2" s="12" t="s">
        <v>111</v>
      </c>
      <c r="N2" s="12" t="s">
        <v>12</v>
      </c>
      <c r="O2" t="s">
        <v>120</v>
      </c>
    </row>
    <row r="3" spans="1:20" ht="13" thickBot="1">
      <c r="A3" s="3">
        <v>39448</v>
      </c>
      <c r="B3" s="28">
        <f>'[14]Data Input'!D77+'[16]PSP less Loss factor'!D86</f>
        <v>13605440.419988671</v>
      </c>
      <c r="C3" s="24">
        <f>'Purchased Power Model '!G3</f>
        <v>753.1</v>
      </c>
      <c r="D3" s="24">
        <f>'Purchased Power Model '!H3</f>
        <v>0</v>
      </c>
      <c r="E3" s="18">
        <f>'Purchased Power Model '!I3</f>
        <v>31</v>
      </c>
      <c r="F3" s="18">
        <f>'Purchased Power Model '!J3</f>
        <v>0</v>
      </c>
      <c r="G3" s="82">
        <f>'Purchased Power Model '!K3</f>
        <v>1</v>
      </c>
      <c r="H3" s="82">
        <f>'[14]Data Input'!F77+'[16]PSP less Loss factor'!E86</f>
        <v>10147</v>
      </c>
      <c r="I3" s="107">
        <f>'Purchased Power Model '!L3</f>
        <v>14.1</v>
      </c>
      <c r="J3" s="36">
        <f>'Purchased Power Model '!M3</f>
        <v>139.96642175819056</v>
      </c>
      <c r="K3" s="36">
        <f>'Purchased Power Model '!O3</f>
        <v>172.6</v>
      </c>
      <c r="L3" s="36">
        <f>'Purchased Power Model '!P3</f>
        <v>311.2</v>
      </c>
      <c r="M3" s="10">
        <f t="shared" ref="M3:M22" si="0">$P$18+C3*$P$19+D3*$P$20+E3*$P$21+F3*$P$22+G3*$P$23+H3*$P$24</f>
        <v>13485832.002690841</v>
      </c>
      <c r="N3" s="10"/>
      <c r="O3"/>
    </row>
    <row r="4" spans="1:20" ht="13">
      <c r="A4" s="3">
        <v>39479</v>
      </c>
      <c r="B4" s="28">
        <f>'[14]Data Input'!D78+'[16]PSP less Loss factor'!D87</f>
        <v>13022264.638012463</v>
      </c>
      <c r="C4" s="24">
        <f>'Purchased Power Model '!G4</f>
        <v>815.6</v>
      </c>
      <c r="D4" s="24">
        <f>'Purchased Power Model '!H4</f>
        <v>0</v>
      </c>
      <c r="E4" s="18">
        <f>'Purchased Power Model '!I4</f>
        <v>29</v>
      </c>
      <c r="F4" s="18">
        <f>'Purchased Power Model '!J4</f>
        <v>0</v>
      </c>
      <c r="G4" s="82">
        <f>'Purchased Power Model '!K4</f>
        <v>2</v>
      </c>
      <c r="H4" s="82">
        <f>'[14]Data Input'!F78+'[16]PSP less Loss factor'!E87</f>
        <v>10153</v>
      </c>
      <c r="I4" s="107">
        <f>'Purchased Power Model '!L4</f>
        <v>15.2</v>
      </c>
      <c r="J4" s="36">
        <f>'Purchased Power Model '!M4</f>
        <v>139.86101141442734</v>
      </c>
      <c r="K4" s="36">
        <f>'Purchased Power Model '!O4</f>
        <v>171.6</v>
      </c>
      <c r="L4" s="36">
        <f>'Purchased Power Model '!P4</f>
        <v>311.3</v>
      </c>
      <c r="M4" s="10">
        <f t="shared" si="0"/>
        <v>13583770.390265463</v>
      </c>
      <c r="N4" s="10"/>
      <c r="O4" s="112" t="s">
        <v>20</v>
      </c>
      <c r="P4" s="112"/>
      <c r="Q4" s="111"/>
      <c r="R4" s="111"/>
      <c r="S4" s="111"/>
      <c r="T4" s="111"/>
    </row>
    <row r="5" spans="1:20">
      <c r="A5" s="3">
        <v>39508</v>
      </c>
      <c r="B5" s="28">
        <f>'[14]Data Input'!D79+'[16]PSP less Loss factor'!D88</f>
        <v>12493514.118647264</v>
      </c>
      <c r="C5" s="24">
        <f>'Purchased Power Model '!G5</f>
        <v>760.5</v>
      </c>
      <c r="D5" s="24">
        <f>'Purchased Power Model '!H5</f>
        <v>0</v>
      </c>
      <c r="E5" s="18">
        <f>'Purchased Power Model '!I5</f>
        <v>31</v>
      </c>
      <c r="F5" s="18">
        <f>'Purchased Power Model '!J5</f>
        <v>1</v>
      </c>
      <c r="G5" s="82">
        <f>'Purchased Power Model '!K5</f>
        <v>3</v>
      </c>
      <c r="H5" s="82">
        <f>'[14]Data Input'!F79+'[16]PSP less Loss factor'!E88</f>
        <v>10156</v>
      </c>
      <c r="I5" s="107">
        <f>'Purchased Power Model '!L5</f>
        <v>17.3</v>
      </c>
      <c r="J5" s="36">
        <f>'Purchased Power Model '!M5</f>
        <v>139.75568045642274</v>
      </c>
      <c r="K5" s="36">
        <f>'Purchased Power Model '!O5</f>
        <v>170.6</v>
      </c>
      <c r="L5" s="36">
        <f>'Purchased Power Model '!P5</f>
        <v>311.39999999999998</v>
      </c>
      <c r="M5" s="10">
        <f t="shared" si="0"/>
        <v>12901713.909132795</v>
      </c>
      <c r="N5" s="10"/>
      <c r="O5" s="113" t="s">
        <v>21</v>
      </c>
      <c r="P5" s="91">
        <v>0.98384798020841646</v>
      </c>
      <c r="Q5" s="111"/>
      <c r="R5" s="111"/>
      <c r="S5" s="111"/>
      <c r="T5" s="111"/>
    </row>
    <row r="6" spans="1:20">
      <c r="A6" s="3">
        <v>39539</v>
      </c>
      <c r="B6" s="28">
        <f>'[14]Data Input'!D80+'[16]PSP less Loss factor'!D89</f>
        <v>8901202.2845267262</v>
      </c>
      <c r="C6" s="24">
        <f>'Purchased Power Model '!G6</f>
        <v>348.6</v>
      </c>
      <c r="D6" s="24">
        <f>'Purchased Power Model '!H6</f>
        <v>0</v>
      </c>
      <c r="E6" s="18">
        <f>'Purchased Power Model '!I6</f>
        <v>30</v>
      </c>
      <c r="F6" s="18">
        <f>'Purchased Power Model '!J6</f>
        <v>1</v>
      </c>
      <c r="G6" s="82">
        <f>'Purchased Power Model '!K6</f>
        <v>4</v>
      </c>
      <c r="H6" s="82">
        <f>'[14]Data Input'!F80+'[16]PSP less Loss factor'!E89</f>
        <v>10169</v>
      </c>
      <c r="I6" s="107">
        <f>'Purchased Power Model '!L6</f>
        <v>17.100000000000001</v>
      </c>
      <c r="J6" s="36">
        <f>'Purchased Power Model '!M6</f>
        <v>139.65042882439042</v>
      </c>
      <c r="K6" s="36">
        <f>'Purchased Power Model '!O6</f>
        <v>170.4</v>
      </c>
      <c r="L6" s="36">
        <f>'Purchased Power Model '!P6</f>
        <v>311.5</v>
      </c>
      <c r="M6" s="10">
        <f t="shared" si="0"/>
        <v>8783575.1450469363</v>
      </c>
      <c r="N6" s="10"/>
      <c r="O6" s="113" t="s">
        <v>22</v>
      </c>
      <c r="P6" s="91">
        <v>0.96795684816018068</v>
      </c>
      <c r="Q6" s="111"/>
      <c r="R6" s="111"/>
      <c r="S6" s="111"/>
      <c r="T6" s="111"/>
    </row>
    <row r="7" spans="1:20">
      <c r="A7" s="3">
        <v>39569</v>
      </c>
      <c r="B7" s="28">
        <f>'[14]Data Input'!D81+'[16]PSP less Loss factor'!D90</f>
        <v>7604314.4547515605</v>
      </c>
      <c r="C7" s="24">
        <f>'Purchased Power Model '!G7</f>
        <v>277.3</v>
      </c>
      <c r="D7" s="24">
        <f>'Purchased Power Model '!H7</f>
        <v>0</v>
      </c>
      <c r="E7" s="18">
        <f>'Purchased Power Model '!I7</f>
        <v>31</v>
      </c>
      <c r="F7" s="18">
        <f>'Purchased Power Model '!J7</f>
        <v>1</v>
      </c>
      <c r="G7" s="82">
        <f>'Purchased Power Model '!K7</f>
        <v>5</v>
      </c>
      <c r="H7" s="82">
        <f>'[14]Data Input'!F81+'[16]PSP less Loss factor'!E90</f>
        <v>10187</v>
      </c>
      <c r="I7" s="107">
        <f>'Purchased Power Model '!L7</f>
        <v>15.9</v>
      </c>
      <c r="J7" s="36">
        <f>'Purchased Power Model '!M7</f>
        <v>139.54525645858905</v>
      </c>
      <c r="K7" s="36">
        <f>'Purchased Power Model '!O7</f>
        <v>175.5</v>
      </c>
      <c r="L7" s="36">
        <f>'Purchased Power Model '!P7</f>
        <v>311.60000000000002</v>
      </c>
      <c r="M7" s="10">
        <f t="shared" si="0"/>
        <v>8357999.5432443628</v>
      </c>
      <c r="N7" s="10"/>
      <c r="O7" s="113" t="s">
        <v>23</v>
      </c>
      <c r="P7" s="91">
        <v>0.96655144676369742</v>
      </c>
      <c r="Q7" s="111"/>
      <c r="R7" s="111"/>
      <c r="S7" s="111"/>
      <c r="T7" s="111"/>
    </row>
    <row r="8" spans="1:20">
      <c r="A8" s="3">
        <v>39600</v>
      </c>
      <c r="B8" s="28">
        <f>'[14]Data Input'!D82+'[16]PSP less Loss factor'!D91</f>
        <v>6629364.1638012454</v>
      </c>
      <c r="C8" s="24">
        <f>'Purchased Power Model '!G8</f>
        <v>48.4</v>
      </c>
      <c r="D8" s="24">
        <f>'Purchased Power Model '!H8</f>
        <v>36.4</v>
      </c>
      <c r="E8" s="18">
        <f>'Purchased Power Model '!I8</f>
        <v>30</v>
      </c>
      <c r="F8" s="18">
        <f>'Purchased Power Model '!J8</f>
        <v>0</v>
      </c>
      <c r="G8" s="82">
        <f>'Purchased Power Model '!K8</f>
        <v>6</v>
      </c>
      <c r="H8" s="82">
        <f>'[14]Data Input'!F82+'[16]PSP less Loss factor'!E91</f>
        <v>10194</v>
      </c>
      <c r="I8" s="107">
        <f>'Purchased Power Model '!L8</f>
        <v>13.4</v>
      </c>
      <c r="J8" s="36">
        <f>'Purchased Power Model '!M8</f>
        <v>139.44016329932234</v>
      </c>
      <c r="K8" s="36">
        <f>'Purchased Power Model '!O8</f>
        <v>184.4</v>
      </c>
      <c r="L8" s="36">
        <f>'Purchased Power Model '!P8</f>
        <v>311.8</v>
      </c>
      <c r="M8" s="10">
        <f t="shared" si="0"/>
        <v>7136712.2255363232</v>
      </c>
      <c r="N8" s="10"/>
      <c r="O8" s="113" t="s">
        <v>24</v>
      </c>
      <c r="P8" s="118">
        <v>481182.92906579119</v>
      </c>
      <c r="Q8" s="111"/>
      <c r="R8" s="111"/>
      <c r="S8" s="111"/>
      <c r="T8" s="111"/>
    </row>
    <row r="9" spans="1:20" ht="13" thickBot="1">
      <c r="A9" s="3">
        <v>39630</v>
      </c>
      <c r="B9" s="28">
        <f>'[14]Data Input'!D83+'[16]PSP less Loss factor'!D92</f>
        <v>6837872.0882297372</v>
      </c>
      <c r="C9" s="24">
        <f>'Purchased Power Model '!G9</f>
        <v>13.9</v>
      </c>
      <c r="D9" s="24">
        <f>'Purchased Power Model '!H9</f>
        <v>54.1</v>
      </c>
      <c r="E9" s="18">
        <f>'Purchased Power Model '!I9</f>
        <v>31</v>
      </c>
      <c r="F9" s="18">
        <f>'Purchased Power Model '!J9</f>
        <v>0</v>
      </c>
      <c r="G9" s="82">
        <f>'Purchased Power Model '!K9</f>
        <v>7</v>
      </c>
      <c r="H9" s="82">
        <f>'[14]Data Input'!F83+'[16]PSP less Loss factor'!E92</f>
        <v>10217</v>
      </c>
      <c r="I9" s="107">
        <f>'Purchased Power Model '!L9</f>
        <v>11.1</v>
      </c>
      <c r="J9" s="36">
        <f>'Purchased Power Model '!M9</f>
        <v>139.3351492869389</v>
      </c>
      <c r="K9" s="36">
        <f>'Purchased Power Model '!O9</f>
        <v>190.4</v>
      </c>
      <c r="L9" s="36">
        <f>'Purchased Power Model '!P9</f>
        <v>312</v>
      </c>
      <c r="M9" s="10">
        <f t="shared" si="0"/>
        <v>7311171.7666767351</v>
      </c>
      <c r="N9" s="10"/>
      <c r="O9" s="114" t="s">
        <v>25</v>
      </c>
      <c r="P9" s="114">
        <v>120</v>
      </c>
      <c r="Q9" s="111"/>
      <c r="R9" s="111"/>
      <c r="S9" s="111"/>
      <c r="T9" s="111"/>
    </row>
    <row r="10" spans="1:20">
      <c r="A10" s="3">
        <v>39661</v>
      </c>
      <c r="B10" s="28">
        <f>'[14]Data Input'!D84+'[16]PSP less Loss factor'!D93</f>
        <v>6730231.8785188012</v>
      </c>
      <c r="C10" s="24">
        <f>'Purchased Power Model '!G10</f>
        <v>39.4</v>
      </c>
      <c r="D10" s="24">
        <f>'Purchased Power Model '!H10</f>
        <v>26</v>
      </c>
      <c r="E10" s="18">
        <f>'Purchased Power Model '!I10</f>
        <v>31</v>
      </c>
      <c r="F10" s="18">
        <f>'Purchased Power Model '!J10</f>
        <v>0</v>
      </c>
      <c r="G10" s="82">
        <f>'Purchased Power Model '!K10</f>
        <v>8</v>
      </c>
      <c r="H10" s="82">
        <f>'[14]Data Input'!F84+'[16]PSP less Loss factor'!E93</f>
        <v>10270</v>
      </c>
      <c r="I10" s="107">
        <f>'Purchased Power Model '!L10</f>
        <v>11.2</v>
      </c>
      <c r="J10" s="36">
        <f>'Purchased Power Model '!M10</f>
        <v>139.23021436183228</v>
      </c>
      <c r="K10" s="36">
        <f>'Purchased Power Model '!O10</f>
        <v>190.6</v>
      </c>
      <c r="L10" s="36">
        <f>'Purchased Power Model '!P10</f>
        <v>312.2</v>
      </c>
      <c r="M10" s="10">
        <f t="shared" si="0"/>
        <v>7147728.9363729963</v>
      </c>
      <c r="N10" s="10"/>
      <c r="O10" s="111"/>
      <c r="P10" s="111"/>
      <c r="Q10" s="111"/>
      <c r="R10" s="111"/>
      <c r="S10" s="111"/>
      <c r="T10" s="111"/>
    </row>
    <row r="11" spans="1:20" ht="13" thickBot="1">
      <c r="A11" s="3">
        <v>39692</v>
      </c>
      <c r="B11" s="28">
        <f>'[14]Data Input'!D85+'[16]PSP less Loss factor'!D94</f>
        <v>6653557.1668241071</v>
      </c>
      <c r="C11" s="24">
        <f>'Purchased Power Model '!G11</f>
        <v>132.69999999999999</v>
      </c>
      <c r="D11" s="24">
        <f>'Purchased Power Model '!H11</f>
        <v>5.0999999999999996</v>
      </c>
      <c r="E11" s="18">
        <f>'Purchased Power Model '!I11</f>
        <v>30</v>
      </c>
      <c r="F11" s="18">
        <f>'Purchased Power Model '!J11</f>
        <v>1</v>
      </c>
      <c r="G11" s="82">
        <f>'Purchased Power Model '!K11</f>
        <v>9</v>
      </c>
      <c r="H11" s="82">
        <f>'[14]Data Input'!F85+'[16]PSP less Loss factor'!E94</f>
        <v>10282</v>
      </c>
      <c r="I11" s="107">
        <f>'Purchased Power Model '!L11</f>
        <v>9.6999999999999993</v>
      </c>
      <c r="J11" s="36">
        <f>'Purchased Power Model '!M11</f>
        <v>139.12535846444095</v>
      </c>
      <c r="K11" s="36">
        <f>'Purchased Power Model '!O11</f>
        <v>188.3</v>
      </c>
      <c r="L11" s="36">
        <f>'Purchased Power Model '!P11</f>
        <v>312.3</v>
      </c>
      <c r="M11" s="10">
        <f t="shared" si="0"/>
        <v>6826565.7686150074</v>
      </c>
      <c r="N11" s="10"/>
      <c r="O11" s="111" t="s">
        <v>26</v>
      </c>
      <c r="P11" s="111"/>
      <c r="Q11" s="111"/>
      <c r="R11" s="111"/>
      <c r="S11" s="111"/>
      <c r="T11" s="111"/>
    </row>
    <row r="12" spans="1:20" ht="13">
      <c r="A12" s="3">
        <v>39722</v>
      </c>
      <c r="B12" s="28">
        <f>'[14]Data Input'!D86+'[16]PSP less Loss factor'!D95</f>
        <v>8357292.8921216708</v>
      </c>
      <c r="C12" s="24">
        <f>'Purchased Power Model '!G12</f>
        <v>372.5</v>
      </c>
      <c r="D12" s="24">
        <f>'Purchased Power Model '!H12</f>
        <v>0</v>
      </c>
      <c r="E12" s="18">
        <f>'Purchased Power Model '!I12</f>
        <v>31</v>
      </c>
      <c r="F12" s="18">
        <f>'Purchased Power Model '!J12</f>
        <v>1</v>
      </c>
      <c r="G12" s="82">
        <f>'Purchased Power Model '!K12</f>
        <v>10</v>
      </c>
      <c r="H12" s="82">
        <f>'[14]Data Input'!F86+'[16]PSP less Loss factor'!E95</f>
        <v>10319</v>
      </c>
      <c r="I12" s="107">
        <f>'Purchased Power Model '!L12</f>
        <v>10.199999999999999</v>
      </c>
      <c r="J12" s="36">
        <f>'Purchased Power Model '!M12</f>
        <v>139.02058153524823</v>
      </c>
      <c r="K12" s="36">
        <f>'Purchased Power Model '!O12</f>
        <v>187.3</v>
      </c>
      <c r="L12" s="36">
        <f>'Purchased Power Model '!P12</f>
        <v>312.39999999999998</v>
      </c>
      <c r="M12" s="10">
        <f t="shared" si="0"/>
        <v>9253197.7305672187</v>
      </c>
      <c r="N12" s="10"/>
      <c r="O12" s="115"/>
      <c r="P12" s="115" t="s">
        <v>30</v>
      </c>
      <c r="Q12" s="115" t="s">
        <v>31</v>
      </c>
      <c r="R12" s="115" t="s">
        <v>32</v>
      </c>
      <c r="S12" s="115" t="s">
        <v>33</v>
      </c>
      <c r="T12" s="115" t="s">
        <v>34</v>
      </c>
    </row>
    <row r="13" spans="1:20">
      <c r="A13" s="3">
        <v>39753</v>
      </c>
      <c r="B13" s="28">
        <f>'[14]Data Input'!D87+'[16]PSP less Loss factor'!D96</f>
        <v>10737944.188928772</v>
      </c>
      <c r="C13" s="24">
        <f>'Purchased Power Model '!G13</f>
        <v>555.9</v>
      </c>
      <c r="D13" s="24">
        <f>'Purchased Power Model '!H13</f>
        <v>0</v>
      </c>
      <c r="E13" s="18">
        <f>'Purchased Power Model '!I13</f>
        <v>30</v>
      </c>
      <c r="F13" s="18">
        <f>'Purchased Power Model '!J13</f>
        <v>1</v>
      </c>
      <c r="G13" s="82">
        <f>'Purchased Power Model '!K13</f>
        <v>11</v>
      </c>
      <c r="H13" s="82">
        <f>'[14]Data Input'!F87+'[16]PSP less Loss factor'!E96</f>
        <v>10337</v>
      </c>
      <c r="I13" s="107">
        <f>'Purchased Power Model '!L13</f>
        <v>9.4</v>
      </c>
      <c r="J13" s="36">
        <f>'Purchased Power Model '!M13</f>
        <v>138.91588351478222</v>
      </c>
      <c r="K13" s="36">
        <f>'Purchased Power Model '!O13</f>
        <v>183.5</v>
      </c>
      <c r="L13" s="36">
        <f>'Purchased Power Model '!P13</f>
        <v>312.5</v>
      </c>
      <c r="M13" s="10">
        <f t="shared" si="0"/>
        <v>10732890.754347196</v>
      </c>
      <c r="N13" s="10"/>
      <c r="O13" s="113" t="s">
        <v>27</v>
      </c>
      <c r="P13" s="113">
        <v>5</v>
      </c>
      <c r="Q13" s="113">
        <v>797344574218935.12</v>
      </c>
      <c r="R13" s="113">
        <v>159468914843787.03</v>
      </c>
      <c r="S13" s="113">
        <v>688.74049120932523</v>
      </c>
      <c r="T13" s="113">
        <v>2.1397420998655013E-83</v>
      </c>
    </row>
    <row r="14" spans="1:20">
      <c r="A14" s="3">
        <v>39783</v>
      </c>
      <c r="B14" s="28">
        <f>'[14]Data Input'!D88+'[16]PSP less Loss factor'!D97</f>
        <v>14025928.424522959</v>
      </c>
      <c r="C14" s="24">
        <f>'Purchased Power Model '!G14</f>
        <v>782.6</v>
      </c>
      <c r="D14" s="24">
        <f>'Purchased Power Model '!H14</f>
        <v>0</v>
      </c>
      <c r="E14" s="18">
        <f>'Purchased Power Model '!I14</f>
        <v>31</v>
      </c>
      <c r="F14" s="18">
        <f>'Purchased Power Model '!J14</f>
        <v>0</v>
      </c>
      <c r="G14" s="82">
        <f>'Purchased Power Model '!K14</f>
        <v>12</v>
      </c>
      <c r="H14" s="82">
        <f>'[14]Data Input'!F88+'[16]PSP less Loss factor'!E97</f>
        <v>10359</v>
      </c>
      <c r="I14" s="107">
        <f>'Purchased Power Model '!L14</f>
        <v>10.1</v>
      </c>
      <c r="J14" s="36">
        <f>'Purchased Power Model '!M14</f>
        <v>138.8112643436159</v>
      </c>
      <c r="K14" s="36">
        <f>'Purchased Power Model '!O14</f>
        <v>177.7</v>
      </c>
      <c r="L14" s="36">
        <f>'Purchased Power Model '!P14</f>
        <v>312.60000000000002</v>
      </c>
      <c r="M14" s="10">
        <f t="shared" si="0"/>
        <v>13763223.91618097</v>
      </c>
      <c r="N14" s="10"/>
      <c r="O14" s="113" t="s">
        <v>28</v>
      </c>
      <c r="P14" s="113">
        <v>114</v>
      </c>
      <c r="Q14" s="113">
        <v>26395219279574.105</v>
      </c>
      <c r="R14" s="113">
        <v>231537011224.33426</v>
      </c>
      <c r="S14" s="113"/>
      <c r="T14" s="113"/>
    </row>
    <row r="15" spans="1:20" ht="13" thickBot="1">
      <c r="A15" s="3">
        <v>39814</v>
      </c>
      <c r="B15" s="28">
        <f>'[14]Data Input'!D89+'[16]PSP less Loss factor'!D98</f>
        <v>15264824.144152649</v>
      </c>
      <c r="C15" s="24">
        <f>'Purchased Power Model '!G15</f>
        <v>995.4</v>
      </c>
      <c r="D15" s="24">
        <f>'Purchased Power Model '!H15</f>
        <v>0</v>
      </c>
      <c r="E15" s="18">
        <f>'Purchased Power Model '!I15</f>
        <v>31</v>
      </c>
      <c r="F15" s="18">
        <f>'Purchased Power Model '!J15</f>
        <v>0</v>
      </c>
      <c r="G15" s="82">
        <f>'Purchased Power Model '!K15</f>
        <v>13</v>
      </c>
      <c r="H15" s="82">
        <f>'[14]Data Input'!F89+'[16]PSP less Loss factor'!E98</f>
        <v>10356</v>
      </c>
      <c r="I15" s="107">
        <f>'Purchased Power Model '!L15</f>
        <v>10.9</v>
      </c>
      <c r="J15" s="36">
        <f>'Purchased Power Model '!M15</f>
        <v>138.43555825854429</v>
      </c>
      <c r="K15" s="36">
        <f>'Purchased Power Model '!O15</f>
        <v>169.7</v>
      </c>
      <c r="L15" s="36">
        <f>'Purchased Power Model '!P15</f>
        <v>312.60000000000002</v>
      </c>
      <c r="M15" s="10">
        <f t="shared" si="0"/>
        <v>15764262.356294431</v>
      </c>
      <c r="N15" s="10"/>
      <c r="O15" s="114" t="s">
        <v>10</v>
      </c>
      <c r="P15" s="114">
        <v>119</v>
      </c>
      <c r="Q15" s="114">
        <v>823739793498509.25</v>
      </c>
      <c r="R15" s="114"/>
      <c r="S15" s="114"/>
      <c r="T15" s="114"/>
    </row>
    <row r="16" spans="1:20" ht="13" thickBot="1">
      <c r="A16" s="3">
        <v>39845</v>
      </c>
      <c r="B16" s="28">
        <f>'[14]Data Input'!D90+'[16]PSP less Loss factor'!D99</f>
        <v>12580375.926884562</v>
      </c>
      <c r="C16" s="24">
        <f>'Purchased Power Model '!G16</f>
        <v>723.7</v>
      </c>
      <c r="D16" s="24">
        <f>'Purchased Power Model '!H16</f>
        <v>0</v>
      </c>
      <c r="E16" s="18">
        <f>'Purchased Power Model '!I16</f>
        <v>28</v>
      </c>
      <c r="F16" s="18">
        <f>'Purchased Power Model '!J16</f>
        <v>0</v>
      </c>
      <c r="G16" s="82">
        <f>'Purchased Power Model '!K16</f>
        <v>14</v>
      </c>
      <c r="H16" s="82">
        <f>'[14]Data Input'!F90+'[16]PSP less Loss factor'!E99</f>
        <v>10351</v>
      </c>
      <c r="I16" s="107">
        <f>'Purchased Power Model '!L16</f>
        <v>12.4</v>
      </c>
      <c r="J16" s="36">
        <f>'Purchased Power Model '!M16</f>
        <v>138.06086905825526</v>
      </c>
      <c r="K16" s="36">
        <f>'Purchased Power Model '!O16</f>
        <v>167.8</v>
      </c>
      <c r="L16" s="36">
        <f>'Purchased Power Model '!P16</f>
        <v>312.60000000000002</v>
      </c>
      <c r="M16" s="10">
        <f t="shared" si="0"/>
        <v>12474705.270519767</v>
      </c>
      <c r="N16" s="10"/>
      <c r="O16" s="111"/>
      <c r="P16" s="111"/>
      <c r="Q16" s="111"/>
      <c r="R16" s="111"/>
      <c r="S16" s="111"/>
      <c r="T16" s="111"/>
    </row>
    <row r="17" spans="1:21" ht="13">
      <c r="A17" s="3">
        <v>39873</v>
      </c>
      <c r="B17" s="28">
        <f>'[14]Data Input'!D91+'[16]PSP less Loss factor'!D100</f>
        <v>11839110.064613644</v>
      </c>
      <c r="C17" s="24">
        <f>'Purchased Power Model '!G17</f>
        <v>652.29999999999995</v>
      </c>
      <c r="D17" s="24">
        <f>'Purchased Power Model '!H17</f>
        <v>0</v>
      </c>
      <c r="E17" s="18">
        <f>'Purchased Power Model '!I17</f>
        <v>31</v>
      </c>
      <c r="F17" s="18">
        <f>'Purchased Power Model '!J17</f>
        <v>1</v>
      </c>
      <c r="G17" s="82">
        <f>'Purchased Power Model '!K17</f>
        <v>15</v>
      </c>
      <c r="H17" s="82">
        <f>'[14]Data Input'!F91+'[16]PSP less Loss factor'!E100</f>
        <v>10359</v>
      </c>
      <c r="I17" s="107">
        <f>'Purchased Power Model '!L17</f>
        <v>15.6</v>
      </c>
      <c r="J17" s="36">
        <f>'Purchased Power Model '!M17</f>
        <v>137.68719399045199</v>
      </c>
      <c r="K17" s="36">
        <f>'Purchased Power Model '!O17</f>
        <v>165.6</v>
      </c>
      <c r="L17" s="36">
        <f>'Purchased Power Model '!P17</f>
        <v>312.7</v>
      </c>
      <c r="M17" s="10">
        <f t="shared" si="0"/>
        <v>11884259.764757255</v>
      </c>
      <c r="N17" s="10"/>
      <c r="O17" s="115"/>
      <c r="P17" s="115" t="s">
        <v>35</v>
      </c>
      <c r="Q17" s="115" t="s">
        <v>24</v>
      </c>
      <c r="R17" s="115" t="s">
        <v>36</v>
      </c>
      <c r="S17" s="115" t="s">
        <v>37</v>
      </c>
      <c r="T17" s="115" t="s">
        <v>38</v>
      </c>
      <c r="U17" s="115" t="s">
        <v>39</v>
      </c>
    </row>
    <row r="18" spans="1:21">
      <c r="A18" s="3">
        <v>39904</v>
      </c>
      <c r="B18" s="28">
        <f>'[14]Data Input'!D92+'[16]PSP less Loss factor'!D101</f>
        <v>9140415.3754014689</v>
      </c>
      <c r="C18" s="24">
        <f>'Purchased Power Model '!G18</f>
        <v>379.9</v>
      </c>
      <c r="D18" s="24">
        <f>'Purchased Power Model '!H18</f>
        <v>0</v>
      </c>
      <c r="E18" s="18">
        <f>'Purchased Power Model '!I18</f>
        <v>30</v>
      </c>
      <c r="F18" s="18">
        <f>'Purchased Power Model '!J18</f>
        <v>1</v>
      </c>
      <c r="G18" s="82">
        <f>'Purchased Power Model '!K18</f>
        <v>16</v>
      </c>
      <c r="H18" s="82">
        <f>'[14]Data Input'!F92+'[16]PSP less Loss factor'!E101</f>
        <v>10354</v>
      </c>
      <c r="I18" s="107">
        <f>'Purchased Power Model '!L18</f>
        <v>17.899999999999999</v>
      </c>
      <c r="J18" s="36">
        <f>'Purchased Power Model '!M18</f>
        <v>137.31453031028698</v>
      </c>
      <c r="K18" s="36">
        <f>'Purchased Power Model '!O18</f>
        <v>165.9</v>
      </c>
      <c r="L18" s="36">
        <f>'Purchased Power Model '!P18</f>
        <v>312.7</v>
      </c>
      <c r="M18" s="10">
        <f t="shared" si="0"/>
        <v>9077892.4342465438</v>
      </c>
      <c r="N18" s="10"/>
      <c r="O18" s="113" t="s">
        <v>29</v>
      </c>
      <c r="P18" s="63">
        <v>-1187320.2290671945</v>
      </c>
      <c r="Q18" s="63">
        <v>1717772.1205879571</v>
      </c>
      <c r="R18" s="61">
        <v>-0.69119775250561166</v>
      </c>
      <c r="S18" s="113">
        <v>0.49084640936675716</v>
      </c>
      <c r="T18" s="63">
        <v>-4590213.5696295975</v>
      </c>
      <c r="U18" s="63">
        <v>2215573.111495208</v>
      </c>
    </row>
    <row r="19" spans="1:21">
      <c r="A19" s="3">
        <v>39934</v>
      </c>
      <c r="B19" s="28">
        <f>'[14]Data Input'!D93+'[16]PSP less Loss factor'!D102</f>
        <v>7468939.7513697287</v>
      </c>
      <c r="C19" s="24">
        <f>'Purchased Power Model '!G19</f>
        <v>231</v>
      </c>
      <c r="D19" s="24">
        <f>'Purchased Power Model '!H19</f>
        <v>0</v>
      </c>
      <c r="E19" s="18">
        <f>'Purchased Power Model '!I19</f>
        <v>31</v>
      </c>
      <c r="F19" s="18">
        <f>'Purchased Power Model '!J19</f>
        <v>1</v>
      </c>
      <c r="G19" s="82">
        <f>'Purchased Power Model '!K19</f>
        <v>17</v>
      </c>
      <c r="H19" s="82">
        <f>'[14]Data Input'!F93+'[16]PSP less Loss factor'!E102</f>
        <v>10368</v>
      </c>
      <c r="I19" s="107">
        <f>'Purchased Power Model '!L19</f>
        <v>18.100000000000001</v>
      </c>
      <c r="J19" s="36">
        <f>'Purchased Power Model '!M19</f>
        <v>136.94287528034204</v>
      </c>
      <c r="K19" s="36">
        <f>'Purchased Power Model '!O19</f>
        <v>168.3</v>
      </c>
      <c r="L19" s="36">
        <f>'Purchased Power Model '!P19</f>
        <v>312.8</v>
      </c>
      <c r="M19" s="10">
        <f t="shared" si="0"/>
        <v>7922614.5869570067</v>
      </c>
      <c r="N19" s="10"/>
      <c r="O19" s="113" t="s">
        <v>3</v>
      </c>
      <c r="P19" s="63">
        <v>9403.3794521515811</v>
      </c>
      <c r="Q19" s="63">
        <v>221.55846297758544</v>
      </c>
      <c r="R19" s="61">
        <v>42.441978183893156</v>
      </c>
      <c r="S19" s="113">
        <v>1.1000799330584018E-71</v>
      </c>
      <c r="T19" s="63">
        <v>8964.473843441614</v>
      </c>
      <c r="U19" s="63">
        <v>9842.2850608615481</v>
      </c>
    </row>
    <row r="20" spans="1:21">
      <c r="A20" s="3">
        <v>39965</v>
      </c>
      <c r="B20" s="28">
        <f>'[14]Data Input'!D94+'[16]PSP less Loss factor'!D103</f>
        <v>6673515.7795201167</v>
      </c>
      <c r="C20" s="24">
        <f>'Purchased Power Model '!G20</f>
        <v>105.4</v>
      </c>
      <c r="D20" s="24">
        <f>'Purchased Power Model '!H20</f>
        <v>19.100000000000001</v>
      </c>
      <c r="E20" s="18">
        <f>'Purchased Power Model '!I20</f>
        <v>30</v>
      </c>
      <c r="F20" s="18">
        <f>'Purchased Power Model '!J20</f>
        <v>0</v>
      </c>
      <c r="G20" s="82">
        <f>'Purchased Power Model '!K20</f>
        <v>18</v>
      </c>
      <c r="H20" s="82">
        <f>'[14]Data Input'!F94+'[16]PSP less Loss factor'!E103</f>
        <v>10384</v>
      </c>
      <c r="I20" s="107">
        <f>'Purchased Power Model '!L20</f>
        <v>15.8</v>
      </c>
      <c r="J20" s="36">
        <f>'Purchased Power Model '!M20</f>
        <v>136.57222617060793</v>
      </c>
      <c r="K20" s="36">
        <f>'Purchased Power Model '!O20</f>
        <v>173.4</v>
      </c>
      <c r="L20" s="36">
        <f>'Purchased Power Model '!P20</f>
        <v>312.89999999999998</v>
      </c>
      <c r="M20" s="10">
        <f t="shared" si="0"/>
        <v>7424445.4921649331</v>
      </c>
      <c r="N20" s="10"/>
      <c r="O20" s="113" t="s">
        <v>4</v>
      </c>
      <c r="P20" s="63">
        <v>14349.761531288575</v>
      </c>
      <c r="Q20" s="63">
        <v>3383.774366911533</v>
      </c>
      <c r="R20" s="61">
        <v>4.2407560242812554</v>
      </c>
      <c r="S20" s="113">
        <v>4.5503458371889335E-5</v>
      </c>
      <c r="T20" s="63">
        <v>7646.5305723486881</v>
      </c>
      <c r="U20" s="63">
        <v>21052.992490228462</v>
      </c>
    </row>
    <row r="21" spans="1:21">
      <c r="A21" s="3">
        <v>39995</v>
      </c>
      <c r="B21" s="28">
        <f>'[14]Data Input'!D95+'[16]PSP less Loss factor'!D104</f>
        <v>6731989.3132439042</v>
      </c>
      <c r="C21" s="24">
        <f>'Purchased Power Model '!G21</f>
        <v>38.6</v>
      </c>
      <c r="D21" s="24">
        <f>'Purchased Power Model '!H21</f>
        <v>10.3</v>
      </c>
      <c r="E21" s="18">
        <f>'Purchased Power Model '!I21</f>
        <v>31</v>
      </c>
      <c r="F21" s="18">
        <f>'Purchased Power Model '!J21</f>
        <v>0</v>
      </c>
      <c r="G21" s="82">
        <f>'Purchased Power Model '!K21</f>
        <v>19</v>
      </c>
      <c r="H21" s="82">
        <f>'[14]Data Input'!F95+'[16]PSP less Loss factor'!E104</f>
        <v>10416</v>
      </c>
      <c r="I21" s="107">
        <f>'Purchased Power Model '!L21</f>
        <v>13.2</v>
      </c>
      <c r="J21" s="36">
        <f>'Purchased Power Model '!M21</f>
        <v>136.20258025846454</v>
      </c>
      <c r="K21" s="36">
        <f>'Purchased Power Model '!O21</f>
        <v>176.8</v>
      </c>
      <c r="L21" s="36">
        <f>'Purchased Power Model '!P21</f>
        <v>313.10000000000002</v>
      </c>
      <c r="M21" s="10">
        <f t="shared" si="0"/>
        <v>6914907.1964217015</v>
      </c>
      <c r="N21" s="10"/>
      <c r="O21" s="113" t="s">
        <v>5</v>
      </c>
      <c r="P21" s="63">
        <v>244886.0604402282</v>
      </c>
      <c r="Q21" s="63">
        <v>56583.62684453644</v>
      </c>
      <c r="R21" s="61">
        <v>4.3278607981961432</v>
      </c>
      <c r="S21" s="113">
        <v>3.2479400110949633E-5</v>
      </c>
      <c r="T21" s="63">
        <v>132794.33146966144</v>
      </c>
      <c r="U21" s="63">
        <v>356977.78941079497</v>
      </c>
    </row>
    <row r="22" spans="1:21">
      <c r="A22" s="3">
        <v>40026</v>
      </c>
      <c r="B22" s="28">
        <f>'[14]Data Input'!D96+'[16]PSP less Loss factor'!D105</f>
        <v>6887907.6920461031</v>
      </c>
      <c r="C22" s="24">
        <f>'Purchased Power Model '!G22</f>
        <v>56.9</v>
      </c>
      <c r="D22" s="24">
        <f>'Purchased Power Model '!H22</f>
        <v>39.799999999999997</v>
      </c>
      <c r="E22" s="18">
        <f>'Purchased Power Model '!I22</f>
        <v>31</v>
      </c>
      <c r="F22" s="18">
        <f>'Purchased Power Model '!J22</f>
        <v>0</v>
      </c>
      <c r="G22" s="82">
        <f>'Purchased Power Model '!K22</f>
        <v>20</v>
      </c>
      <c r="H22" s="82">
        <f>'[14]Data Input'!F96+'[16]PSP less Loss factor'!E105</f>
        <v>10413</v>
      </c>
      <c r="I22" s="107">
        <f>'Purchased Power Model '!L22</f>
        <v>12.9</v>
      </c>
      <c r="J22" s="36">
        <f>'Purchased Power Model '!M22</f>
        <v>135.83393482866074</v>
      </c>
      <c r="K22" s="36">
        <f>'Purchased Power Model '!O22</f>
        <v>175.1</v>
      </c>
      <c r="L22" s="36">
        <f>'Purchased Power Model '!P22</f>
        <v>313.3</v>
      </c>
      <c r="M22" s="10">
        <f t="shared" si="0"/>
        <v>7510306.2982646935</v>
      </c>
      <c r="N22" s="10"/>
      <c r="O22" s="113" t="s">
        <v>19</v>
      </c>
      <c r="P22" s="63">
        <v>-653701.68689517677</v>
      </c>
      <c r="Q22" s="63">
        <v>106524.56893898651</v>
      </c>
      <c r="R22" s="61">
        <v>-6.1366283234583552</v>
      </c>
      <c r="S22" s="113">
        <v>1.2547914020764328E-8</v>
      </c>
      <c r="T22" s="63">
        <v>-864726.03750850749</v>
      </c>
      <c r="U22" s="63">
        <v>-442677.33628184599</v>
      </c>
    </row>
    <row r="23" spans="1:21" ht="13" thickBot="1">
      <c r="A23" s="3">
        <v>40057</v>
      </c>
      <c r="B23" s="28">
        <f>'[14]Data Input'!D97+'[16]PSP less Loss factor'!D106</f>
        <v>6718972.6739089331</v>
      </c>
      <c r="C23" s="24">
        <f>'Purchased Power Model '!G23</f>
        <v>115.6</v>
      </c>
      <c r="D23" s="24">
        <f>'Purchased Power Model '!H23</f>
        <v>2.7</v>
      </c>
      <c r="E23" s="18">
        <f>'Purchased Power Model '!I23</f>
        <v>30</v>
      </c>
      <c r="F23" s="18">
        <f>'Purchased Power Model '!J23</f>
        <v>1</v>
      </c>
      <c r="G23" s="82">
        <f>'Purchased Power Model '!K23</f>
        <v>21</v>
      </c>
      <c r="H23" s="82">
        <f>'[14]Data Input'!F97+'[16]PSP less Loss factor'!E106</f>
        <v>10442</v>
      </c>
      <c r="I23" s="107">
        <f>'Purchased Power Model '!L23</f>
        <v>12.9</v>
      </c>
      <c r="J23" s="36">
        <f>'Purchased Power Model '!M23</f>
        <v>135.46628717329455</v>
      </c>
      <c r="K23" s="36">
        <f>'Purchased Power Model '!O23</f>
        <v>172.6</v>
      </c>
      <c r="L23" s="36">
        <f>'Purchased Power Model '!P23</f>
        <v>313.5</v>
      </c>
      <c r="M23" s="10">
        <f t="shared" ref="M23:M54" si="1">$P$18+C23*$P$19+D23*$P$20+E23*$P$21+F23*$P$22+G23*$P$23+H23*$P$24</f>
        <v>6631320.0646553859</v>
      </c>
      <c r="N23" s="10"/>
      <c r="O23" s="114" t="s">
        <v>70</v>
      </c>
      <c r="P23" s="79">
        <v>-0.70730439481986496</v>
      </c>
      <c r="Q23" s="79">
        <v>0.12440436004100711</v>
      </c>
      <c r="R23" s="62">
        <v>-5.685527376907995</v>
      </c>
      <c r="S23" s="114">
        <v>1.0196890113031519E-7</v>
      </c>
      <c r="T23" s="79">
        <v>-0.95374847389571582</v>
      </c>
      <c r="U23" s="79">
        <v>-0.46086031574401409</v>
      </c>
    </row>
    <row r="24" spans="1:21">
      <c r="A24" s="3">
        <v>40087</v>
      </c>
      <c r="B24" s="28">
        <f>'[14]Data Input'!D98+'[16]PSP less Loss factor'!D107</f>
        <v>8753983.3900000006</v>
      </c>
      <c r="C24" s="24">
        <f>'Purchased Power Model '!G24</f>
        <v>341.6</v>
      </c>
      <c r="D24" s="24">
        <f>'Purchased Power Model '!H24</f>
        <v>0</v>
      </c>
      <c r="E24" s="18">
        <f>'Purchased Power Model '!I24</f>
        <v>31</v>
      </c>
      <c r="F24" s="18">
        <f>'Purchased Power Model '!J24</f>
        <v>1</v>
      </c>
      <c r="G24" s="82">
        <f>'Purchased Power Model '!K24</f>
        <v>22</v>
      </c>
      <c r="H24" s="82">
        <f>'[14]Data Input'!F98+'[16]PSP less Loss factor'!E107</f>
        <v>10449</v>
      </c>
      <c r="I24" s="107">
        <f>'Purchased Power Model '!L24</f>
        <v>14.2</v>
      </c>
      <c r="J24" s="36">
        <f>'Purchased Power Model '!M24</f>
        <v>135.09963459179312</v>
      </c>
      <c r="K24" s="36">
        <f>'Purchased Power Model '!O24</f>
        <v>170.5</v>
      </c>
      <c r="L24" s="36">
        <f>'Purchased Power Model '!P24</f>
        <v>313.7</v>
      </c>
      <c r="M24" s="10">
        <f t="shared" si="1"/>
        <v>8962624.8178429976</v>
      </c>
      <c r="N24" s="10"/>
      <c r="O24"/>
    </row>
    <row r="25" spans="1:21">
      <c r="A25" s="3">
        <v>40118</v>
      </c>
      <c r="B25" s="28">
        <f>'[14]Data Input'!D99+'[16]PSP less Loss factor'!D108</f>
        <v>9588622.5199999996</v>
      </c>
      <c r="C25" s="24">
        <f>'Purchased Power Model '!G25</f>
        <v>414.1</v>
      </c>
      <c r="D25" s="24">
        <f>'Purchased Power Model '!H25</f>
        <v>0</v>
      </c>
      <c r="E25" s="18">
        <f>'Purchased Power Model '!I25</f>
        <v>30</v>
      </c>
      <c r="F25" s="18">
        <f>'Purchased Power Model '!J25</f>
        <v>1</v>
      </c>
      <c r="G25" s="82">
        <f>'Purchased Power Model '!K25</f>
        <v>23</v>
      </c>
      <c r="H25" s="82">
        <f>'[14]Data Input'!F99+'[16]PSP less Loss factor'!E108</f>
        <v>10459</v>
      </c>
      <c r="I25" s="107">
        <f>'Purchased Power Model '!L25</f>
        <v>15.4</v>
      </c>
      <c r="J25" s="36">
        <f>'Purchased Power Model '!M25</f>
        <v>134.733974390893</v>
      </c>
      <c r="K25" s="36">
        <f>'Purchased Power Model '!O25</f>
        <v>171.9</v>
      </c>
      <c r="L25" s="36">
        <f>'Purchased Power Model '!P25</f>
        <v>313.8</v>
      </c>
      <c r="M25" s="10">
        <f t="shared" si="1"/>
        <v>9399483.0603793617</v>
      </c>
      <c r="N25" s="10"/>
      <c r="O25"/>
    </row>
    <row r="26" spans="1:21">
      <c r="A26" s="3">
        <v>40148</v>
      </c>
      <c r="B26" s="28">
        <f>'[14]Data Input'!D100+'[16]PSP less Loss factor'!D109</f>
        <v>13301112.359999999</v>
      </c>
      <c r="C26" s="24">
        <f>'Purchased Power Model '!G26</f>
        <v>750.2</v>
      </c>
      <c r="D26" s="24">
        <f>'Purchased Power Model '!H26</f>
        <v>0</v>
      </c>
      <c r="E26" s="18">
        <f>'Purchased Power Model '!I26</f>
        <v>31</v>
      </c>
      <c r="F26" s="18">
        <f>'Purchased Power Model '!J26</f>
        <v>0</v>
      </c>
      <c r="G26" s="82">
        <f>'Purchased Power Model '!K26</f>
        <v>24</v>
      </c>
      <c r="H26" s="82">
        <f>'[14]Data Input'!F100+'[16]PSP less Loss factor'!E109</f>
        <v>10444</v>
      </c>
      <c r="I26" s="107">
        <f>'Purchased Power Model '!L26</f>
        <v>16.600000000000001</v>
      </c>
      <c r="J26" s="36">
        <f>'Purchased Power Model '!M26</f>
        <v>134.36930388462019</v>
      </c>
      <c r="K26" s="36">
        <f>'Purchased Power Model '!O26</f>
        <v>172.5</v>
      </c>
      <c r="L26" s="36">
        <f>'Purchased Power Model '!P26</f>
        <v>313.89999999999998</v>
      </c>
      <c r="M26" s="10">
        <f t="shared" si="1"/>
        <v>13458545.934278522</v>
      </c>
      <c r="N26" s="10"/>
      <c r="O26"/>
    </row>
    <row r="27" spans="1:21">
      <c r="A27" s="3">
        <v>40179</v>
      </c>
      <c r="B27" s="28">
        <f>'[14]Data Input'!D101+'[16]PSP less Loss factor'!D110</f>
        <v>14090818.223502742</v>
      </c>
      <c r="C27" s="24">
        <f>'Purchased Power Model '!G27</f>
        <v>839.2</v>
      </c>
      <c r="D27" s="24">
        <f>'Purchased Power Model '!H27</f>
        <v>0</v>
      </c>
      <c r="E27" s="18">
        <f>'Purchased Power Model '!I27</f>
        <v>31</v>
      </c>
      <c r="F27" s="18">
        <f>'Purchased Power Model '!J27</f>
        <v>0</v>
      </c>
      <c r="G27" s="82">
        <f>'Purchased Power Model '!K27</f>
        <v>25</v>
      </c>
      <c r="H27" s="82">
        <f>'[14]Data Input'!F101+'[16]PSP less Loss factor'!E110</f>
        <v>10465</v>
      </c>
      <c r="I27" s="107">
        <f>'Purchased Power Model '!L27</f>
        <v>19</v>
      </c>
      <c r="J27" s="36">
        <f>'Purchased Power Model '!M27</f>
        <v>134.73334561620703</v>
      </c>
      <c r="K27" s="36">
        <f>'Purchased Power Model '!O27</f>
        <v>172.6</v>
      </c>
      <c r="L27" s="36">
        <f>'Purchased Power Model '!P27</f>
        <v>314</v>
      </c>
      <c r="M27" s="10">
        <f t="shared" si="1"/>
        <v>14295445.998215616</v>
      </c>
      <c r="N27" s="10"/>
      <c r="O27"/>
    </row>
    <row r="28" spans="1:21">
      <c r="A28" s="3">
        <v>40210</v>
      </c>
      <c r="B28" s="28">
        <f>'[14]Data Input'!D102+'[16]PSP less Loss factor'!D111</f>
        <v>11997071.351373518</v>
      </c>
      <c r="C28" s="24">
        <f>'Purchased Power Model '!G28</f>
        <v>647.5</v>
      </c>
      <c r="D28" s="24">
        <f>'Purchased Power Model '!H28</f>
        <v>0</v>
      </c>
      <c r="E28" s="18">
        <f>'Purchased Power Model '!I28</f>
        <v>28</v>
      </c>
      <c r="F28" s="18">
        <f>'Purchased Power Model '!J28</f>
        <v>0</v>
      </c>
      <c r="G28" s="82">
        <f>'Purchased Power Model '!K28</f>
        <v>26</v>
      </c>
      <c r="H28" s="82">
        <f>'[14]Data Input'!F102+'[16]PSP less Loss factor'!E111</f>
        <v>10448</v>
      </c>
      <c r="I28" s="107">
        <f>'Purchased Power Model '!L28</f>
        <v>19.3</v>
      </c>
      <c r="J28" s="36">
        <f>'Purchased Power Model '!M28</f>
        <v>135.09837363244745</v>
      </c>
      <c r="K28" s="36">
        <f>'Purchased Power Model '!O28</f>
        <v>172.7</v>
      </c>
      <c r="L28" s="36">
        <f>'Purchased Power Model '!P28</f>
        <v>314.10000000000002</v>
      </c>
      <c r="M28" s="10">
        <f t="shared" si="1"/>
        <v>11758159.26861308</v>
      </c>
      <c r="N28" s="10"/>
      <c r="O28"/>
    </row>
    <row r="29" spans="1:21">
      <c r="A29" s="3">
        <v>40238</v>
      </c>
      <c r="B29" s="28">
        <f>'[14]Data Input'!D103+'[16]PSP less Loss factor'!D112</f>
        <v>10014389.452452291</v>
      </c>
      <c r="C29" s="24">
        <f>'Purchased Power Model '!G29</f>
        <v>427</v>
      </c>
      <c r="D29" s="24">
        <f>'Purchased Power Model '!H29</f>
        <v>0</v>
      </c>
      <c r="E29" s="18">
        <f>'Purchased Power Model '!I29</f>
        <v>31</v>
      </c>
      <c r="F29" s="18">
        <f>'Purchased Power Model '!J29</f>
        <v>1</v>
      </c>
      <c r="G29" s="82">
        <f>'Purchased Power Model '!K29</f>
        <v>27</v>
      </c>
      <c r="H29" s="82">
        <f>'[14]Data Input'!F103+'[16]PSP less Loss factor'!E112</f>
        <v>10489</v>
      </c>
      <c r="I29" s="107">
        <f>'Purchased Power Model '!L29</f>
        <v>20.9</v>
      </c>
      <c r="J29" s="36">
        <f>'Purchased Power Model '!M29</f>
        <v>135.46439060544563</v>
      </c>
      <c r="K29" s="36">
        <f>'Purchased Power Model '!O29</f>
        <v>173.5</v>
      </c>
      <c r="L29" s="36">
        <f>'Purchased Power Model '!P29</f>
        <v>314.3</v>
      </c>
      <c r="M29" s="10">
        <f t="shared" si="1"/>
        <v>9765669.8865347672</v>
      </c>
      <c r="N29" s="10"/>
      <c r="O29"/>
    </row>
    <row r="30" spans="1:21">
      <c r="A30" s="3">
        <v>40269</v>
      </c>
      <c r="B30" s="28">
        <f>'[14]Data Input'!D104+'[16]PSP less Loss factor'!D113</f>
        <v>7787251.7662781077</v>
      </c>
      <c r="C30" s="24">
        <f>'Purchased Power Model '!G30</f>
        <v>287.3</v>
      </c>
      <c r="D30" s="24">
        <f>'Purchased Power Model '!H30</f>
        <v>0</v>
      </c>
      <c r="E30" s="18">
        <f>'Purchased Power Model '!I30</f>
        <v>30</v>
      </c>
      <c r="F30" s="18">
        <f>'Purchased Power Model '!J30</f>
        <v>1</v>
      </c>
      <c r="G30" s="82">
        <f>'Purchased Power Model '!K30</f>
        <v>28</v>
      </c>
      <c r="H30" s="82">
        <f>'[14]Data Input'!F104+'[16]PSP less Loss factor'!E113</f>
        <v>10482</v>
      </c>
      <c r="I30" s="107">
        <f>'Purchased Power Model '!L30</f>
        <v>18.2</v>
      </c>
      <c r="J30" s="36">
        <f>'Purchased Power Model '!M30</f>
        <v>135.83139921454512</v>
      </c>
      <c r="K30" s="36">
        <f>'Purchased Power Model '!O30</f>
        <v>176.2</v>
      </c>
      <c r="L30" s="36">
        <f>'Purchased Power Model '!P30</f>
        <v>314.39999999999998</v>
      </c>
      <c r="M30" s="10">
        <f t="shared" si="1"/>
        <v>8207131.0093245693</v>
      </c>
      <c r="N30" s="10"/>
      <c r="O30"/>
    </row>
    <row r="31" spans="1:21">
      <c r="A31" s="3">
        <v>40299</v>
      </c>
      <c r="B31" s="28">
        <f>'[14]Data Input'!D105+'[16]PSP less Loss factor'!D114</f>
        <v>7261728.6846778756</v>
      </c>
      <c r="C31" s="24">
        <f>'Purchased Power Model '!G31</f>
        <v>151.6</v>
      </c>
      <c r="D31" s="24">
        <f>'Purchased Power Model '!H31</f>
        <v>22.9</v>
      </c>
      <c r="E31" s="18">
        <f>'Purchased Power Model '!I31</f>
        <v>31</v>
      </c>
      <c r="F31" s="18">
        <f>'Purchased Power Model '!J31</f>
        <v>1</v>
      </c>
      <c r="G31" s="82">
        <f>'Purchased Power Model '!K31</f>
        <v>29</v>
      </c>
      <c r="H31" s="82">
        <f>'[14]Data Input'!F105+'[16]PSP less Loss factor'!E114</f>
        <v>10482</v>
      </c>
      <c r="I31" s="107">
        <f>'Purchased Power Model '!L31</f>
        <v>16.7</v>
      </c>
      <c r="J31" s="36">
        <f>'Purchased Power Model '!M31</f>
        <v>136.19940214634852</v>
      </c>
      <c r="K31" s="36">
        <f>'Purchased Power Model '!O31</f>
        <v>178.7</v>
      </c>
      <c r="L31" s="36">
        <f>'Purchased Power Model '!P31</f>
        <v>314.60000000000002</v>
      </c>
      <c r="M31" s="10">
        <f t="shared" si="1"/>
        <v>7504587.3098699413</v>
      </c>
      <c r="N31" s="10"/>
      <c r="O31"/>
    </row>
    <row r="32" spans="1:21">
      <c r="A32" s="3">
        <v>40330</v>
      </c>
      <c r="B32" s="28">
        <f>'[14]Data Input'!D106+'[16]PSP less Loss factor'!D115</f>
        <v>6692998.5333459303</v>
      </c>
      <c r="C32" s="24">
        <f>'Purchased Power Model '!G32</f>
        <v>66.2</v>
      </c>
      <c r="D32" s="24">
        <f>'Purchased Power Model '!H32</f>
        <v>12</v>
      </c>
      <c r="E32" s="18">
        <f>'Purchased Power Model '!I32</f>
        <v>30</v>
      </c>
      <c r="F32" s="18">
        <f>'Purchased Power Model '!J32</f>
        <v>0</v>
      </c>
      <c r="G32" s="82">
        <f>'Purchased Power Model '!K32</f>
        <v>30</v>
      </c>
      <c r="H32" s="82">
        <f>'[14]Data Input'!F106+'[16]PSP less Loss factor'!E115</f>
        <v>10493</v>
      </c>
      <c r="I32" s="107">
        <f>'Purchased Power Model '!L32</f>
        <v>13.3</v>
      </c>
      <c r="J32" s="36">
        <f>'Purchased Power Model '!M32</f>
        <v>136.56840209473719</v>
      </c>
      <c r="K32" s="36">
        <f>'Purchased Power Model '!O32</f>
        <v>179</v>
      </c>
      <c r="L32" s="36">
        <f>'Purchased Power Model '!P32</f>
        <v>314.8</v>
      </c>
      <c r="M32" s="10">
        <f t="shared" si="1"/>
        <v>6953941.223115704</v>
      </c>
      <c r="N32" s="10"/>
      <c r="O32"/>
    </row>
    <row r="33" spans="1:15">
      <c r="A33" s="3">
        <v>40360</v>
      </c>
      <c r="B33" s="28">
        <f>'[14]Data Input'!D107+'[16]PSP less Loss factor'!D116</f>
        <v>7564386.6474589072</v>
      </c>
      <c r="C33" s="24">
        <f>'Purchased Power Model '!G33</f>
        <v>13.1</v>
      </c>
      <c r="D33" s="24">
        <f>'Purchased Power Model '!H33</f>
        <v>95.7</v>
      </c>
      <c r="E33" s="18">
        <f>'Purchased Power Model '!I33</f>
        <v>31</v>
      </c>
      <c r="F33" s="18">
        <f>'Purchased Power Model '!J33</f>
        <v>0</v>
      </c>
      <c r="G33" s="82">
        <f>'Purchased Power Model '!K33</f>
        <v>31</v>
      </c>
      <c r="H33" s="82">
        <f>'[14]Data Input'!F107+'[16]PSP less Loss factor'!E116</f>
        <v>10500</v>
      </c>
      <c r="I33" s="107">
        <f>'Purchased Power Model '!L33</f>
        <v>14.3</v>
      </c>
      <c r="J33" s="36">
        <f>'Purchased Power Model '!M33</f>
        <v>136.93840176089088</v>
      </c>
      <c r="K33" s="36">
        <f>'Purchased Power Model '!O33</f>
        <v>176.8</v>
      </c>
      <c r="L33" s="36">
        <f>'Purchased Power Model '!P33</f>
        <v>315.10000000000002</v>
      </c>
      <c r="M33" s="10">
        <f t="shared" si="1"/>
        <v>7900582.1675111428</v>
      </c>
      <c r="N33" s="10"/>
      <c r="O33"/>
    </row>
    <row r="34" spans="1:15">
      <c r="A34" s="3">
        <v>40391</v>
      </c>
      <c r="B34" s="28">
        <f>'[14]Data Input'!D108+'[16]PSP less Loss factor'!D117</f>
        <v>7068955.2937842496</v>
      </c>
      <c r="C34" s="24">
        <f>'Purchased Power Model '!G34</f>
        <v>25.9</v>
      </c>
      <c r="D34" s="24">
        <f>'Purchased Power Model '!H34</f>
        <v>61.1</v>
      </c>
      <c r="E34" s="18">
        <f>'Purchased Power Model '!I34</f>
        <v>31</v>
      </c>
      <c r="F34" s="18">
        <f>'Purchased Power Model '!J34</f>
        <v>0</v>
      </c>
      <c r="G34" s="82">
        <f>'Purchased Power Model '!K34</f>
        <v>32</v>
      </c>
      <c r="H34" s="82">
        <f>'[14]Data Input'!F108+'[16]PSP less Loss factor'!E117</f>
        <v>10534</v>
      </c>
      <c r="I34" s="107">
        <f>'Purchased Power Model '!L34</f>
        <v>15.9</v>
      </c>
      <c r="J34" s="36">
        <f>'Purchased Power Model '!M34</f>
        <v>137.30940385330757</v>
      </c>
      <c r="K34" s="36">
        <f>'Purchased Power Model '!O34</f>
        <v>174</v>
      </c>
      <c r="L34" s="36">
        <f>'Purchased Power Model '!P34</f>
        <v>315.3</v>
      </c>
      <c r="M34" s="10">
        <f t="shared" si="1"/>
        <v>7524442.968211703</v>
      </c>
      <c r="N34" s="10"/>
      <c r="O34"/>
    </row>
    <row r="35" spans="1:15">
      <c r="A35" s="3">
        <v>40422</v>
      </c>
      <c r="B35" s="28">
        <f>'[14]Data Input'!D109+'[16]PSP less Loss factor'!D118</f>
        <v>6625195.1160022654</v>
      </c>
      <c r="C35" s="24">
        <f>'Purchased Power Model '!G35</f>
        <v>143.1</v>
      </c>
      <c r="D35" s="24">
        <f>'Purchased Power Model '!H35</f>
        <v>17.5</v>
      </c>
      <c r="E35" s="18">
        <f>'Purchased Power Model '!I35</f>
        <v>30</v>
      </c>
      <c r="F35" s="18">
        <f>'Purchased Power Model '!J35</f>
        <v>1</v>
      </c>
      <c r="G35" s="82">
        <f>'Purchased Power Model '!K35</f>
        <v>33</v>
      </c>
      <c r="H35" s="82">
        <f>'[14]Data Input'!F109+'[16]PSP less Loss factor'!E118</f>
        <v>10533</v>
      </c>
      <c r="I35" s="107">
        <f>'Purchased Power Model '!L35</f>
        <v>17.5</v>
      </c>
      <c r="J35" s="36">
        <f>'Purchased Power Model '!M35</f>
        <v>137.68141108782325</v>
      </c>
      <c r="K35" s="36">
        <f>'Purchased Power Model '!O35</f>
        <v>171.8</v>
      </c>
      <c r="L35" s="36">
        <f>'Purchased Power Model '!P35</f>
        <v>315.60000000000002</v>
      </c>
      <c r="M35" s="10">
        <f t="shared" si="1"/>
        <v>7102280.9825998861</v>
      </c>
      <c r="N35" s="10"/>
      <c r="O35"/>
    </row>
    <row r="36" spans="1:15">
      <c r="A36" s="3">
        <v>40452</v>
      </c>
      <c r="B36" s="28">
        <f>'[14]Data Input'!D110+'[16]PSP less Loss factor'!D119</f>
        <v>8110807.6348006818</v>
      </c>
      <c r="C36" s="24">
        <f>'Purchased Power Model '!G36</f>
        <v>318.60000000000002</v>
      </c>
      <c r="D36" s="24">
        <f>'Purchased Power Model '!H36</f>
        <v>0</v>
      </c>
      <c r="E36" s="18">
        <f>'Purchased Power Model '!I36</f>
        <v>31</v>
      </c>
      <c r="F36" s="18">
        <f>'Purchased Power Model '!J36</f>
        <v>1</v>
      </c>
      <c r="G36" s="82">
        <f>'Purchased Power Model '!K36</f>
        <v>34</v>
      </c>
      <c r="H36" s="82">
        <f>'[14]Data Input'!F110+'[16]PSP less Loss factor'!E119</f>
        <v>10533</v>
      </c>
      <c r="I36" s="107">
        <f>'Purchased Power Model '!L36</f>
        <v>17.3</v>
      </c>
      <c r="J36" s="36">
        <f>'Purchased Power Model '!M36</f>
        <v>138.0544261876318</v>
      </c>
      <c r="K36" s="36">
        <f>'Purchased Power Model '!O36</f>
        <v>170.9</v>
      </c>
      <c r="L36" s="36">
        <f>'Purchased Power Model '!P36</f>
        <v>315.8</v>
      </c>
      <c r="M36" s="10">
        <f t="shared" si="1"/>
        <v>8746338.6027907729</v>
      </c>
      <c r="N36" s="10"/>
      <c r="O36"/>
    </row>
    <row r="37" spans="1:15">
      <c r="A37" s="3">
        <v>40483</v>
      </c>
      <c r="B37" s="28">
        <f>'[14]Data Input'!D111+'[16]PSP less Loss factor'!D120</f>
        <v>10088538.613640662</v>
      </c>
      <c r="C37" s="24">
        <f>'Purchased Power Model '!G37</f>
        <v>398.8</v>
      </c>
      <c r="D37" s="24">
        <f>'Purchased Power Model '!H37</f>
        <v>0</v>
      </c>
      <c r="E37" s="18">
        <f>'Purchased Power Model '!I37</f>
        <v>30</v>
      </c>
      <c r="F37" s="18">
        <f>'Purchased Power Model '!J37</f>
        <v>1</v>
      </c>
      <c r="G37" s="82">
        <f>'Purchased Power Model '!K37</f>
        <v>35</v>
      </c>
      <c r="H37" s="82">
        <f>'[14]Data Input'!F111+'[16]PSP less Loss factor'!E120</f>
        <v>10559</v>
      </c>
      <c r="I37" s="107">
        <f>'Purchased Power Model '!L37</f>
        <v>16.2</v>
      </c>
      <c r="J37" s="36">
        <f>'Purchased Power Model '!M37</f>
        <v>138.42845188330503</v>
      </c>
      <c r="K37" s="36">
        <f>'Purchased Power Model '!O37</f>
        <v>167.8</v>
      </c>
      <c r="L37" s="36">
        <f>'Purchased Power Model '!P37</f>
        <v>315.89999999999998</v>
      </c>
      <c r="M37" s="10">
        <f t="shared" si="1"/>
        <v>9255602.8671087064</v>
      </c>
      <c r="N37" s="10"/>
      <c r="O37"/>
    </row>
    <row r="38" spans="1:15">
      <c r="A38" s="3">
        <v>40513</v>
      </c>
      <c r="B38" s="28">
        <f>'[14]Data Input'!D112+'[16]PSP less Loss factor'!D121</f>
        <v>13838406.504817689</v>
      </c>
      <c r="C38" s="24">
        <f>'Purchased Power Model '!G38</f>
        <v>776.1</v>
      </c>
      <c r="D38" s="24">
        <f>'Purchased Power Model '!H38</f>
        <v>0</v>
      </c>
      <c r="E38" s="18">
        <f>'Purchased Power Model '!I38</f>
        <v>31</v>
      </c>
      <c r="F38" s="18">
        <f>'Purchased Power Model '!J38</f>
        <v>0</v>
      </c>
      <c r="G38" s="82">
        <f>'Purchased Power Model '!K38</f>
        <v>36</v>
      </c>
      <c r="H38" s="82">
        <f>'[14]Data Input'!F112+'[16]PSP less Loss factor'!E121</f>
        <v>10541</v>
      </c>
      <c r="I38" s="107">
        <f>'Purchased Power Model '!L38</f>
        <v>17.2</v>
      </c>
      <c r="J38" s="36">
        <f>'Purchased Power Model '!M38</f>
        <v>138.80349091281266</v>
      </c>
      <c r="K38" s="36">
        <f>'Purchased Power Model '!O38</f>
        <v>166</v>
      </c>
      <c r="L38" s="36">
        <f>'Purchased Power Model '!P38</f>
        <v>316</v>
      </c>
      <c r="M38" s="10">
        <f t="shared" si="1"/>
        <v>13702084.97443651</v>
      </c>
      <c r="N38" s="10"/>
      <c r="O38"/>
    </row>
    <row r="39" spans="1:15">
      <c r="A39" s="3">
        <v>40544</v>
      </c>
      <c r="B39" s="28">
        <f>'[14]Data Input'!D113+'[16]PSP less Loss factor'!D122</f>
        <v>13973018.190440193</v>
      </c>
      <c r="C39" s="24">
        <f>'Purchased Power Model '!G39</f>
        <v>891.9</v>
      </c>
      <c r="D39" s="24">
        <f>'Purchased Power Model '!H39</f>
        <v>0</v>
      </c>
      <c r="E39" s="18">
        <f>'Purchased Power Model '!I39</f>
        <v>31</v>
      </c>
      <c r="F39" s="18">
        <f>'Purchased Power Model '!J39</f>
        <v>0</v>
      </c>
      <c r="G39" s="82">
        <f>'Purchased Power Model '!K39</f>
        <v>37</v>
      </c>
      <c r="H39" s="82">
        <f>'[14]Data Input'!F113+'[16]PSP less Loss factor'!E122</f>
        <v>10539</v>
      </c>
      <c r="I39" s="107">
        <f>'Purchased Power Model '!L39</f>
        <v>19.3</v>
      </c>
      <c r="J39" s="36">
        <f>'Purchased Power Model '!M39</f>
        <v>139.10070640604135</v>
      </c>
      <c r="K39" s="36">
        <f>'Purchased Power Model '!O39</f>
        <v>163.6</v>
      </c>
      <c r="L39" s="36">
        <f>'Purchased Power Model '!P39</f>
        <v>316.10000000000002</v>
      </c>
      <c r="M39" s="10">
        <f t="shared" si="1"/>
        <v>14790995.607691266</v>
      </c>
      <c r="N39" s="10"/>
      <c r="O39"/>
    </row>
    <row r="40" spans="1:15">
      <c r="A40" s="3">
        <v>40575</v>
      </c>
      <c r="B40" s="28">
        <f>'[14]Data Input'!D114+'[16]PSP less Loss factor'!D123</f>
        <v>12581641.206310228</v>
      </c>
      <c r="C40" s="24">
        <f>'Purchased Power Model '!G40</f>
        <v>650.89999999999975</v>
      </c>
      <c r="D40" s="24">
        <f>'Purchased Power Model '!H40</f>
        <v>0</v>
      </c>
      <c r="E40" s="18">
        <f>'Purchased Power Model '!I40</f>
        <v>28</v>
      </c>
      <c r="F40" s="18">
        <f>'Purchased Power Model '!J40</f>
        <v>0</v>
      </c>
      <c r="G40" s="82">
        <f>'Purchased Power Model '!K40</f>
        <v>38</v>
      </c>
      <c r="H40" s="82">
        <f>'[14]Data Input'!F114+'[16]PSP less Loss factor'!E123</f>
        <v>10613</v>
      </c>
      <c r="I40" s="107">
        <f>'Purchased Power Model '!L40</f>
        <v>20.9</v>
      </c>
      <c r="J40" s="36">
        <f>'Purchased Power Model '!M40</f>
        <v>139.39855831733732</v>
      </c>
      <c r="K40" s="36">
        <f>'Purchased Power Model '!O40</f>
        <v>162.69999999999999</v>
      </c>
      <c r="L40" s="36">
        <f>'Purchased Power Model '!P40</f>
        <v>316.10000000000002</v>
      </c>
      <c r="M40" s="10">
        <f t="shared" si="1"/>
        <v>11790122.271097654</v>
      </c>
      <c r="N40" s="10"/>
      <c r="O40"/>
    </row>
    <row r="41" spans="1:15">
      <c r="A41" s="3">
        <v>40603</v>
      </c>
      <c r="B41" s="28">
        <f>'[14]Data Input'!D115+'[16]PSP less Loss factor'!D124</f>
        <v>11647804.083695449</v>
      </c>
      <c r="C41" s="24">
        <f>'Purchased Power Model '!G41</f>
        <v>574.80000000000007</v>
      </c>
      <c r="D41" s="24">
        <f>'Purchased Power Model '!H41</f>
        <v>0</v>
      </c>
      <c r="E41" s="18">
        <f>'Purchased Power Model '!I41</f>
        <v>31</v>
      </c>
      <c r="F41" s="18">
        <f>'Purchased Power Model '!J41</f>
        <v>1</v>
      </c>
      <c r="G41" s="82">
        <f>'Purchased Power Model '!K41</f>
        <v>39</v>
      </c>
      <c r="H41" s="82">
        <f>'[14]Data Input'!F115+'[16]PSP less Loss factor'!E124</f>
        <v>10634</v>
      </c>
      <c r="I41" s="107">
        <f>'Purchased Power Model '!L41</f>
        <v>20.6</v>
      </c>
      <c r="J41" s="36">
        <f>'Purchased Power Model '!M41</f>
        <v>139.69704800944226</v>
      </c>
      <c r="K41" s="36">
        <f>'Purchased Power Model '!O41</f>
        <v>164</v>
      </c>
      <c r="L41" s="36">
        <f>'Purchased Power Model '!P41</f>
        <v>316.2</v>
      </c>
      <c r="M41" s="10">
        <f t="shared" si="1"/>
        <v>11155480.881910035</v>
      </c>
      <c r="N41" s="10"/>
      <c r="O41"/>
    </row>
    <row r="42" spans="1:15">
      <c r="A42" s="3">
        <v>40634</v>
      </c>
      <c r="B42" s="28">
        <f>'[14]Data Input'!D116+'[16]PSP less Loss factor'!D125</f>
        <v>9063805.8343094606</v>
      </c>
      <c r="C42" s="24">
        <f>'Purchased Power Model '!G42</f>
        <v>390.90000000000003</v>
      </c>
      <c r="D42" s="24">
        <f>'Purchased Power Model '!H42</f>
        <v>0</v>
      </c>
      <c r="E42" s="18">
        <f>'Purchased Power Model '!I42</f>
        <v>30</v>
      </c>
      <c r="F42" s="18">
        <f>'Purchased Power Model '!J42</f>
        <v>1</v>
      </c>
      <c r="G42" s="82">
        <f>'Purchased Power Model '!K42</f>
        <v>40</v>
      </c>
      <c r="H42" s="82">
        <f>'[14]Data Input'!F116+'[16]PSP less Loss factor'!E125</f>
        <v>10651</v>
      </c>
      <c r="I42" s="107">
        <f>'Purchased Power Model '!L42</f>
        <v>19</v>
      </c>
      <c r="J42" s="36">
        <f>'Purchased Power Model '!M42</f>
        <v>139.99617684801592</v>
      </c>
      <c r="K42" s="36">
        <f>'Purchased Power Model '!O42</f>
        <v>166</v>
      </c>
      <c r="L42" s="36">
        <f>'Purchased Power Model '!P42</f>
        <v>316.2</v>
      </c>
      <c r="M42" s="10">
        <f t="shared" si="1"/>
        <v>9181312.6329147369</v>
      </c>
      <c r="N42" s="10"/>
      <c r="O42"/>
    </row>
    <row r="43" spans="1:15">
      <c r="A43" s="3">
        <v>40664</v>
      </c>
      <c r="B43" s="28">
        <f>'[14]Data Input'!D117+'[16]PSP less Loss factor'!D126</f>
        <v>7155422.8552805586</v>
      </c>
      <c r="C43" s="24">
        <f>'Purchased Power Model '!G43</f>
        <v>147.10000000000002</v>
      </c>
      <c r="D43" s="24">
        <f>'Purchased Power Model '!H43</f>
        <v>10.1</v>
      </c>
      <c r="E43" s="18">
        <f>'Purchased Power Model '!I43</f>
        <v>31</v>
      </c>
      <c r="F43" s="18">
        <f>'Purchased Power Model '!J43</f>
        <v>1</v>
      </c>
      <c r="G43" s="82">
        <f>'Purchased Power Model '!K43</f>
        <v>41</v>
      </c>
      <c r="H43" s="82">
        <f>'[14]Data Input'!F117+'[16]PSP less Loss factor'!E126</f>
        <v>10668</v>
      </c>
      <c r="I43" s="107">
        <f>'Purchased Power Model '!L43</f>
        <v>17.899999999999999</v>
      </c>
      <c r="J43" s="36">
        <f>'Purchased Power Model '!M43</f>
        <v>140.29594620164227</v>
      </c>
      <c r="K43" s="36">
        <f>'Purchased Power Model '!O43</f>
        <v>171.8</v>
      </c>
      <c r="L43" s="36">
        <f>'Purchased Power Model '!P43</f>
        <v>316.3</v>
      </c>
      <c r="M43" s="10">
        <f t="shared" si="1"/>
        <v>7278586.6670820275</v>
      </c>
      <c r="N43" s="10"/>
      <c r="O43"/>
    </row>
    <row r="44" spans="1:15">
      <c r="A44" s="3">
        <v>40695</v>
      </c>
      <c r="B44" s="28">
        <f>'[14]Data Input'!D118+'[16]PSP less Loss factor'!D127</f>
        <v>6323509.4228981677</v>
      </c>
      <c r="C44" s="24">
        <f>'Purchased Power Model '!G44</f>
        <v>57.70000000000001</v>
      </c>
      <c r="D44" s="24">
        <f>'Purchased Power Model '!H44</f>
        <v>13.4</v>
      </c>
      <c r="E44" s="18">
        <f>'Purchased Power Model '!I44</f>
        <v>30</v>
      </c>
      <c r="F44" s="18">
        <f>'Purchased Power Model '!J44</f>
        <v>0</v>
      </c>
      <c r="G44" s="82">
        <f>'Purchased Power Model '!K44</f>
        <v>42</v>
      </c>
      <c r="H44" s="82">
        <f>'[14]Data Input'!F118+'[16]PSP less Loss factor'!E127</f>
        <v>10653</v>
      </c>
      <c r="I44" s="107">
        <f>'Purchased Power Model '!L44</f>
        <v>16.8</v>
      </c>
      <c r="J44" s="36">
        <f>'Purchased Power Model '!M44</f>
        <v>140.59635744183578</v>
      </c>
      <c r="K44" s="36">
        <f>'Purchased Power Model '!O44</f>
        <v>177.8</v>
      </c>
      <c r="L44" s="36">
        <f>'Purchased Power Model '!P44</f>
        <v>316.5</v>
      </c>
      <c r="M44" s="10">
        <f t="shared" si="1"/>
        <v>6894093.6762634823</v>
      </c>
      <c r="N44" s="10"/>
      <c r="O44"/>
    </row>
    <row r="45" spans="1:15">
      <c r="A45" s="3">
        <v>40725</v>
      </c>
      <c r="B45" s="28">
        <f>'[14]Data Input'!D119+'[16]PSP less Loss factor'!D128</f>
        <v>7341748.7642471194</v>
      </c>
      <c r="C45" s="24">
        <f>'Purchased Power Model '!G45</f>
        <v>2</v>
      </c>
      <c r="D45" s="24">
        <f>'Purchased Power Model '!H45</f>
        <v>80.600000000000009</v>
      </c>
      <c r="E45" s="18">
        <f>'Purchased Power Model '!I45</f>
        <v>31</v>
      </c>
      <c r="F45" s="18">
        <f>'Purchased Power Model '!J45</f>
        <v>0</v>
      </c>
      <c r="G45" s="82">
        <f>'Purchased Power Model '!K45</f>
        <v>43</v>
      </c>
      <c r="H45" s="82">
        <f>'[14]Data Input'!F119+'[16]PSP less Loss factor'!E128</f>
        <v>10684</v>
      </c>
      <c r="I45" s="107">
        <f>'Purchased Power Model '!L45</f>
        <v>16.5</v>
      </c>
      <c r="J45" s="36">
        <f>'Purchased Power Model '!M45</f>
        <v>140.89741194304773</v>
      </c>
      <c r="K45" s="36">
        <f>'Purchased Power Model '!O45</f>
        <v>183</v>
      </c>
      <c r="L45" s="36">
        <f>'Purchased Power Model '!P45</f>
        <v>316.7</v>
      </c>
      <c r="M45" s="10">
        <f t="shared" si="1"/>
        <v>7579514.7688170653</v>
      </c>
      <c r="N45" s="10"/>
      <c r="O45"/>
    </row>
    <row r="46" spans="1:15">
      <c r="A46" s="3">
        <v>40756</v>
      </c>
      <c r="B46" s="28">
        <f>'[14]Data Input'!D120+'[16]PSP less Loss factor'!D129</f>
        <v>6808650.6354232598</v>
      </c>
      <c r="C46" s="24">
        <f>'Purchased Power Model '!G46</f>
        <v>15.9</v>
      </c>
      <c r="D46" s="24">
        <f>'Purchased Power Model '!H46</f>
        <v>38</v>
      </c>
      <c r="E46" s="18">
        <f>'Purchased Power Model '!I46</f>
        <v>31</v>
      </c>
      <c r="F46" s="18">
        <f>'Purchased Power Model '!J46</f>
        <v>0</v>
      </c>
      <c r="G46" s="82">
        <f>'Purchased Power Model '!K46</f>
        <v>44</v>
      </c>
      <c r="H46" s="82">
        <f>'[14]Data Input'!F120+'[16]PSP less Loss factor'!E129</f>
        <v>10711</v>
      </c>
      <c r="I46" s="107">
        <f>'Purchased Power Model '!L46</f>
        <v>17</v>
      </c>
      <c r="J46" s="36">
        <f>'Purchased Power Model '!M46</f>
        <v>141.19911108267243</v>
      </c>
      <c r="K46" s="36">
        <f>'Purchased Power Model '!O46</f>
        <v>182.1</v>
      </c>
      <c r="L46" s="36">
        <f>'Purchased Power Model '!P46</f>
        <v>316.89999999999998</v>
      </c>
      <c r="M46" s="10">
        <f t="shared" si="1"/>
        <v>7098921.1946646832</v>
      </c>
      <c r="N46" s="10"/>
      <c r="O46"/>
    </row>
    <row r="47" spans="1:15">
      <c r="A47" s="3">
        <v>40787</v>
      </c>
      <c r="B47" s="28">
        <f>'[14]Data Input'!D121+'[16]PSP less Loss factor'!D130</f>
        <v>6345108.3879174776</v>
      </c>
      <c r="C47" s="24">
        <f>'Purchased Power Model '!G47</f>
        <v>109.1</v>
      </c>
      <c r="D47" s="24">
        <f>'Purchased Power Model '!H47</f>
        <v>17.499999999999996</v>
      </c>
      <c r="E47" s="18">
        <f>'Purchased Power Model '!I47</f>
        <v>30</v>
      </c>
      <c r="F47" s="18">
        <f>'Purchased Power Model '!J47</f>
        <v>1</v>
      </c>
      <c r="G47" s="82">
        <f>'Purchased Power Model '!K47</f>
        <v>45</v>
      </c>
      <c r="H47" s="82">
        <f>'[14]Data Input'!F121+'[16]PSP less Loss factor'!E130</f>
        <v>10750</v>
      </c>
      <c r="I47" s="107">
        <f>'Purchased Power Model '!L47</f>
        <v>16.399999999999999</v>
      </c>
      <c r="J47" s="36">
        <f>'Purchased Power Model '!M47</f>
        <v>141.50145624105357</v>
      </c>
      <c r="K47" s="36">
        <f>'Purchased Power Model '!O47</f>
        <v>178.5</v>
      </c>
      <c r="L47" s="36">
        <f>'Purchased Power Model '!P47</f>
        <v>317.2</v>
      </c>
      <c r="M47" s="10">
        <f t="shared" si="1"/>
        <v>6782557.5935739949</v>
      </c>
      <c r="N47" s="10"/>
      <c r="O47"/>
    </row>
    <row r="48" spans="1:15">
      <c r="A48" s="3">
        <v>40817</v>
      </c>
      <c r="B48" s="28">
        <f>'[14]Data Input'!D122+'[16]PSP less Loss factor'!D131</f>
        <v>7785308.8119668839</v>
      </c>
      <c r="C48" s="24">
        <f>'Purchased Power Model '!G48</f>
        <v>290</v>
      </c>
      <c r="D48" s="24">
        <f>'Purchased Power Model '!H48</f>
        <v>0</v>
      </c>
      <c r="E48" s="18">
        <f>'Purchased Power Model '!I48</f>
        <v>31</v>
      </c>
      <c r="F48" s="18">
        <f>'Purchased Power Model '!J48</f>
        <v>1</v>
      </c>
      <c r="G48" s="82">
        <f>'Purchased Power Model '!K48</f>
        <v>46</v>
      </c>
      <c r="H48" s="82">
        <f>'[14]Data Input'!F122+'[16]PSP less Loss factor'!E131</f>
        <v>10752</v>
      </c>
      <c r="I48" s="107">
        <f>'Purchased Power Model '!L48</f>
        <v>16</v>
      </c>
      <c r="J48" s="36">
        <f>'Purchased Power Model '!M48</f>
        <v>141.80444880149057</v>
      </c>
      <c r="K48" s="36">
        <f>'Purchased Power Model '!O48</f>
        <v>178.8</v>
      </c>
      <c r="L48" s="36">
        <f>'Purchased Power Model '!P48</f>
        <v>317.5</v>
      </c>
      <c r="M48" s="10">
        <f t="shared" si="1"/>
        <v>8477393.4628065005</v>
      </c>
      <c r="N48" s="10"/>
      <c r="O48"/>
    </row>
    <row r="49" spans="1:15">
      <c r="A49" s="3">
        <v>40848</v>
      </c>
      <c r="B49" s="28">
        <f>'[14]Data Input'!D123+'[16]PSP less Loss factor'!D132</f>
        <v>9143034.6150744818</v>
      </c>
      <c r="C49" s="24">
        <f>'Purchased Power Model '!G49</f>
        <v>432.4</v>
      </c>
      <c r="D49" s="24">
        <f>'Purchased Power Model '!H49</f>
        <v>0</v>
      </c>
      <c r="E49" s="18">
        <f>'Purchased Power Model '!I49</f>
        <v>30</v>
      </c>
      <c r="F49" s="18">
        <f>'Purchased Power Model '!J49</f>
        <v>1</v>
      </c>
      <c r="G49" s="82">
        <f>'Purchased Power Model '!K49</f>
        <v>47</v>
      </c>
      <c r="H49" s="82">
        <f>'[14]Data Input'!F123+'[16]PSP less Loss factor'!E132</f>
        <v>10742</v>
      </c>
      <c r="I49" s="107">
        <f>'Purchased Power Model '!L49</f>
        <v>14.7</v>
      </c>
      <c r="J49" s="36">
        <f>'Purchased Power Model '!M49</f>
        <v>142.10809015024478</v>
      </c>
      <c r="K49" s="36">
        <f>'Purchased Power Model '!O49</f>
        <v>179.6</v>
      </c>
      <c r="L49" s="36">
        <f>'Purchased Power Model '!P49</f>
        <v>317.8</v>
      </c>
      <c r="M49" s="10">
        <f t="shared" si="1"/>
        <v>9571547.9290482607</v>
      </c>
      <c r="N49" s="10"/>
      <c r="O49"/>
    </row>
    <row r="50" spans="1:15">
      <c r="A50" s="3">
        <v>40878</v>
      </c>
      <c r="B50" s="28">
        <f>'[14]Data Input'!D124+'[16]PSP less Loss factor'!D133</f>
        <v>11970570.654087348</v>
      </c>
      <c r="C50" s="24">
        <f>'Purchased Power Model '!G50</f>
        <v>617.5</v>
      </c>
      <c r="D50" s="24">
        <f>'Purchased Power Model '!H50</f>
        <v>0</v>
      </c>
      <c r="E50" s="18">
        <f>'Purchased Power Model '!I50</f>
        <v>31</v>
      </c>
      <c r="F50" s="18">
        <f>'Purchased Power Model '!J50</f>
        <v>0</v>
      </c>
      <c r="G50" s="82">
        <f>'Purchased Power Model '!K50</f>
        <v>48</v>
      </c>
      <c r="H50" s="82">
        <f>'[14]Data Input'!F124+'[16]PSP less Loss factor'!E133</f>
        <v>10754</v>
      </c>
      <c r="I50" s="107">
        <f>'Purchased Power Model '!L50</f>
        <v>14.6</v>
      </c>
      <c r="J50" s="36">
        <f>'Purchased Power Model '!M50</f>
        <v>142.41238167654581</v>
      </c>
      <c r="K50" s="36">
        <f>'Purchased Power Model '!O50</f>
        <v>181.8</v>
      </c>
      <c r="L50" s="36">
        <f>'Purchased Power Model '!P50</f>
        <v>318</v>
      </c>
      <c r="M50" s="10">
        <f t="shared" si="1"/>
        <v>12210700.505672529</v>
      </c>
      <c r="N50" s="10"/>
      <c r="O50"/>
    </row>
    <row r="51" spans="1:15">
      <c r="A51" s="3">
        <v>40909</v>
      </c>
      <c r="B51" s="28">
        <f>'[14]Data Input'!D125+'[16]PSP less Loss factor'!D134</f>
        <v>13141378.844214082</v>
      </c>
      <c r="C51" s="24">
        <f>'Purchased Power Model '!G51</f>
        <v>667.69999999999993</v>
      </c>
      <c r="D51" s="24">
        <f>'Purchased Power Model '!H51</f>
        <v>0</v>
      </c>
      <c r="E51" s="18">
        <f>'Purchased Power Model '!I51</f>
        <v>31</v>
      </c>
      <c r="F51" s="18">
        <f>'Purchased Power Model '!J51</f>
        <v>0</v>
      </c>
      <c r="G51" s="82">
        <f>'Purchased Power Model '!K51</f>
        <v>49</v>
      </c>
      <c r="H51" s="82">
        <f>'[14]Data Input'!F125+'[16]PSP less Loss factor'!E134</f>
        <v>10751</v>
      </c>
      <c r="I51" s="107">
        <f>'Purchased Power Model '!L51</f>
        <v>15</v>
      </c>
      <c r="J51" s="36">
        <f>'Purchased Power Model '!M51</f>
        <v>142.61257743956915</v>
      </c>
      <c r="K51" s="36">
        <f>'Purchased Power Model '!O51</f>
        <v>180</v>
      </c>
      <c r="L51" s="36">
        <f>'Purchased Power Model '!P51</f>
        <v>318.2</v>
      </c>
      <c r="M51" s="10">
        <f t="shared" si="1"/>
        <v>12682749.446866143</v>
      </c>
      <c r="N51" s="10"/>
      <c r="O51"/>
    </row>
    <row r="52" spans="1:15">
      <c r="A52" s="3">
        <v>40940</v>
      </c>
      <c r="B52" s="28">
        <f>'[14]Data Input'!D126+'[16]PSP less Loss factor'!D135</f>
        <v>11356423.589552224</v>
      </c>
      <c r="C52" s="24">
        <f>'Purchased Power Model '!G52</f>
        <v>662.6</v>
      </c>
      <c r="D52" s="24">
        <f>'Purchased Power Model '!H52</f>
        <v>0</v>
      </c>
      <c r="E52" s="18">
        <f>'Purchased Power Model '!I52</f>
        <v>29</v>
      </c>
      <c r="F52" s="18">
        <f>'Purchased Power Model '!J52</f>
        <v>0</v>
      </c>
      <c r="G52" s="82">
        <f>'Purchased Power Model '!K52</f>
        <v>50</v>
      </c>
      <c r="H52" s="82">
        <f>'[14]Data Input'!F126+'[16]PSP less Loss factor'!E135</f>
        <v>10749</v>
      </c>
      <c r="I52" s="107">
        <f>'Purchased Power Model '!L52</f>
        <v>15.6</v>
      </c>
      <c r="J52" s="36">
        <f>'Purchased Power Model '!M52</f>
        <v>142.81305462716429</v>
      </c>
      <c r="K52" s="36">
        <f>'Purchased Power Model '!O52</f>
        <v>176.9</v>
      </c>
      <c r="L52" s="36">
        <f>'Purchased Power Model '!P52</f>
        <v>318.39999999999998</v>
      </c>
      <c r="M52" s="10">
        <f t="shared" si="1"/>
        <v>12145019.38347532</v>
      </c>
      <c r="N52" s="10"/>
      <c r="O52"/>
    </row>
    <row r="53" spans="1:15">
      <c r="A53" s="3">
        <v>40969</v>
      </c>
      <c r="B53" s="28">
        <f>'[14]Data Input'!D127+'[16]PSP less Loss factor'!D136</f>
        <v>9771237.3560588378</v>
      </c>
      <c r="C53" s="24">
        <f>'Purchased Power Model '!G53</f>
        <v>457.10000000000019</v>
      </c>
      <c r="D53" s="24">
        <f>'Purchased Power Model '!H53</f>
        <v>0</v>
      </c>
      <c r="E53" s="18">
        <f>'Purchased Power Model '!I53</f>
        <v>31</v>
      </c>
      <c r="F53" s="18">
        <f>'Purchased Power Model '!J53</f>
        <v>1</v>
      </c>
      <c r="G53" s="82">
        <f>'Purchased Power Model '!K53</f>
        <v>51</v>
      </c>
      <c r="H53" s="82">
        <f>'[14]Data Input'!F127+'[16]PSP less Loss factor'!E136</f>
        <v>10763</v>
      </c>
      <c r="I53" s="107">
        <f>'Purchased Power Model '!L53</f>
        <v>16.8</v>
      </c>
      <c r="J53" s="36">
        <f>'Purchased Power Model '!M53</f>
        <v>143.01381363494295</v>
      </c>
      <c r="K53" s="36">
        <f>'Purchased Power Model '!O53</f>
        <v>174.9</v>
      </c>
      <c r="L53" s="36">
        <f>'Purchased Power Model '!P53</f>
        <v>318.60000000000002</v>
      </c>
      <c r="M53" s="10">
        <f t="shared" si="1"/>
        <v>10048694.632739058</v>
      </c>
      <c r="N53" s="10"/>
      <c r="O53"/>
    </row>
    <row r="54" spans="1:15">
      <c r="A54" s="3">
        <v>41000</v>
      </c>
      <c r="B54" s="28">
        <f>'[14]Data Input'!D128+'[16]PSP less Loss factor'!D137</f>
        <v>8667532.6095374208</v>
      </c>
      <c r="C54" s="24">
        <f>'Purchased Power Model '!G54</f>
        <v>399.79999999999995</v>
      </c>
      <c r="D54" s="24">
        <f>'Purchased Power Model '!H54</f>
        <v>0</v>
      </c>
      <c r="E54" s="18">
        <f>'Purchased Power Model '!I54</f>
        <v>30</v>
      </c>
      <c r="F54" s="18">
        <f>'Purchased Power Model '!J54</f>
        <v>1</v>
      </c>
      <c r="G54" s="82">
        <f>'Purchased Power Model '!K54</f>
        <v>52</v>
      </c>
      <c r="H54" s="82">
        <f>'[14]Data Input'!F128+'[16]PSP less Loss factor'!E137</f>
        <v>10761</v>
      </c>
      <c r="I54" s="107">
        <f>'Purchased Power Model '!L54</f>
        <v>16.7</v>
      </c>
      <c r="J54" s="36">
        <f>'Purchased Power Model '!M54</f>
        <v>143.21485485907297</v>
      </c>
      <c r="K54" s="36">
        <f>'Purchased Power Model '!O54</f>
        <v>172.3</v>
      </c>
      <c r="L54" s="36">
        <f>'Purchased Power Model '!P54</f>
        <v>318.8</v>
      </c>
      <c r="M54" s="10">
        <f t="shared" si="1"/>
        <v>9264994.2223861478</v>
      </c>
      <c r="N54" s="10"/>
      <c r="O54" s="14"/>
    </row>
    <row r="55" spans="1:15">
      <c r="A55" s="3">
        <v>41030</v>
      </c>
      <c r="B55" s="28">
        <f>'[14]Data Input'!D129+'[16]PSP less Loss factor'!D138</f>
        <v>6781580.177010823</v>
      </c>
      <c r="C55" s="24">
        <f>'Purchased Power Model '!G55</f>
        <v>138.90000000000003</v>
      </c>
      <c r="D55" s="24">
        <f>'Purchased Power Model '!H55</f>
        <v>7.6</v>
      </c>
      <c r="E55" s="18">
        <f>'Purchased Power Model '!I55</f>
        <v>31</v>
      </c>
      <c r="F55" s="18">
        <f>'Purchased Power Model '!J55</f>
        <v>1</v>
      </c>
      <c r="G55" s="82">
        <f>'Purchased Power Model '!K55</f>
        <v>53</v>
      </c>
      <c r="H55" s="82">
        <f>'[14]Data Input'!F129+'[16]PSP less Loss factor'!E138</f>
        <v>10766</v>
      </c>
      <c r="I55" s="107">
        <f>'Purchased Power Model '!L55</f>
        <v>15.6</v>
      </c>
      <c r="J55" s="36">
        <f>'Purchased Power Model '!M55</f>
        <v>143.41617869627913</v>
      </c>
      <c r="K55" s="36">
        <f>'Purchased Power Model '!O55</f>
        <v>174.4</v>
      </c>
      <c r="L55" s="36">
        <f>'Purchased Power Model '!P55</f>
        <v>319</v>
      </c>
      <c r="M55" s="10">
        <f t="shared" ref="M55:M86" si="2">$P$18+C55*$P$19+D55*$P$20+E55*$P$21+F55*$P$22+G55*$P$23+H55*$P$24</f>
        <v>7165596.0640934259</v>
      </c>
      <c r="N55" s="10"/>
      <c r="O55" s="14"/>
    </row>
    <row r="56" spans="1:15">
      <c r="A56" s="3">
        <v>41061</v>
      </c>
      <c r="B56" s="28">
        <f>'[14]Data Input'!D130+'[16]PSP less Loss factor'!D139</f>
        <v>6694498.4031853117</v>
      </c>
      <c r="C56" s="24">
        <f>'Purchased Power Model '!G56</f>
        <v>55.099999999999994</v>
      </c>
      <c r="D56" s="24">
        <f>'Purchased Power Model '!H56</f>
        <v>47.5</v>
      </c>
      <c r="E56" s="18">
        <f>'Purchased Power Model '!I56</f>
        <v>30</v>
      </c>
      <c r="F56" s="18">
        <f>'Purchased Power Model '!J56</f>
        <v>0</v>
      </c>
      <c r="G56" s="82">
        <f>'Purchased Power Model '!K56</f>
        <v>54</v>
      </c>
      <c r="H56" s="82">
        <f>'[14]Data Input'!F130+'[16]PSP less Loss factor'!E139</f>
        <v>10791</v>
      </c>
      <c r="I56" s="107">
        <f>'Purchased Power Model '!L56</f>
        <v>14.4</v>
      </c>
      <c r="J56" s="36">
        <f>'Purchased Power Model '!M56</f>
        <v>143.61778554384387</v>
      </c>
      <c r="K56" s="36">
        <f>'Purchased Power Model '!O56</f>
        <v>176.1</v>
      </c>
      <c r="L56" s="36">
        <f>'Purchased Power Model '!P56</f>
        <v>319.2</v>
      </c>
      <c r="M56" s="10">
        <f t="shared" si="2"/>
        <v>7358963.2702520909</v>
      </c>
      <c r="N56" s="10"/>
      <c r="O56" s="14"/>
    </row>
    <row r="57" spans="1:15">
      <c r="A57" s="3">
        <v>41091</v>
      </c>
      <c r="B57" s="28">
        <f>'[14]Data Input'!D131+'[16]PSP less Loss factor'!D140</f>
        <v>7479428.988383756</v>
      </c>
      <c r="C57" s="24">
        <f>'Purchased Power Model '!G57</f>
        <v>1.5</v>
      </c>
      <c r="D57" s="24">
        <f>'Purchased Power Model '!H57</f>
        <v>70.5</v>
      </c>
      <c r="E57" s="18">
        <f>'Purchased Power Model '!I57</f>
        <v>31</v>
      </c>
      <c r="F57" s="18">
        <f>'Purchased Power Model '!J57</f>
        <v>0</v>
      </c>
      <c r="G57" s="82">
        <f>'Purchased Power Model '!K57</f>
        <v>55</v>
      </c>
      <c r="H57" s="82">
        <f>'[14]Data Input'!F131+'[16]PSP less Loss factor'!E140</f>
        <v>10815</v>
      </c>
      <c r="I57" s="107">
        <f>'Purchased Power Model '!L57</f>
        <v>12.1</v>
      </c>
      <c r="J57" s="36">
        <f>'Purchased Power Model '!M57</f>
        <v>143.81967579960809</v>
      </c>
      <c r="K57" s="36">
        <f>'Purchased Power Model '!O57</f>
        <v>179.3</v>
      </c>
      <c r="L57" s="36">
        <f>'Purchased Power Model '!P57</f>
        <v>319.5</v>
      </c>
      <c r="M57" s="10">
        <f t="shared" si="2"/>
        <v>7429871.9999722363</v>
      </c>
      <c r="N57" s="10"/>
      <c r="O57" s="14"/>
    </row>
    <row r="58" spans="1:15">
      <c r="A58" s="3">
        <v>41122</v>
      </c>
      <c r="B58" s="28">
        <f>'[14]Data Input'!D132+'[16]PSP less Loss factor'!D141</f>
        <v>6907727.8824081756</v>
      </c>
      <c r="C58" s="24">
        <f>'Purchased Power Model '!G58</f>
        <v>31.199999999999996</v>
      </c>
      <c r="D58" s="24">
        <f>'Purchased Power Model '!H58</f>
        <v>45.8</v>
      </c>
      <c r="E58" s="18">
        <f>'Purchased Power Model '!I58</f>
        <v>31</v>
      </c>
      <c r="F58" s="18">
        <f>'Purchased Power Model '!J58</f>
        <v>0</v>
      </c>
      <c r="G58" s="82">
        <f>'Purchased Power Model '!K58</f>
        <v>56</v>
      </c>
      <c r="H58" s="82">
        <f>'[14]Data Input'!F132+'[16]PSP less Loss factor'!E141</f>
        <v>10826</v>
      </c>
      <c r="I58" s="107">
        <f>'Purchased Power Model '!L58</f>
        <v>12.1</v>
      </c>
      <c r="J58" s="36">
        <f>'Purchased Power Model '!M58</f>
        <v>144.02184986197204</v>
      </c>
      <c r="K58" s="36">
        <f>'Purchased Power Model '!O58</f>
        <v>178.6</v>
      </c>
      <c r="L58" s="36">
        <f>'Purchased Power Model '!P58</f>
        <v>319.8</v>
      </c>
      <c r="M58" s="10">
        <f t="shared" si="2"/>
        <v>7354712.5525739156</v>
      </c>
      <c r="N58" s="10"/>
      <c r="O58" s="14"/>
    </row>
    <row r="59" spans="1:15">
      <c r="A59" s="3">
        <v>41153</v>
      </c>
      <c r="B59" s="28">
        <f>'[14]Data Input'!D133+'[16]PSP less Loss factor'!D142</f>
        <v>6584716.8787288396</v>
      </c>
      <c r="C59" s="24">
        <f>'Purchased Power Model '!G59</f>
        <v>147.29999999999998</v>
      </c>
      <c r="D59" s="24">
        <f>'Purchased Power Model '!H59</f>
        <v>10.399999999999999</v>
      </c>
      <c r="E59" s="18">
        <f>'Purchased Power Model '!I59</f>
        <v>30</v>
      </c>
      <c r="F59" s="18">
        <f>'Purchased Power Model '!J59</f>
        <v>1</v>
      </c>
      <c r="G59" s="82">
        <f>'Purchased Power Model '!K59</f>
        <v>57</v>
      </c>
      <c r="H59" s="82">
        <f>'[14]Data Input'!F133+'[16]PSP less Loss factor'!E142</f>
        <v>10836</v>
      </c>
      <c r="I59" s="107">
        <f>'Purchased Power Model '!L59</f>
        <v>12.5</v>
      </c>
      <c r="J59" s="36">
        <f>'Purchased Power Model '!M59</f>
        <v>144.22430812989595</v>
      </c>
      <c r="K59" s="36">
        <f>'Purchased Power Model '!O59</f>
        <v>173.9</v>
      </c>
      <c r="L59" s="36">
        <f>'Purchased Power Model '!P59</f>
        <v>320</v>
      </c>
      <c r="M59" s="10">
        <f t="shared" si="2"/>
        <v>7039874.8941212986</v>
      </c>
      <c r="N59" s="10"/>
      <c r="O59" s="14"/>
    </row>
    <row r="60" spans="1:15">
      <c r="A60" s="3">
        <v>41183</v>
      </c>
      <c r="B60" s="28">
        <f>'[14]Data Input'!D134+'[16]PSP less Loss factor'!D143</f>
        <v>8009911.2486215224</v>
      </c>
      <c r="C60" s="24">
        <f>'Purchased Power Model '!G60</f>
        <v>305.7</v>
      </c>
      <c r="D60" s="24">
        <f>'Purchased Power Model '!H60</f>
        <v>0</v>
      </c>
      <c r="E60" s="18">
        <f>'Purchased Power Model '!I60</f>
        <v>31</v>
      </c>
      <c r="F60" s="18">
        <f>'Purchased Power Model '!J60</f>
        <v>1</v>
      </c>
      <c r="G60" s="82">
        <f>'Purchased Power Model '!K60</f>
        <v>58</v>
      </c>
      <c r="H60" s="82">
        <f>'[14]Data Input'!F134+'[16]PSP less Loss factor'!E143</f>
        <v>10854</v>
      </c>
      <c r="I60" s="107">
        <f>'Purchased Power Model '!L60</f>
        <v>13.4</v>
      </c>
      <c r="J60" s="36">
        <f>'Purchased Power Model '!M60</f>
        <v>144.42705100290087</v>
      </c>
      <c r="K60" s="36">
        <f>'Purchased Power Model '!O60</f>
        <v>166.3</v>
      </c>
      <c r="L60" s="36">
        <f>'Purchased Power Model '!P60</f>
        <v>320.2</v>
      </c>
      <c r="M60" s="10">
        <f t="shared" si="2"/>
        <v>8625018.0325525422</v>
      </c>
      <c r="N60" s="10"/>
      <c r="O60" s="14"/>
    </row>
    <row r="61" spans="1:15">
      <c r="A61" s="3">
        <v>41214</v>
      </c>
      <c r="B61" s="28">
        <f>'[14]Data Input'!D135+'[16]PSP less Loss factor'!D144</f>
        <v>9966368.4519474469</v>
      </c>
      <c r="C61" s="24">
        <f>'Purchased Power Model '!G61</f>
        <v>529</v>
      </c>
      <c r="D61" s="24">
        <f>'Purchased Power Model '!H61</f>
        <v>0</v>
      </c>
      <c r="E61" s="18">
        <f>'Purchased Power Model '!I61</f>
        <v>30</v>
      </c>
      <c r="F61" s="18">
        <f>'Purchased Power Model '!J61</f>
        <v>1</v>
      </c>
      <c r="G61" s="82">
        <f>'Purchased Power Model '!K61</f>
        <v>59</v>
      </c>
      <c r="H61" s="82">
        <f>'[14]Data Input'!F135+'[16]PSP less Loss factor'!E144</f>
        <v>10852</v>
      </c>
      <c r="I61" s="107">
        <f>'Purchased Power Model '!L61</f>
        <v>12.9</v>
      </c>
      <c r="J61" s="36">
        <f>'Purchased Power Model '!M61</f>
        <v>144.63007888106955</v>
      </c>
      <c r="K61" s="36">
        <f>'Purchased Power Model '!O61</f>
        <v>162.19999999999999</v>
      </c>
      <c r="L61" s="36">
        <f>'Purchased Power Model '!P61</f>
        <v>320.39999999999998</v>
      </c>
      <c r="M61" s="10">
        <f t="shared" si="2"/>
        <v>10479905.896473367</v>
      </c>
      <c r="N61" s="10"/>
      <c r="O61" s="14"/>
    </row>
    <row r="62" spans="1:15">
      <c r="A62" s="3">
        <v>41244</v>
      </c>
      <c r="B62" s="28">
        <f>'[14]Data Input'!D136+'[16]PSP less Loss factor'!D145</f>
        <v>12357178.106485331</v>
      </c>
      <c r="C62" s="24">
        <f>'Purchased Power Model '!G62</f>
        <v>630</v>
      </c>
      <c r="D62" s="24">
        <f>'Purchased Power Model '!H62</f>
        <v>0</v>
      </c>
      <c r="E62" s="18">
        <f>'Purchased Power Model '!I62</f>
        <v>31</v>
      </c>
      <c r="F62" s="18">
        <f>'Purchased Power Model '!J62</f>
        <v>0</v>
      </c>
      <c r="G62" s="82">
        <f>'Purchased Power Model '!K62</f>
        <v>60</v>
      </c>
      <c r="H62" s="82">
        <f>'[14]Data Input'!F136+'[16]PSP less Loss factor'!E145</f>
        <v>10842</v>
      </c>
      <c r="I62" s="107">
        <f>'Purchased Power Model '!L62</f>
        <v>13.4</v>
      </c>
      <c r="J62" s="36">
        <f>'Purchased Power Model '!M62</f>
        <v>144.83339216504706</v>
      </c>
      <c r="K62" s="36">
        <f>'Purchased Power Model '!O62</f>
        <v>159</v>
      </c>
      <c r="L62" s="36">
        <f>'Purchased Power Model '!P62</f>
        <v>320.60000000000002</v>
      </c>
      <c r="M62" s="10">
        <f t="shared" si="2"/>
        <v>12328234.261171686</v>
      </c>
      <c r="N62" s="10"/>
      <c r="O62" s="14"/>
    </row>
    <row r="63" spans="1:15">
      <c r="A63" s="3">
        <v>41275</v>
      </c>
      <c r="B63" s="28">
        <f>'[14]Data Input'!D137+'[16]PSP less Loss factor'!D146</f>
        <v>13601791.479517072</v>
      </c>
      <c r="C63" s="24">
        <f>'Purchased Power Model '!G63</f>
        <v>519.5</v>
      </c>
      <c r="D63" s="24">
        <f>'Purchased Power Model '!H63</f>
        <v>0</v>
      </c>
      <c r="E63" s="18">
        <f>'Purchased Power Model '!I63</f>
        <v>31</v>
      </c>
      <c r="F63" s="18">
        <f>'Purchased Power Model '!J63</f>
        <v>0</v>
      </c>
      <c r="G63" s="82">
        <f>'Purchased Power Model '!K63</f>
        <v>61</v>
      </c>
      <c r="H63" s="82">
        <f>'[14]Data Input'!F137+'[16]PSP less Loss factor'!E146</f>
        <v>10847</v>
      </c>
      <c r="I63" s="107">
        <f>'Purchased Power Model '!L63</f>
        <v>14.5</v>
      </c>
      <c r="J63" s="36">
        <f>'Purchased Power Model '!M63</f>
        <v>144.98936781896037</v>
      </c>
      <c r="K63" s="36">
        <f>'Purchased Power Model '!O63</f>
        <v>157.6</v>
      </c>
      <c r="L63" s="36">
        <f>'Purchased Power Model '!P63</f>
        <v>320.7</v>
      </c>
      <c r="M63" s="10">
        <f t="shared" si="2"/>
        <v>11289160.124404542</v>
      </c>
      <c r="O63" s="14"/>
    </row>
    <row r="64" spans="1:15">
      <c r="A64" s="3">
        <v>41306</v>
      </c>
      <c r="B64" s="28">
        <f>'[14]Data Input'!D138+'[16]PSP less Loss factor'!D147</f>
        <v>12282553.14653437</v>
      </c>
      <c r="C64" s="24">
        <f>'Purchased Power Model '!G64</f>
        <v>703.19999999999982</v>
      </c>
      <c r="D64" s="24">
        <f>'Purchased Power Model '!H64</f>
        <v>0</v>
      </c>
      <c r="E64" s="18">
        <f>'Purchased Power Model '!I64</f>
        <v>28</v>
      </c>
      <c r="F64" s="18">
        <f>'Purchased Power Model '!J64</f>
        <v>0</v>
      </c>
      <c r="G64" s="82">
        <f>'Purchased Power Model '!K64</f>
        <v>62</v>
      </c>
      <c r="H64" s="82">
        <f>'[14]Data Input'!F138+'[16]PSP less Loss factor'!E147</f>
        <v>10849</v>
      </c>
      <c r="I64" s="107">
        <f>'Purchased Power Model '!L64</f>
        <v>15.5</v>
      </c>
      <c r="J64" s="36">
        <f>'Purchased Power Model '!M64</f>
        <v>145.14551144798114</v>
      </c>
      <c r="K64" s="36">
        <f>'Purchased Power Model '!O64</f>
        <v>157.5</v>
      </c>
      <c r="L64" s="36">
        <f>'Purchased Power Model '!P64</f>
        <v>320.89999999999998</v>
      </c>
      <c r="M64" s="10">
        <f t="shared" si="2"/>
        <v>12281902.041139705</v>
      </c>
      <c r="O64" s="14"/>
    </row>
    <row r="65" spans="1:15">
      <c r="A65" s="3">
        <v>41334</v>
      </c>
      <c r="B65" s="28">
        <f>'[14]Data Input'!D139+'[16]PSP less Loss factor'!D148</f>
        <v>11320175.415318716</v>
      </c>
      <c r="C65" s="24">
        <f>'Purchased Power Model '!G65</f>
        <v>550.30000000000018</v>
      </c>
      <c r="D65" s="24">
        <f>'Purchased Power Model '!H65</f>
        <v>0</v>
      </c>
      <c r="E65" s="18">
        <f>'Purchased Power Model '!I65</f>
        <v>31</v>
      </c>
      <c r="F65" s="18">
        <f>'Purchased Power Model '!J65</f>
        <v>1</v>
      </c>
      <c r="G65" s="82">
        <f>'Purchased Power Model '!K65</f>
        <v>63</v>
      </c>
      <c r="H65" s="82">
        <f>'[14]Data Input'!F139+'[16]PSP less Loss factor'!E148</f>
        <v>10854</v>
      </c>
      <c r="I65" s="107">
        <f>'Purchased Power Model '!L65</f>
        <v>16.7</v>
      </c>
      <c r="J65" s="36">
        <f>'Purchased Power Model '!M65</f>
        <v>145.30182323300707</v>
      </c>
      <c r="K65" s="36">
        <f>'Purchased Power Model '!O65</f>
        <v>155.4</v>
      </c>
      <c r="L65" s="36">
        <f>'Purchased Power Model '!P65</f>
        <v>321.10000000000002</v>
      </c>
      <c r="M65" s="10">
        <f t="shared" si="2"/>
        <v>10925081.110026846</v>
      </c>
      <c r="O65" s="14"/>
    </row>
    <row r="66" spans="1:15">
      <c r="A66" s="3">
        <v>41365</v>
      </c>
      <c r="B66" s="28">
        <f>'[14]Data Input'!D140+'[16]PSP less Loss factor'!D149</f>
        <v>9408227.3639420867</v>
      </c>
      <c r="C66" s="24">
        <f>'Purchased Power Model '!G66</f>
        <v>421.9</v>
      </c>
      <c r="D66" s="24">
        <f>'Purchased Power Model '!H66</f>
        <v>0</v>
      </c>
      <c r="E66" s="18">
        <f>'Purchased Power Model '!I66</f>
        <v>30</v>
      </c>
      <c r="F66" s="18">
        <f>'Purchased Power Model '!J66</f>
        <v>1</v>
      </c>
      <c r="G66" s="82">
        <f>'Purchased Power Model '!K66</f>
        <v>64</v>
      </c>
      <c r="H66" s="82">
        <f>'[14]Data Input'!F140+'[16]PSP less Loss factor'!E149</f>
        <v>10860</v>
      </c>
      <c r="I66" s="107">
        <f>'Purchased Power Model '!L66</f>
        <v>17.3</v>
      </c>
      <c r="J66" s="36">
        <f>'Purchased Power Model '!M66</f>
        <v>145.45830335513068</v>
      </c>
      <c r="K66" s="36">
        <f>'Purchased Power Model '!O66</f>
        <v>159.80000000000001</v>
      </c>
      <c r="L66" s="36">
        <f>'Purchased Power Model '!P66</f>
        <v>321.3</v>
      </c>
      <c r="M66" s="10">
        <f t="shared" si="2"/>
        <v>9472800.4206259567</v>
      </c>
      <c r="O66" s="14"/>
    </row>
    <row r="67" spans="1:15">
      <c r="A67" s="3">
        <v>41395</v>
      </c>
      <c r="B67" s="28">
        <f>'[14]Data Input'!D141+'[16]PSP less Loss factor'!D150</f>
        <v>7117641.3138467949</v>
      </c>
      <c r="C67" s="24">
        <f>'Purchased Power Model '!G67</f>
        <v>166.3</v>
      </c>
      <c r="D67" s="24">
        <f>'Purchased Power Model '!H67</f>
        <v>11.7</v>
      </c>
      <c r="E67" s="18">
        <f>'Purchased Power Model '!I67</f>
        <v>31</v>
      </c>
      <c r="F67" s="18">
        <f>'Purchased Power Model '!J67</f>
        <v>1</v>
      </c>
      <c r="G67" s="82">
        <f>'Purchased Power Model '!K67</f>
        <v>65</v>
      </c>
      <c r="H67" s="82">
        <f>'[14]Data Input'!F141+'[16]PSP less Loss factor'!E150</f>
        <v>10862</v>
      </c>
      <c r="I67" s="107">
        <f>'Purchased Power Model '!L67</f>
        <v>18.3</v>
      </c>
      <c r="J67" s="36">
        <f>'Purchased Power Model '!M67</f>
        <v>145.6149519956395</v>
      </c>
      <c r="K67" s="36">
        <f>'Purchased Power Model '!O67</f>
        <v>162.69999999999999</v>
      </c>
      <c r="L67" s="36">
        <f>'Purchased Power Model '!P67</f>
        <v>321.5</v>
      </c>
      <c r="M67" s="10">
        <f t="shared" si="2"/>
        <v>7482074.1957079247</v>
      </c>
      <c r="O67"/>
    </row>
    <row r="68" spans="1:15">
      <c r="A68" s="3">
        <v>41426</v>
      </c>
      <c r="B68" s="28">
        <f>'[14]Data Input'!D142+'[16]PSP less Loss factor'!D151</f>
        <v>6619786.5022120457</v>
      </c>
      <c r="C68" s="24">
        <f>'Purchased Power Model '!G68</f>
        <v>82.300000000000011</v>
      </c>
      <c r="D68" s="24">
        <f>'Purchased Power Model '!H68</f>
        <v>27.200000000000003</v>
      </c>
      <c r="E68" s="18">
        <f>'Purchased Power Model '!I68</f>
        <v>30</v>
      </c>
      <c r="F68" s="18">
        <f>'Purchased Power Model '!J68</f>
        <v>0</v>
      </c>
      <c r="G68" s="82">
        <f>'Purchased Power Model '!K68</f>
        <v>66</v>
      </c>
      <c r="H68" s="82">
        <f>'[14]Data Input'!F142+'[16]PSP less Loss factor'!E151</f>
        <v>10869</v>
      </c>
      <c r="I68" s="107">
        <f>'Purchased Power Model '!L68</f>
        <v>17.399999999999999</v>
      </c>
      <c r="J68" s="36">
        <f>'Purchased Power Model '!M68</f>
        <v>145.77176933601632</v>
      </c>
      <c r="K68" s="36">
        <f>'Purchased Power Model '!O68</f>
        <v>171</v>
      </c>
      <c r="L68" s="36">
        <f>'Purchased Power Model '!P68</f>
        <v>321.8</v>
      </c>
      <c r="M68" s="10">
        <f t="shared" si="2"/>
        <v>7323426.5446127178</v>
      </c>
      <c r="O68"/>
    </row>
    <row r="69" spans="1:15">
      <c r="A69" s="3">
        <v>41456</v>
      </c>
      <c r="B69" s="28">
        <f>'[14]Data Input'!D143+'[16]PSP less Loss factor'!D152</f>
        <v>7384013.418212601</v>
      </c>
      <c r="C69" s="24">
        <f>'Purchased Power Model '!G69</f>
        <v>20.400000000000002</v>
      </c>
      <c r="D69" s="24">
        <f>'Purchased Power Model '!H69</f>
        <v>75.900000000000006</v>
      </c>
      <c r="E69" s="18">
        <f>'Purchased Power Model '!I69</f>
        <v>31</v>
      </c>
      <c r="F69" s="18">
        <f>'Purchased Power Model '!J69</f>
        <v>0</v>
      </c>
      <c r="G69" s="82">
        <f>'Purchased Power Model '!K69</f>
        <v>67</v>
      </c>
      <c r="H69" s="82">
        <f>'[14]Data Input'!F143+'[16]PSP less Loss factor'!E152</f>
        <v>10870</v>
      </c>
      <c r="I69" s="107">
        <f>'Purchased Power Model '!L69</f>
        <v>16.8</v>
      </c>
      <c r="J69" s="36">
        <f>'Purchased Power Model '!M69</f>
        <v>145.92875555793933</v>
      </c>
      <c r="K69" s="36">
        <f>'Purchased Power Model '!O69</f>
        <v>175.8</v>
      </c>
      <c r="L69" s="36">
        <f>'Purchased Power Model '!P69</f>
        <v>322</v>
      </c>
      <c r="M69" s="10">
        <f t="shared" si="2"/>
        <v>7685076.0962341223</v>
      </c>
      <c r="O69"/>
    </row>
    <row r="70" spans="1:15">
      <c r="A70" s="3">
        <v>41487</v>
      </c>
      <c r="B70" s="28">
        <f>'[14]Data Input'!D144+'[16]PSP less Loss factor'!D153</f>
        <v>6775954.3380608754</v>
      </c>
      <c r="C70" s="24">
        <f>'Purchased Power Model '!G70</f>
        <v>37.400000000000006</v>
      </c>
      <c r="D70" s="24">
        <f>'Purchased Power Model '!H70</f>
        <v>21.6</v>
      </c>
      <c r="E70" s="18">
        <f>'Purchased Power Model '!I70</f>
        <v>31</v>
      </c>
      <c r="F70" s="18">
        <f>'Purchased Power Model '!J70</f>
        <v>0</v>
      </c>
      <c r="G70" s="82">
        <f>'Purchased Power Model '!K70</f>
        <v>68</v>
      </c>
      <c r="H70" s="82">
        <f>'[14]Data Input'!F144+'[16]PSP less Loss factor'!E153</f>
        <v>10919</v>
      </c>
      <c r="I70" s="107">
        <f>'Purchased Power Model '!L70</f>
        <v>15.8</v>
      </c>
      <c r="J70" s="36">
        <f>'Purchased Power Model '!M70</f>
        <v>146.08591084328242</v>
      </c>
      <c r="K70" s="36">
        <f>'Purchased Power Model '!O70</f>
        <v>179.2</v>
      </c>
      <c r="L70" s="36">
        <f>'Purchased Power Model '!P70</f>
        <v>322.3</v>
      </c>
      <c r="M70" s="10">
        <f t="shared" si="2"/>
        <v>7065740.7884673346</v>
      </c>
      <c r="O70"/>
    </row>
    <row r="71" spans="1:15">
      <c r="A71" s="3">
        <v>41518</v>
      </c>
      <c r="B71" s="28">
        <f>'[14]Data Input'!D145+'[16]PSP less Loss factor'!D154</f>
        <v>6503733.9907419737</v>
      </c>
      <c r="C71" s="24">
        <f>'Purchased Power Model '!G71</f>
        <v>157.79999999999998</v>
      </c>
      <c r="D71" s="24">
        <f>'Purchased Power Model '!H71</f>
        <v>7.1</v>
      </c>
      <c r="E71" s="18">
        <f>'Purchased Power Model '!I71</f>
        <v>30</v>
      </c>
      <c r="F71" s="18">
        <f>'Purchased Power Model '!J71</f>
        <v>1</v>
      </c>
      <c r="G71" s="82">
        <f>'Purchased Power Model '!K71</f>
        <v>69</v>
      </c>
      <c r="H71" s="82">
        <f>'[14]Data Input'!F145+'[16]PSP less Loss factor'!E154</f>
        <v>10927</v>
      </c>
      <c r="I71" s="107">
        <f>'Purchased Power Model '!L71</f>
        <v>13.8</v>
      </c>
      <c r="J71" s="36">
        <f>'Purchased Power Model '!M71</f>
        <v>146.2432353741153</v>
      </c>
      <c r="K71" s="36">
        <f>'Purchased Power Model '!O71</f>
        <v>179.7</v>
      </c>
      <c r="L71" s="36">
        <f>'Purchased Power Model '!P71</f>
        <v>322.60000000000002</v>
      </c>
      <c r="M71" s="10">
        <f t="shared" si="2"/>
        <v>7091247.6776629006</v>
      </c>
      <c r="O71"/>
    </row>
    <row r="72" spans="1:15">
      <c r="A72" s="3">
        <v>41548</v>
      </c>
      <c r="B72" s="28">
        <f>'[14]Data Input'!D146+'[16]PSP less Loss factor'!D155</f>
        <v>7801963.3757378124</v>
      </c>
      <c r="C72" s="24">
        <f>'Purchased Power Model '!G72</f>
        <v>301.7</v>
      </c>
      <c r="D72" s="24">
        <f>'Purchased Power Model '!H72</f>
        <v>0</v>
      </c>
      <c r="E72" s="18">
        <f>'Purchased Power Model '!I72</f>
        <v>31</v>
      </c>
      <c r="F72" s="18">
        <f>'Purchased Power Model '!J72</f>
        <v>1</v>
      </c>
      <c r="G72" s="82">
        <f>'Purchased Power Model '!K72</f>
        <v>70</v>
      </c>
      <c r="H72" s="82">
        <f>'[14]Data Input'!F146+'[16]PSP less Loss factor'!E155</f>
        <v>10933</v>
      </c>
      <c r="I72" s="107">
        <f>'Purchased Power Model '!L72</f>
        <v>12</v>
      </c>
      <c r="J72" s="36">
        <f>'Purchased Power Model '!M72</f>
        <v>146.4007293327038</v>
      </c>
      <c r="K72" s="36">
        <f>'Purchased Power Model '!O72</f>
        <v>176.1</v>
      </c>
      <c r="L72" s="36">
        <f>'Purchased Power Model '!P72</f>
        <v>322.8</v>
      </c>
      <c r="M72" s="10">
        <f t="shared" si="2"/>
        <v>8587396.0270911958</v>
      </c>
      <c r="O72"/>
    </row>
    <row r="73" spans="1:15">
      <c r="A73" s="3">
        <v>41579</v>
      </c>
      <c r="B73" s="28">
        <f>'[14]Data Input'!D147+'[16]PSP less Loss factor'!D156</f>
        <v>10648879.004377833</v>
      </c>
      <c r="C73" s="24">
        <f>'Purchased Power Model '!G73</f>
        <v>564.70000000000005</v>
      </c>
      <c r="D73" s="24">
        <f>'Purchased Power Model '!H73</f>
        <v>0</v>
      </c>
      <c r="E73" s="18">
        <f>'Purchased Power Model '!I73</f>
        <v>30</v>
      </c>
      <c r="F73" s="18">
        <f>'Purchased Power Model '!J73</f>
        <v>1</v>
      </c>
      <c r="G73" s="82">
        <f>'Purchased Power Model '!K73</f>
        <v>71</v>
      </c>
      <c r="H73" s="82">
        <f>'[14]Data Input'!F147+'[16]PSP less Loss factor'!E156</f>
        <v>10938</v>
      </c>
      <c r="I73" s="107">
        <f>'Purchased Power Model '!L73</f>
        <v>9.6999999999999993</v>
      </c>
      <c r="J73" s="36">
        <f>'Purchased Power Model '!M73</f>
        <v>146.55839290151005</v>
      </c>
      <c r="K73" s="36">
        <f>'Purchased Power Model '!O73</f>
        <v>172.5</v>
      </c>
      <c r="L73" s="36">
        <f>'Purchased Power Model '!P73</f>
        <v>322.89999999999998</v>
      </c>
      <c r="M73" s="10">
        <f t="shared" si="2"/>
        <v>10815598.055262441</v>
      </c>
      <c r="O73"/>
    </row>
    <row r="74" spans="1:15">
      <c r="A74" s="3">
        <v>41609</v>
      </c>
      <c r="B74" s="28">
        <f>'[14]Data Input'!D148+'[16]PSP less Loss factor'!D157</f>
        <v>14055830.376114352</v>
      </c>
      <c r="C74" s="24">
        <f>'Purchased Power Model '!G74</f>
        <v>848.00000000000011</v>
      </c>
      <c r="D74" s="24">
        <f>'Purchased Power Model '!H74</f>
        <v>0</v>
      </c>
      <c r="E74" s="18">
        <f>'Purchased Power Model '!I74</f>
        <v>31</v>
      </c>
      <c r="F74" s="18">
        <f>'Purchased Power Model '!J74</f>
        <v>0</v>
      </c>
      <c r="G74" s="82">
        <f>'Purchased Power Model '!K74</f>
        <v>72</v>
      </c>
      <c r="H74" s="82">
        <f>'[14]Data Input'!F148+'[16]PSP less Loss factor'!E157</f>
        <v>10948</v>
      </c>
      <c r="I74" s="107">
        <f>'Purchased Power Model '!L74</f>
        <v>9.9</v>
      </c>
      <c r="J74" s="36">
        <f>'Purchased Power Model '!M74</f>
        <v>146.71622626319265</v>
      </c>
      <c r="K74" s="36">
        <f>'Purchased Power Model '!O74</f>
        <v>167.8</v>
      </c>
      <c r="L74" s="36">
        <f>'Purchased Power Model '!P74</f>
        <v>323.10000000000002</v>
      </c>
      <c r="M74" s="10">
        <f t="shared" si="2"/>
        <v>14378162.494087994</v>
      </c>
      <c r="O74"/>
    </row>
    <row r="75" spans="1:15">
      <c r="A75" s="3">
        <v>41640</v>
      </c>
      <c r="B75" s="28">
        <f>'[14]Data Input'!D149+'[16]PSP less Loss factor'!D158</f>
        <v>15094589.382763438</v>
      </c>
      <c r="C75" s="24">
        <f>'Purchased Power Model '!G75</f>
        <v>941.79999999999984</v>
      </c>
      <c r="D75" s="24">
        <f>'Purchased Power Model '!H75</f>
        <v>0</v>
      </c>
      <c r="E75" s="18">
        <f>'Purchased Power Model '!I75</f>
        <v>31</v>
      </c>
      <c r="F75" s="18">
        <f>'Purchased Power Model '!J75</f>
        <v>0</v>
      </c>
      <c r="G75" s="82">
        <f>'Purchased Power Model '!K75</f>
        <v>73</v>
      </c>
      <c r="H75" s="82">
        <f>'[14]Data Input'!F149+'[16]PSP less Loss factor'!E158</f>
        <v>10951</v>
      </c>
      <c r="I75" s="107">
        <f>'Purchased Power Model '!L75</f>
        <v>10.5</v>
      </c>
      <c r="J75" s="36">
        <f>'Purchased Power Model '!M75</f>
        <v>147.04232175221028</v>
      </c>
      <c r="K75" s="36">
        <f>'Purchased Power Model '!O75</f>
        <v>168.3</v>
      </c>
      <c r="L75" s="36">
        <f>'Purchased Power Model '!P75</f>
        <v>323.3</v>
      </c>
      <c r="M75" s="10">
        <f t="shared" si="2"/>
        <v>15260198.779395416</v>
      </c>
      <c r="N75" s="50"/>
      <c r="O75"/>
    </row>
    <row r="76" spans="1:15">
      <c r="A76" s="3">
        <v>41671</v>
      </c>
      <c r="B76" s="28">
        <f>'[14]Data Input'!D150+'[16]PSP less Loss factor'!D159</f>
        <v>12803913.190357108</v>
      </c>
      <c r="C76" s="24">
        <f>'Purchased Power Model '!G76</f>
        <v>857.40000000000009</v>
      </c>
      <c r="D76" s="24">
        <f>'Purchased Power Model '!H76</f>
        <v>0</v>
      </c>
      <c r="E76" s="18">
        <f>'Purchased Power Model '!I76</f>
        <v>28</v>
      </c>
      <c r="F76" s="18">
        <f>'Purchased Power Model '!J76</f>
        <v>0</v>
      </c>
      <c r="G76" s="82">
        <f>'Purchased Power Model '!K76</f>
        <v>74</v>
      </c>
      <c r="H76" s="82">
        <f>'[14]Data Input'!F150+'[16]PSP less Loss factor'!E159</f>
        <v>10948</v>
      </c>
      <c r="I76" s="107">
        <f>'Purchased Power Model '!L76</f>
        <v>13</v>
      </c>
      <c r="J76" s="36">
        <f>'Purchased Power Model '!M76</f>
        <v>147.36914202996238</v>
      </c>
      <c r="K76" s="36">
        <f>'Purchased Power Model '!O76</f>
        <v>168.8</v>
      </c>
      <c r="L76" s="36">
        <f>'Purchased Power Model '!P76</f>
        <v>323.39999999999998</v>
      </c>
      <c r="M76" s="10">
        <f t="shared" si="2"/>
        <v>13731894.665008744</v>
      </c>
      <c r="N76" s="50"/>
      <c r="O76"/>
    </row>
    <row r="77" spans="1:15">
      <c r="A77" s="3">
        <v>41699</v>
      </c>
      <c r="B77" s="28">
        <f>'[14]Data Input'!D151+'[16]PSP less Loss factor'!D160</f>
        <v>12827196.253946707</v>
      </c>
      <c r="C77" s="24">
        <f>'Purchased Power Model '!G77</f>
        <v>806.80000000000007</v>
      </c>
      <c r="D77" s="24">
        <f>'Purchased Power Model '!H77</f>
        <v>0</v>
      </c>
      <c r="E77" s="18">
        <f>'Purchased Power Model '!I77</f>
        <v>31</v>
      </c>
      <c r="F77" s="18">
        <f>'Purchased Power Model '!J77</f>
        <v>1</v>
      </c>
      <c r="G77" s="82">
        <f>'Purchased Power Model '!K77</f>
        <v>75</v>
      </c>
      <c r="H77" s="82">
        <f>'[14]Data Input'!F151+'[16]PSP less Loss factor'!E160</f>
        <v>10949</v>
      </c>
      <c r="I77" s="107">
        <f>'Purchased Power Model '!L77</f>
        <v>14.9</v>
      </c>
      <c r="J77" s="36">
        <f>'Purchased Power Model '!M77</f>
        <v>147.69668870738414</v>
      </c>
      <c r="K77" s="36">
        <f>'Purchased Power Model '!O77</f>
        <v>171.7</v>
      </c>
      <c r="L77" s="36">
        <f>'Purchased Power Model '!P77</f>
        <v>323.5</v>
      </c>
      <c r="M77" s="10">
        <f t="shared" si="2"/>
        <v>13337039.451850988</v>
      </c>
      <c r="N77" s="50"/>
      <c r="O77"/>
    </row>
    <row r="78" spans="1:15">
      <c r="A78" s="3">
        <v>41730</v>
      </c>
      <c r="B78" s="28">
        <f>'[14]Data Input'!D152+'[16]PSP less Loss factor'!D161</f>
        <v>9507309.2910037972</v>
      </c>
      <c r="C78" s="24">
        <f>'Purchased Power Model '!G78</f>
        <v>371.6</v>
      </c>
      <c r="D78" s="24">
        <f>'Purchased Power Model '!H78</f>
        <v>0</v>
      </c>
      <c r="E78" s="18">
        <f>'Purchased Power Model '!I78</f>
        <v>30</v>
      </c>
      <c r="F78" s="18">
        <f>'Purchased Power Model '!J78</f>
        <v>1</v>
      </c>
      <c r="G78" s="82">
        <f>'Purchased Power Model '!K78</f>
        <v>76</v>
      </c>
      <c r="H78" s="82">
        <f>'[14]Data Input'!F152+'[16]PSP less Loss factor'!E161</f>
        <v>10949</v>
      </c>
      <c r="I78" s="107">
        <f>'Purchased Power Model '!L78</f>
        <v>15.8</v>
      </c>
      <c r="J78" s="36">
        <f>'Purchased Power Model '!M78</f>
        <v>148.02496339899133</v>
      </c>
      <c r="K78" s="36">
        <f>'Purchased Power Model '!O78</f>
        <v>174.1</v>
      </c>
      <c r="L78" s="36">
        <f>'Purchased Power Model '!P78</f>
        <v>323.7</v>
      </c>
      <c r="M78" s="10">
        <f t="shared" si="2"/>
        <v>8999801.9465299957</v>
      </c>
      <c r="N78" s="50"/>
      <c r="O78"/>
    </row>
    <row r="79" spans="1:15">
      <c r="A79" s="3">
        <v>41760</v>
      </c>
      <c r="B79" s="28">
        <f>'[14]Data Input'!D153+'[16]PSP less Loss factor'!D162</f>
        <v>7229742.7856425159</v>
      </c>
      <c r="C79" s="24">
        <f>'Purchased Power Model '!G79</f>
        <v>196.5</v>
      </c>
      <c r="D79" s="24">
        <f>'Purchased Power Model '!H79</f>
        <v>0.30000000000000004</v>
      </c>
      <c r="E79" s="18">
        <f>'Purchased Power Model '!I79</f>
        <v>31</v>
      </c>
      <c r="F79" s="18">
        <f>'Purchased Power Model '!J79</f>
        <v>1</v>
      </c>
      <c r="G79" s="82">
        <f>'Purchased Power Model '!K79</f>
        <v>77</v>
      </c>
      <c r="H79" s="82">
        <f>'[14]Data Input'!F153+'[16]PSP less Loss factor'!E162</f>
        <v>10944</v>
      </c>
      <c r="I79" s="107">
        <f>'Purchased Power Model '!L79</f>
        <v>15.1</v>
      </c>
      <c r="J79" s="36">
        <f>'Purchased Power Model '!M79</f>
        <v>148.35396772288814</v>
      </c>
      <c r="K79" s="36">
        <f>'Purchased Power Model '!O79</f>
        <v>179.2</v>
      </c>
      <c r="L79" s="36">
        <f>'Purchased Power Model '!P79</f>
        <v>323.8</v>
      </c>
      <c r="M79" s="10">
        <f t="shared" si="2"/>
        <v>7602460.4860534742</v>
      </c>
      <c r="N79" s="50"/>
      <c r="O79"/>
    </row>
    <row r="80" spans="1:15">
      <c r="A80" s="3">
        <v>41791</v>
      </c>
      <c r="B80" s="28">
        <f>'[14]Data Input'!D154+'[16]PSP less Loss factor'!D163</f>
        <v>6471676.4542631172</v>
      </c>
      <c r="C80" s="24">
        <f>'Purchased Power Model '!G80</f>
        <v>42.7</v>
      </c>
      <c r="D80" s="24">
        <f>'Purchased Power Model '!H80</f>
        <v>20.200000000000003</v>
      </c>
      <c r="E80" s="18">
        <f>'Purchased Power Model '!I80</f>
        <v>30</v>
      </c>
      <c r="F80" s="18">
        <f>'Purchased Power Model '!J80</f>
        <v>0</v>
      </c>
      <c r="G80" s="82">
        <f>'Purchased Power Model '!K80</f>
        <v>78</v>
      </c>
      <c r="H80" s="82">
        <f>'[14]Data Input'!F154+'[16]PSP less Loss factor'!E163</f>
        <v>10968</v>
      </c>
      <c r="I80" s="107">
        <f>'Purchased Power Model '!L80</f>
        <v>12.9</v>
      </c>
      <c r="J80" s="36">
        <f>'Purchased Power Model '!M80</f>
        <v>148.68370330077519</v>
      </c>
      <c r="K80" s="36">
        <f>'Purchased Power Model '!O80</f>
        <v>187.9</v>
      </c>
      <c r="L80" s="36">
        <f>'Purchased Power Model '!P80</f>
        <v>324</v>
      </c>
      <c r="M80" s="10">
        <f t="shared" si="2"/>
        <v>6850595.8999357577</v>
      </c>
      <c r="N80" s="50"/>
      <c r="O80"/>
    </row>
    <row r="81" spans="1:36">
      <c r="A81" s="3">
        <v>41821</v>
      </c>
      <c r="B81" s="28">
        <f>'[14]Data Input'!D155+'[16]PSP less Loss factor'!D164</f>
        <v>6701854.6872032564</v>
      </c>
      <c r="C81" s="24">
        <f>'Purchased Power Model '!G81</f>
        <v>58.599999999999987</v>
      </c>
      <c r="D81" s="24">
        <f>'Purchased Power Model '!H81</f>
        <v>18.3</v>
      </c>
      <c r="E81" s="18">
        <f>'Purchased Power Model '!I81</f>
        <v>31</v>
      </c>
      <c r="F81" s="18">
        <f>'Purchased Power Model '!J81</f>
        <v>0</v>
      </c>
      <c r="G81" s="82">
        <f>'Purchased Power Model '!K81</f>
        <v>79</v>
      </c>
      <c r="H81" s="82">
        <f>'[14]Data Input'!F155+'[16]PSP less Loss factor'!E164</f>
        <v>10964</v>
      </c>
      <c r="I81" s="107">
        <f>'Purchased Power Model '!L81</f>
        <v>12.3</v>
      </c>
      <c r="J81" s="36">
        <f>'Purchased Power Model '!M81</f>
        <v>149.0141717579576</v>
      </c>
      <c r="K81" s="36">
        <f>'Purchased Power Model '!O81</f>
        <v>194.1</v>
      </c>
      <c r="L81" s="36">
        <f>'Purchased Power Model '!P81</f>
        <v>324.3</v>
      </c>
      <c r="M81" s="10">
        <f t="shared" si="2"/>
        <v>7217730.4394513527</v>
      </c>
      <c r="N81" s="50"/>
      <c r="O81"/>
    </row>
    <row r="82" spans="1:36">
      <c r="A82" s="3">
        <v>41852</v>
      </c>
      <c r="B82" s="28">
        <f>'[14]Data Input'!D156+'[16]PSP less Loss factor'!D165</f>
        <v>6774992.2205930268</v>
      </c>
      <c r="C82" s="24">
        <f>'Purchased Power Model '!G82</f>
        <v>43.800000000000004</v>
      </c>
      <c r="D82" s="24">
        <f>'Purchased Power Model '!H82</f>
        <v>24.400000000000002</v>
      </c>
      <c r="E82" s="18">
        <f>'Purchased Power Model '!I82</f>
        <v>31</v>
      </c>
      <c r="F82" s="18">
        <f>'Purchased Power Model '!J82</f>
        <v>0</v>
      </c>
      <c r="G82" s="82">
        <f>'Purchased Power Model '!K82</f>
        <v>80</v>
      </c>
      <c r="H82" s="82">
        <f>'[14]Data Input'!F156+'[16]PSP less Loss factor'!E165</f>
        <v>10966</v>
      </c>
      <c r="I82" s="107">
        <f>'Purchased Power Model '!L82</f>
        <v>11.7</v>
      </c>
      <c r="J82" s="36">
        <f>'Purchased Power Model '!M82</f>
        <v>149.34537472335285</v>
      </c>
      <c r="K82" s="36">
        <f>'Purchased Power Model '!O82</f>
        <v>197.7</v>
      </c>
      <c r="L82" s="36">
        <f>'Purchased Power Model '!P82</f>
        <v>324.5</v>
      </c>
      <c r="M82" s="10">
        <f t="shared" si="2"/>
        <v>7166093.2615959747</v>
      </c>
      <c r="N82" s="50"/>
      <c r="O82"/>
    </row>
    <row r="83" spans="1:36">
      <c r="A83" s="3">
        <v>41883</v>
      </c>
      <c r="B83" s="28">
        <f>'[14]Data Input'!D157+'[16]PSP less Loss factor'!D166</f>
        <v>6559011.4612110266</v>
      </c>
      <c r="C83" s="24">
        <f>'Purchased Power Model '!G83</f>
        <v>133.4</v>
      </c>
      <c r="D83" s="24">
        <f>'Purchased Power Model '!H83</f>
        <v>3.5</v>
      </c>
      <c r="E83" s="18">
        <f>'Purchased Power Model '!I83</f>
        <v>30</v>
      </c>
      <c r="F83" s="18">
        <f>'Purchased Power Model '!J83</f>
        <v>1</v>
      </c>
      <c r="G83" s="82">
        <f>'Purchased Power Model '!K83</f>
        <v>81</v>
      </c>
      <c r="H83" s="82">
        <f>'[14]Data Input'!F157+'[16]PSP less Loss factor'!E166</f>
        <v>10970</v>
      </c>
      <c r="I83" s="107">
        <f>'Purchased Power Model '!L83</f>
        <v>10.9</v>
      </c>
      <c r="J83" s="36">
        <f>'Purchased Power Model '!M83</f>
        <v>149.67731382949896</v>
      </c>
      <c r="K83" s="36">
        <f>'Purchased Power Model '!O83</f>
        <v>195.1</v>
      </c>
      <c r="L83" s="36">
        <f>'Purchased Power Model '!P83</f>
        <v>324.7</v>
      </c>
      <c r="M83" s="10">
        <f t="shared" si="2"/>
        <v>6810137.5898650251</v>
      </c>
      <c r="N83" s="50"/>
      <c r="O83"/>
    </row>
    <row r="84" spans="1:36">
      <c r="A84" s="3">
        <v>41913</v>
      </c>
      <c r="B84" s="28">
        <f>'[14]Data Input'!D158+'[16]PSP less Loss factor'!D167</f>
        <v>7825270.6172051057</v>
      </c>
      <c r="C84" s="24">
        <f>'Purchased Power Model '!G84</f>
        <v>280.3</v>
      </c>
      <c r="D84" s="24">
        <f>'Purchased Power Model '!H84</f>
        <v>0.3</v>
      </c>
      <c r="E84" s="18">
        <f>'Purchased Power Model '!I84</f>
        <v>31</v>
      </c>
      <c r="F84" s="18">
        <f>'Purchased Power Model '!J84</f>
        <v>1</v>
      </c>
      <c r="G84" s="82">
        <f>'Purchased Power Model '!K84</f>
        <v>82</v>
      </c>
      <c r="H84" s="82">
        <f>'[14]Data Input'!F158+'[16]PSP less Loss factor'!E167</f>
        <v>10986</v>
      </c>
      <c r="I84" s="107">
        <f>'Purchased Power Model '!L84</f>
        <v>10.199999999999999</v>
      </c>
      <c r="J84" s="36">
        <f>'Purchased Power Model '!M84</f>
        <v>150.00999071256246</v>
      </c>
      <c r="K84" s="36">
        <f>'Purchased Power Model '!O84</f>
        <v>194.1</v>
      </c>
      <c r="L84" s="36">
        <f>'Purchased Power Model '!P84</f>
        <v>324.8</v>
      </c>
      <c r="M84" s="10">
        <f t="shared" si="2"/>
        <v>8390460.147621803</v>
      </c>
      <c r="N84" s="50"/>
      <c r="O84"/>
    </row>
    <row r="85" spans="1:36">
      <c r="A85" s="3">
        <v>41944</v>
      </c>
      <c r="B85" s="28">
        <f>'[14]Data Input'!D159+'[16]PSP less Loss factor'!D168</f>
        <v>10474665.054135446</v>
      </c>
      <c r="C85" s="24">
        <f>'Purchased Power Model '!G85</f>
        <v>559.80000000000007</v>
      </c>
      <c r="D85" s="24">
        <f>'Purchased Power Model '!H85</f>
        <v>0</v>
      </c>
      <c r="E85" s="18">
        <f>'Purchased Power Model '!I85</f>
        <v>30</v>
      </c>
      <c r="F85" s="18">
        <f>'Purchased Power Model '!J85</f>
        <v>1</v>
      </c>
      <c r="G85" s="82">
        <f>'Purchased Power Model '!K85</f>
        <v>83</v>
      </c>
      <c r="H85" s="82">
        <f>'[14]Data Input'!F159+'[16]PSP less Loss factor'!E168</f>
        <v>10988</v>
      </c>
      <c r="I85" s="107">
        <f>'Purchased Power Model '!L85</f>
        <v>9.5</v>
      </c>
      <c r="J85" s="36">
        <f>'Purchased Power Model '!M85</f>
        <v>150.34340701234646</v>
      </c>
      <c r="K85" s="36">
        <f>'Purchased Power Model '!O85</f>
        <v>191.1</v>
      </c>
      <c r="L85" s="36">
        <f>'Purchased Power Model '!P85</f>
        <v>325</v>
      </c>
      <c r="M85" s="10">
        <f t="shared" si="2"/>
        <v>10769513.00829416</v>
      </c>
      <c r="N85" s="50"/>
      <c r="O85"/>
    </row>
    <row r="86" spans="1:36">
      <c r="A86" s="3">
        <v>41974</v>
      </c>
      <c r="B86" s="28">
        <f>'[14]Data Input'!D160+'[16]PSP less Loss factor'!D169</f>
        <v>12163160.826666666</v>
      </c>
      <c r="C86" s="24">
        <f>'Purchased Power Model '!G86</f>
        <v>663.1</v>
      </c>
      <c r="D86" s="24">
        <f>'Purchased Power Model '!H86</f>
        <v>0</v>
      </c>
      <c r="E86" s="18">
        <f>'Purchased Power Model '!I86</f>
        <v>31</v>
      </c>
      <c r="F86" s="18">
        <f>'Purchased Power Model '!J86</f>
        <v>0</v>
      </c>
      <c r="G86" s="82">
        <f>'Purchased Power Model '!K86</f>
        <v>84</v>
      </c>
      <c r="H86" s="82">
        <f>'[14]Data Input'!F160+'[16]PSP less Loss factor'!E169</f>
        <v>10986</v>
      </c>
      <c r="I86" s="107">
        <f>'Purchased Power Model '!L86</f>
        <v>11.1</v>
      </c>
      <c r="J86" s="36">
        <f>'Purchased Power Model '!M86</f>
        <v>150.67756437229883</v>
      </c>
      <c r="K86" s="36">
        <f>'Purchased Power Model '!O86</f>
        <v>190.5</v>
      </c>
      <c r="L86" s="36">
        <f>'Purchased Power Model '!P86</f>
        <v>325.10000000000002</v>
      </c>
      <c r="M86" s="10">
        <f t="shared" si="2"/>
        <v>12639469.145732427</v>
      </c>
      <c r="N86" s="50"/>
      <c r="O86"/>
    </row>
    <row r="87" spans="1:36" s="15" customFormat="1">
      <c r="A87" s="3">
        <v>42005</v>
      </c>
      <c r="B87" s="28">
        <f>'[14]Data Input'!D161+'[16]PSP less Loss factor'!D170</f>
        <v>14436422.183333334</v>
      </c>
      <c r="C87" s="24">
        <f>'Purchased Power Model '!G87</f>
        <v>801.2</v>
      </c>
      <c r="D87" s="24">
        <f>'Purchased Power Model '!H87</f>
        <v>0</v>
      </c>
      <c r="E87" s="18">
        <f>'Purchased Power Model '!I87</f>
        <v>31</v>
      </c>
      <c r="F87" s="18">
        <f>'Purchased Power Model '!J87</f>
        <v>0</v>
      </c>
      <c r="G87" s="82">
        <f>'Purchased Power Model '!K87</f>
        <v>85</v>
      </c>
      <c r="H87" s="82">
        <f>'[14]Data Input'!F161+'[16]PSP less Loss factor'!E170</f>
        <v>11011</v>
      </c>
      <c r="I87" s="107">
        <f>'Purchased Power Model '!L87</f>
        <v>13.4</v>
      </c>
      <c r="J87" s="36">
        <f>'Purchased Power Model '!M87</f>
        <v>150.98793548444445</v>
      </c>
      <c r="K87" s="36">
        <f>'Purchased Power Model '!O87</f>
        <v>187.3</v>
      </c>
      <c r="L87" s="36">
        <f>'Purchased Power Model '!P87</f>
        <v>325.2</v>
      </c>
      <c r="M87" s="10">
        <f t="shared" ref="M87:M118" si="3">$P$18+C87*$P$19+D87*$P$20+E87*$P$21+F87*$P$22+G87*$P$23+H87*$P$24</f>
        <v>13938075.140770167</v>
      </c>
      <c r="N87" s="50"/>
      <c r="O87"/>
      <c r="P87"/>
      <c r="Q87"/>
      <c r="R87"/>
      <c r="S87"/>
      <c r="T87"/>
      <c r="U87"/>
      <c r="V87"/>
      <c r="W87"/>
      <c r="X87"/>
      <c r="Y87"/>
      <c r="Z87"/>
      <c r="AA87"/>
      <c r="AB87"/>
      <c r="AC87"/>
      <c r="AD87"/>
      <c r="AE87"/>
      <c r="AF87"/>
      <c r="AG87"/>
      <c r="AH87"/>
      <c r="AI87"/>
      <c r="AJ87" s="11"/>
    </row>
    <row r="88" spans="1:36">
      <c r="A88" s="3">
        <v>42036</v>
      </c>
      <c r="B88" s="28">
        <f>'[14]Data Input'!D162+'[16]PSP less Loss factor'!D171</f>
        <v>13756630.153333332</v>
      </c>
      <c r="C88" s="24">
        <f>'Purchased Power Model '!G88</f>
        <v>987.99999999999977</v>
      </c>
      <c r="D88" s="24">
        <f>'Purchased Power Model '!H88</f>
        <v>0</v>
      </c>
      <c r="E88" s="18">
        <f>'Purchased Power Model '!I88</f>
        <v>28</v>
      </c>
      <c r="F88" s="18">
        <f>'Purchased Power Model '!J88</f>
        <v>0</v>
      </c>
      <c r="G88" s="82">
        <f>'Purchased Power Model '!K88</f>
        <v>86</v>
      </c>
      <c r="H88" s="82">
        <f>'[14]Data Input'!F162+'[16]PSP less Loss factor'!E171</f>
        <v>11004</v>
      </c>
      <c r="I88" s="107">
        <f>'Purchased Power Model '!L88</f>
        <v>15.7</v>
      </c>
      <c r="J88" s="36">
        <f>'Purchased Power Model '!M88</f>
        <v>151.298945910264</v>
      </c>
      <c r="K88" s="36">
        <f>'Purchased Power Model '!O88</f>
        <v>187.9</v>
      </c>
      <c r="L88" s="36">
        <f>'Purchased Power Model '!P88</f>
        <v>325.3</v>
      </c>
      <c r="M88" s="10">
        <f t="shared" si="3"/>
        <v>14959967.533806998</v>
      </c>
      <c r="N88" s="50"/>
    </row>
    <row r="89" spans="1:36">
      <c r="A89" s="3">
        <v>42064</v>
      </c>
      <c r="B89" s="28">
        <f>'[14]Data Input'!D163+'[16]PSP less Loss factor'!D172</f>
        <v>11761672.763333334</v>
      </c>
      <c r="C89" s="24">
        <f>'Purchased Power Model '!G89</f>
        <v>742.8</v>
      </c>
      <c r="D89" s="24">
        <f>'Purchased Power Model '!H89</f>
        <v>0</v>
      </c>
      <c r="E89" s="18">
        <f>'Purchased Power Model '!I89</f>
        <v>31</v>
      </c>
      <c r="F89" s="18">
        <f>'Purchased Power Model '!J89</f>
        <v>1</v>
      </c>
      <c r="G89" s="82">
        <f>'Purchased Power Model '!K89</f>
        <v>87</v>
      </c>
      <c r="H89" s="82">
        <f>'[14]Data Input'!F163+'[16]PSP less Loss factor'!E172</f>
        <v>11001</v>
      </c>
      <c r="I89" s="107">
        <f>'Purchased Power Model '!L89</f>
        <v>17.7</v>
      </c>
      <c r="J89" s="36">
        <f>'Purchased Power Model '!M89</f>
        <v>151.61059696663892</v>
      </c>
      <c r="K89" s="36">
        <f>'Purchased Power Model '!O89</f>
        <v>187</v>
      </c>
      <c r="L89" s="36">
        <f>'Purchased Power Model '!P89</f>
        <v>325.39999999999998</v>
      </c>
      <c r="M89" s="10">
        <f t="shared" si="3"/>
        <v>12735214.679260548</v>
      </c>
      <c r="N89" s="50"/>
    </row>
    <row r="90" spans="1:36">
      <c r="A90" s="3">
        <v>42095</v>
      </c>
      <c r="B90" s="28">
        <f>'[14]Data Input'!D164+'[16]PSP less Loss factor'!D173</f>
        <v>8713121.3133333325</v>
      </c>
      <c r="C90" s="24">
        <f>'Purchased Power Model '!G90</f>
        <v>404.5</v>
      </c>
      <c r="D90" s="24">
        <f>'Purchased Power Model '!H90</f>
        <v>0</v>
      </c>
      <c r="E90" s="18">
        <f>'Purchased Power Model '!I90</f>
        <v>30</v>
      </c>
      <c r="F90" s="18">
        <f>'Purchased Power Model '!J90</f>
        <v>1</v>
      </c>
      <c r="G90" s="82">
        <f>'Purchased Power Model '!K90</f>
        <v>88</v>
      </c>
      <c r="H90" s="82">
        <f>'[14]Data Input'!F164+'[16]PSP less Loss factor'!E173</f>
        <v>10997</v>
      </c>
      <c r="I90" s="107">
        <f>'Purchased Power Model '!L90</f>
        <v>19.600000000000001</v>
      </c>
      <c r="J90" s="36">
        <f>'Purchased Power Model '!M90</f>
        <v>151.92288997316331</v>
      </c>
      <c r="K90" s="36">
        <f>'Purchased Power Model '!O90</f>
        <v>182.1</v>
      </c>
      <c r="L90" s="36">
        <f>'Purchased Power Model '!P90</f>
        <v>325.5</v>
      </c>
      <c r="M90" s="10">
        <f t="shared" si="3"/>
        <v>9309164.6428530458</v>
      </c>
      <c r="N90" s="50"/>
    </row>
    <row r="91" spans="1:36">
      <c r="A91" s="3">
        <v>42125</v>
      </c>
      <c r="B91" s="28">
        <f>'[14]Data Input'!D165+'[16]PSP less Loss factor'!D174</f>
        <v>6781613.9533333331</v>
      </c>
      <c r="C91" s="24">
        <f>'Purchased Power Model '!G91</f>
        <v>157.99999999999997</v>
      </c>
      <c r="D91" s="24">
        <f>'Purchased Power Model '!H91</f>
        <v>17.199999999999996</v>
      </c>
      <c r="E91" s="18">
        <f>'Purchased Power Model '!I91</f>
        <v>31</v>
      </c>
      <c r="F91" s="18">
        <f>'Purchased Power Model '!J91</f>
        <v>1</v>
      </c>
      <c r="G91" s="82">
        <f>'Purchased Power Model '!K91</f>
        <v>89</v>
      </c>
      <c r="H91" s="82">
        <f>'[14]Data Input'!F165+'[16]PSP less Loss factor'!E174</f>
        <v>10999</v>
      </c>
      <c r="I91" s="107">
        <f>'Purchased Power Model '!L91</f>
        <v>20.100000000000001</v>
      </c>
      <c r="J91" s="36">
        <f>'Purchased Power Model '!M91</f>
        <v>152.23582625214937</v>
      </c>
      <c r="K91" s="36">
        <f>'Purchased Power Model '!O91</f>
        <v>174.7</v>
      </c>
      <c r="L91" s="36">
        <f>'Purchased Power Model '!P91</f>
        <v>325.60000000000002</v>
      </c>
      <c r="M91" s="10">
        <f t="shared" si="3"/>
        <v>7482932.8593716761</v>
      </c>
      <c r="N91" s="50"/>
    </row>
    <row r="92" spans="1:36">
      <c r="A92" s="3">
        <v>42156</v>
      </c>
      <c r="B92" s="28">
        <f>'[14]Data Input'!D166+'[16]PSP less Loss factor'!D175</f>
        <v>6191305.6533333333</v>
      </c>
      <c r="C92" s="24">
        <f>'Purchased Power Model '!G92</f>
        <v>72.999999999999986</v>
      </c>
      <c r="D92" s="24">
        <f>'Purchased Power Model '!H92</f>
        <v>4</v>
      </c>
      <c r="E92" s="18">
        <f>'Purchased Power Model '!I92</f>
        <v>30</v>
      </c>
      <c r="F92" s="18">
        <f>'Purchased Power Model '!J92</f>
        <v>0</v>
      </c>
      <c r="G92" s="82">
        <f>'Purchased Power Model '!K92</f>
        <v>90</v>
      </c>
      <c r="H92" s="82">
        <f>'[14]Data Input'!F166+'[16]PSP less Loss factor'!E175</f>
        <v>10998</v>
      </c>
      <c r="I92" s="107">
        <f>'Purchased Power Model '!L92</f>
        <v>16.899999999999999</v>
      </c>
      <c r="J92" s="36">
        <f>'Purchased Power Model '!M92</f>
        <v>152.54940712863302</v>
      </c>
      <c r="K92" s="36">
        <f>'Purchased Power Model '!O92</f>
        <v>168.7</v>
      </c>
      <c r="L92" s="36">
        <f>'Purchased Power Model '!P92</f>
        <v>325.8</v>
      </c>
      <c r="M92" s="10">
        <f t="shared" si="3"/>
        <v>6903043.6728763366</v>
      </c>
      <c r="N92" s="50"/>
    </row>
    <row r="93" spans="1:36">
      <c r="A93" s="3">
        <v>42186</v>
      </c>
      <c r="B93" s="28">
        <f>'[14]Data Input'!D167+'[16]PSP less Loss factor'!D176</f>
        <v>6892136.9033333333</v>
      </c>
      <c r="C93" s="24">
        <f>'Purchased Power Model '!G93</f>
        <v>25.999999999999993</v>
      </c>
      <c r="D93" s="24">
        <f>'Purchased Power Model '!H93</f>
        <v>48</v>
      </c>
      <c r="E93" s="18">
        <f>'Purchased Power Model '!I93</f>
        <v>31</v>
      </c>
      <c r="F93" s="18">
        <f>'Purchased Power Model '!J93</f>
        <v>0</v>
      </c>
      <c r="G93" s="82">
        <f>'Purchased Power Model '!K93</f>
        <v>91</v>
      </c>
      <c r="H93" s="82">
        <f>'[14]Data Input'!F167+'[16]PSP less Loss factor'!E176</f>
        <v>11048</v>
      </c>
      <c r="I93" s="107">
        <f>'Purchased Power Model '!L93</f>
        <v>12.9</v>
      </c>
      <c r="J93" s="36">
        <f>'Purchased Power Model '!M93</f>
        <v>152.86363393037959</v>
      </c>
      <c r="K93" s="36">
        <f>'Purchased Power Model '!O93</f>
        <v>166</v>
      </c>
      <c r="L93" s="36">
        <f>'Purchased Power Model '!P93</f>
        <v>326</v>
      </c>
      <c r="M93" s="10">
        <f t="shared" si="3"/>
        <v>7337359.6991377436</v>
      </c>
      <c r="N93" s="50"/>
    </row>
    <row r="94" spans="1:36">
      <c r="A94" s="3">
        <v>42217</v>
      </c>
      <c r="B94" s="28">
        <f>'[14]Data Input'!D168+'[16]PSP less Loss factor'!D177</f>
        <v>6785288.8233333332</v>
      </c>
      <c r="C94" s="24">
        <f>'Purchased Power Model '!G94</f>
        <v>27.3</v>
      </c>
      <c r="D94" s="24">
        <f>'Purchased Power Model '!H94</f>
        <v>33.299999999999997</v>
      </c>
      <c r="E94" s="18">
        <f>'Purchased Power Model '!I94</f>
        <v>31</v>
      </c>
      <c r="F94" s="18">
        <f>'Purchased Power Model '!J94</f>
        <v>0</v>
      </c>
      <c r="G94" s="82">
        <f>'Purchased Power Model '!K94</f>
        <v>92</v>
      </c>
      <c r="H94" s="82">
        <f>'[14]Data Input'!F168+'[16]PSP less Loss factor'!E177</f>
        <v>11019</v>
      </c>
      <c r="I94" s="107">
        <f>'Purchased Power Model '!L94</f>
        <v>11.5</v>
      </c>
      <c r="J94" s="36">
        <f>'Purchased Power Model '!M94</f>
        <v>153.17850798788936</v>
      </c>
      <c r="K94" s="36">
        <f>'Purchased Power Model '!O94</f>
        <v>163.1</v>
      </c>
      <c r="L94" s="36">
        <f>'Purchased Power Model '!P94</f>
        <v>326.2</v>
      </c>
      <c r="M94" s="10">
        <f t="shared" si="3"/>
        <v>7138641.8906112034</v>
      </c>
      <c r="N94" s="50"/>
    </row>
    <row r="95" spans="1:36">
      <c r="A95" s="3">
        <v>42248</v>
      </c>
      <c r="B95" s="28">
        <f>'[14]Data Input'!D169+'[16]PSP less Loss factor'!D178</f>
        <v>6501595.0033333329</v>
      </c>
      <c r="C95" s="24">
        <f>'Purchased Power Model '!G95</f>
        <v>61.5</v>
      </c>
      <c r="D95" s="24">
        <f>'Purchased Power Model '!H95</f>
        <v>41.000000000000007</v>
      </c>
      <c r="E95" s="18">
        <f>'Purchased Power Model '!I95</f>
        <v>30</v>
      </c>
      <c r="F95" s="18">
        <f>'Purchased Power Model '!J95</f>
        <v>1</v>
      </c>
      <c r="G95" s="82">
        <f>'Purchased Power Model '!K95</f>
        <v>93</v>
      </c>
      <c r="H95" s="82">
        <f>'[14]Data Input'!F169+'[16]PSP less Loss factor'!E178</f>
        <v>11025</v>
      </c>
      <c r="I95" s="107">
        <f>'Purchased Power Model '!L95</f>
        <v>11.3</v>
      </c>
      <c r="J95" s="36">
        <f>'Purchased Power Model '!M95</f>
        <v>153.4940306344032</v>
      </c>
      <c r="K95" s="36">
        <f>'Purchased Power Model '!O95</f>
        <v>159.80000000000001</v>
      </c>
      <c r="L95" s="36">
        <f>'Purchased Power Model '!P95</f>
        <v>326.39999999999998</v>
      </c>
      <c r="M95" s="10">
        <f t="shared" si="3"/>
        <v>6672142.1770259095</v>
      </c>
      <c r="N95" s="50"/>
    </row>
    <row r="96" spans="1:36">
      <c r="A96" s="3">
        <v>42278</v>
      </c>
      <c r="B96" s="28">
        <f>'[14]Data Input'!D170+'[16]PSP less Loss factor'!D179</f>
        <v>7439233.3751438614</v>
      </c>
      <c r="C96" s="24">
        <f>'Purchased Power Model '!G96</f>
        <v>346.80000000000007</v>
      </c>
      <c r="D96" s="24">
        <f>'Purchased Power Model '!H96</f>
        <v>0</v>
      </c>
      <c r="E96" s="18">
        <f>'Purchased Power Model '!I96</f>
        <v>31</v>
      </c>
      <c r="F96" s="18">
        <f>'Purchased Power Model '!J96</f>
        <v>1</v>
      </c>
      <c r="G96" s="82">
        <f>'Purchased Power Model '!K96</f>
        <v>94</v>
      </c>
      <c r="H96" s="82">
        <f>'[14]Data Input'!F170+'[16]PSP less Loss factor'!E179</f>
        <v>11037</v>
      </c>
      <c r="I96" s="107">
        <f>'Purchased Power Model '!L96</f>
        <v>12</v>
      </c>
      <c r="J96" s="36">
        <f>'Purchased Power Model '!M96</f>
        <v>153.81020320590829</v>
      </c>
      <c r="K96" s="36">
        <f>'Purchased Power Model '!O96</f>
        <v>157.80000000000001</v>
      </c>
      <c r="L96" s="36">
        <f>'Purchased Power Model '!P96</f>
        <v>326.60000000000002</v>
      </c>
      <c r="M96" s="10">
        <f t="shared" si="3"/>
        <v>9011471.4650777578</v>
      </c>
      <c r="N96" s="50"/>
    </row>
    <row r="97" spans="1:36">
      <c r="A97" s="3">
        <v>42309</v>
      </c>
      <c r="B97" s="28">
        <f>'[14]Data Input'!D171+'[16]PSP less Loss factor'!D180</f>
        <v>8821415.9015228041</v>
      </c>
      <c r="C97" s="24">
        <f>'Purchased Power Model '!G97</f>
        <v>426.4</v>
      </c>
      <c r="D97" s="24">
        <f>'Purchased Power Model '!H97</f>
        <v>0</v>
      </c>
      <c r="E97" s="18">
        <f>'Purchased Power Model '!I97</f>
        <v>30</v>
      </c>
      <c r="F97" s="18">
        <f>'Purchased Power Model '!J97</f>
        <v>1</v>
      </c>
      <c r="G97" s="82">
        <f>'Purchased Power Model '!K97</f>
        <v>95</v>
      </c>
      <c r="H97" s="82">
        <f>'[14]Data Input'!F171+'[16]PSP less Loss factor'!E180</f>
        <v>11055</v>
      </c>
      <c r="I97" s="107">
        <f>'Purchased Power Model '!L97</f>
        <v>11</v>
      </c>
      <c r="J97" s="36">
        <f>'Purchased Power Model '!M97</f>
        <v>154.12702704114372</v>
      </c>
      <c r="K97" s="36">
        <f>'Purchased Power Model '!O97</f>
        <v>156.9</v>
      </c>
      <c r="L97" s="36">
        <f>'Purchased Power Model '!P97</f>
        <v>326.8</v>
      </c>
      <c r="M97" s="10">
        <f t="shared" si="3"/>
        <v>9515093.7017244007</v>
      </c>
      <c r="N97" s="50"/>
    </row>
    <row r="98" spans="1:36" s="33" customFormat="1">
      <c r="A98" s="3">
        <v>42339</v>
      </c>
      <c r="B98" s="28">
        <f>'[14]Data Input'!D172+'[16]PSP less Loss factor'!D181</f>
        <v>10163520.413333334</v>
      </c>
      <c r="C98" s="100">
        <f>'Purchased Power Model '!G98</f>
        <v>513.80000000000007</v>
      </c>
      <c r="D98" s="24">
        <f>'Purchased Power Model '!H98</f>
        <v>0</v>
      </c>
      <c r="E98" s="18">
        <f>'Purchased Power Model '!I98</f>
        <v>31</v>
      </c>
      <c r="F98" s="18">
        <f>'Purchased Power Model '!J98</f>
        <v>0</v>
      </c>
      <c r="G98" s="82">
        <f>'Purchased Power Model '!K98</f>
        <v>96</v>
      </c>
      <c r="H98" s="82">
        <f>'[14]Data Input'!F172+'[16]PSP less Loss factor'!E181</f>
        <v>11057</v>
      </c>
      <c r="I98" s="107">
        <f>'Purchased Power Model '!L98</f>
        <v>10.5</v>
      </c>
      <c r="J98" s="36">
        <f>'Purchased Power Model '!M98</f>
        <v>154.44450348160629</v>
      </c>
      <c r="K98" s="36">
        <f>'Purchased Power Model '!O98</f>
        <v>155.69999999999999</v>
      </c>
      <c r="L98" s="36">
        <f>'Purchased Power Model '!P98</f>
        <v>326.89999999999998</v>
      </c>
      <c r="M98" s="10">
        <f t="shared" si="3"/>
        <v>11235536.10587346</v>
      </c>
      <c r="N98" s="50"/>
      <c r="O98" s="1"/>
      <c r="P98"/>
      <c r="Q98"/>
      <c r="R98"/>
      <c r="S98"/>
      <c r="T98"/>
      <c r="U98"/>
      <c r="V98"/>
      <c r="W98"/>
      <c r="X98"/>
      <c r="Y98"/>
      <c r="Z98"/>
      <c r="AA98"/>
      <c r="AB98"/>
      <c r="AC98"/>
      <c r="AD98"/>
      <c r="AE98"/>
      <c r="AF98"/>
      <c r="AG98"/>
      <c r="AH98"/>
      <c r="AI98"/>
      <c r="AJ98" s="28"/>
    </row>
    <row r="99" spans="1:36">
      <c r="A99" s="3">
        <v>42370</v>
      </c>
      <c r="B99" s="28">
        <f>'[14]Data Input'!D173+'[16]PSP less Loss factor'!D182</f>
        <v>12502052.273333333</v>
      </c>
      <c r="C99" s="100">
        <f>'Purchased Power Model '!G99</f>
        <v>730.95238095238085</v>
      </c>
      <c r="D99" s="24">
        <f>'Purchased Power Model '!H99</f>
        <v>0</v>
      </c>
      <c r="E99" s="18">
        <f>'Purchased Power Model '!I99</f>
        <v>31</v>
      </c>
      <c r="F99" s="18">
        <f>'Purchased Power Model '!J99</f>
        <v>0</v>
      </c>
      <c r="G99" s="82">
        <f>'Purchased Power Model '!K99</f>
        <v>97</v>
      </c>
      <c r="H99" s="82">
        <f>'[14]Data Input'!F173+'[16]PSP less Loss factor'!E182</f>
        <v>11062</v>
      </c>
      <c r="I99" s="107">
        <f>'Purchased Power Model '!L99</f>
        <v>8.5</v>
      </c>
      <c r="J99" s="36">
        <f>'Purchased Power Model '!M99</f>
        <v>154.72483615659849</v>
      </c>
      <c r="K99" s="36">
        <f>'Purchased Power Model '!O99</f>
        <v>156.69999999999999</v>
      </c>
      <c r="L99" s="36">
        <f>'Purchased Power Model '!P99</f>
        <v>327.10000000000002</v>
      </c>
      <c r="M99" s="10">
        <f t="shared" si="3"/>
        <v>13277501.635602476</v>
      </c>
      <c r="N99" s="50"/>
    </row>
    <row r="100" spans="1:36">
      <c r="A100" s="3">
        <v>42401</v>
      </c>
      <c r="B100" s="28">
        <f>'[14]Data Input'!D174+'[16]PSP less Loss factor'!D183</f>
        <v>11543709.343333334</v>
      </c>
      <c r="C100" s="100">
        <f>'Purchased Power Model '!G100</f>
        <v>731.14285714285688</v>
      </c>
      <c r="D100" s="24">
        <f>'Purchased Power Model '!H100</f>
        <v>0</v>
      </c>
      <c r="E100" s="18">
        <f>'Purchased Power Model '!I100</f>
        <v>29</v>
      </c>
      <c r="F100" s="18">
        <f>'Purchased Power Model '!J100</f>
        <v>0</v>
      </c>
      <c r="G100" s="82">
        <f>'Purchased Power Model '!K100</f>
        <v>98</v>
      </c>
      <c r="H100" s="82">
        <f>'[14]Data Input'!F174+'[16]PSP less Loss factor'!E183</f>
        <v>11065</v>
      </c>
      <c r="I100" s="107">
        <f>'Purchased Power Model '!L100</f>
        <v>8.1999999999999993</v>
      </c>
      <c r="J100" s="36">
        <f>'Purchased Power Model '!M100</f>
        <v>155.00567766425806</v>
      </c>
      <c r="K100" s="36">
        <f>'Purchased Power Model '!O100</f>
        <v>158.4</v>
      </c>
      <c r="L100" s="36">
        <f>'Purchased Power Model '!P100</f>
        <v>327.2</v>
      </c>
      <c r="M100" s="10">
        <f t="shared" si="3"/>
        <v>12789519.92731327</v>
      </c>
      <c r="N100" s="50"/>
    </row>
    <row r="101" spans="1:36">
      <c r="A101" s="3">
        <v>42430</v>
      </c>
      <c r="B101" s="28">
        <f>'[14]Data Input'!D175+'[16]PSP less Loss factor'!D184</f>
        <v>10303542.313333334</v>
      </c>
      <c r="C101" s="100">
        <f>'Purchased Power Model '!G101</f>
        <v>576.47619047619025</v>
      </c>
      <c r="D101" s="24">
        <f>'Purchased Power Model '!H101</f>
        <v>0</v>
      </c>
      <c r="E101" s="18">
        <f>'Purchased Power Model '!I101</f>
        <v>31</v>
      </c>
      <c r="F101" s="18">
        <f>'Purchased Power Model '!J101</f>
        <v>1</v>
      </c>
      <c r="G101" s="82">
        <f>'Purchased Power Model '!K101</f>
        <v>99</v>
      </c>
      <c r="H101" s="82">
        <f>'[14]Data Input'!F175+'[16]PSP less Loss factor'!E184</f>
        <v>11067</v>
      </c>
      <c r="I101" s="107">
        <f>'Purchased Power Model '!L101</f>
        <v>9.6999999999999993</v>
      </c>
      <c r="J101" s="36">
        <f>'Purchased Power Model '!M101</f>
        <v>155.2870289281687</v>
      </c>
      <c r="K101" s="36">
        <f>'Purchased Power Model '!O101</f>
        <v>163.4</v>
      </c>
      <c r="L101" s="36">
        <f>'Purchased Power Model '!P101</f>
        <v>327.39999999999998</v>
      </c>
      <c r="M101" s="10">
        <f t="shared" si="3"/>
        <v>11171200.298728045</v>
      </c>
      <c r="N101" s="50"/>
    </row>
    <row r="102" spans="1:36">
      <c r="A102" s="3">
        <v>42461</v>
      </c>
      <c r="B102" s="28">
        <f>'[14]Data Input'!D176+'[16]PSP less Loss factor'!D185</f>
        <v>8763747.0133333337</v>
      </c>
      <c r="C102" s="100">
        <f>'Purchased Power Model '!G102</f>
        <v>454.28571428571411</v>
      </c>
      <c r="D102" s="24">
        <f>'Purchased Power Model '!H102</f>
        <v>0</v>
      </c>
      <c r="E102" s="18">
        <f>'Purchased Power Model '!I102</f>
        <v>30</v>
      </c>
      <c r="F102" s="18">
        <f>'Purchased Power Model '!J102</f>
        <v>1</v>
      </c>
      <c r="G102" s="82">
        <f>'Purchased Power Model '!K102</f>
        <v>100</v>
      </c>
      <c r="H102" s="82">
        <f>'[14]Data Input'!F176+'[16]PSP less Loss factor'!E185</f>
        <v>11068</v>
      </c>
      <c r="I102" s="107">
        <f>'Purchased Power Model '!L102</f>
        <v>9.9</v>
      </c>
      <c r="J102" s="36">
        <f>'Purchased Power Model '!M102</f>
        <v>155.56889087359048</v>
      </c>
      <c r="K102" s="36">
        <f>'Purchased Power Model '!O102</f>
        <v>162.69999999999999</v>
      </c>
      <c r="L102" s="36">
        <f>'Purchased Power Model '!P102</f>
        <v>327.5</v>
      </c>
      <c r="M102" s="10">
        <f t="shared" si="3"/>
        <v>9777310.1179252807</v>
      </c>
      <c r="N102" s="50"/>
    </row>
    <row r="103" spans="1:36">
      <c r="A103" s="3">
        <v>42491</v>
      </c>
      <c r="B103" s="28">
        <f>'[14]Data Input'!D177+'[16]PSP less Loss factor'!D186</f>
        <v>6915785.2633333327</v>
      </c>
      <c r="C103" s="100">
        <f>'Purchased Power Model '!G103</f>
        <v>216.28571428571428</v>
      </c>
      <c r="D103" s="24">
        <f>'Purchased Power Model '!H103</f>
        <v>12.7</v>
      </c>
      <c r="E103" s="18">
        <f>'Purchased Power Model '!I103</f>
        <v>31</v>
      </c>
      <c r="F103" s="18">
        <f>'Purchased Power Model '!J103</f>
        <v>1</v>
      </c>
      <c r="G103" s="82">
        <f>'Purchased Power Model '!K103</f>
        <v>101</v>
      </c>
      <c r="H103" s="82">
        <f>'[14]Data Input'!F177+'[16]PSP less Loss factor'!E186</f>
        <v>11067</v>
      </c>
      <c r="I103" s="107">
        <f>'Purchased Power Model '!L103</f>
        <v>10.5</v>
      </c>
      <c r="J103" s="36">
        <f>'Purchased Power Model '!M103</f>
        <v>155.85126442746289</v>
      </c>
      <c r="K103" s="36">
        <f>'Purchased Power Model '!O103</f>
        <v>165.7</v>
      </c>
      <c r="L103" s="36">
        <f>'Purchased Power Model '!P103</f>
        <v>327.7</v>
      </c>
      <c r="M103" s="10">
        <f t="shared" si="3"/>
        <v>7966433.1328964038</v>
      </c>
      <c r="N103" s="50"/>
    </row>
    <row r="104" spans="1:36">
      <c r="A104" s="3">
        <v>42522</v>
      </c>
      <c r="B104" s="28">
        <f>'[14]Data Input'!D178+'[16]PSP less Loss factor'!D187</f>
        <v>6294283.9833333325</v>
      </c>
      <c r="C104" s="100">
        <f>'Purchased Power Model '!G104</f>
        <v>75.904761904761898</v>
      </c>
      <c r="D104" s="24">
        <f>'Purchased Power Model '!H104</f>
        <v>22</v>
      </c>
      <c r="E104" s="18">
        <f>'Purchased Power Model '!I104</f>
        <v>30</v>
      </c>
      <c r="F104" s="18">
        <f>'Purchased Power Model '!J104</f>
        <v>0</v>
      </c>
      <c r="G104" s="82">
        <f>'Purchased Power Model '!K104</f>
        <v>102</v>
      </c>
      <c r="H104" s="82">
        <f>'[14]Data Input'!F178+'[16]PSP less Loss factor'!E187</f>
        <v>11075</v>
      </c>
      <c r="I104" s="107">
        <f>'Purchased Power Model '!L104</f>
        <v>11.1</v>
      </c>
      <c r="J104" s="36">
        <f>'Purchased Power Model '!M104</f>
        <v>156.13415051840798</v>
      </c>
      <c r="K104" s="36">
        <f>'Purchased Power Model '!O104</f>
        <v>166.1</v>
      </c>
      <c r="L104" s="36">
        <f>'Purchased Power Model '!P104</f>
        <v>327.9</v>
      </c>
      <c r="M104" s="10">
        <f t="shared" si="3"/>
        <v>7188645.471195424</v>
      </c>
      <c r="N104" s="50"/>
    </row>
    <row r="105" spans="1:36">
      <c r="A105" s="3">
        <v>42552</v>
      </c>
      <c r="B105" s="28">
        <f>'[14]Data Input'!D179+'[16]PSP less Loss factor'!D188</f>
        <v>7176422.2433333341</v>
      </c>
      <c r="C105" s="100">
        <f>'Purchased Power Model '!G105</f>
        <v>28.095238095238091</v>
      </c>
      <c r="D105" s="24">
        <f>'Purchased Power Model '!H105</f>
        <v>64.800000000000011</v>
      </c>
      <c r="E105" s="18">
        <f>'Purchased Power Model '!I105</f>
        <v>31</v>
      </c>
      <c r="F105" s="18">
        <f>'Purchased Power Model '!J105</f>
        <v>0</v>
      </c>
      <c r="G105" s="82">
        <f>'Purchased Power Model '!K105</f>
        <v>103</v>
      </c>
      <c r="H105" s="82">
        <f>'[14]Data Input'!F179+'[16]PSP less Loss factor'!E188</f>
        <v>11073</v>
      </c>
      <c r="I105" s="107">
        <f>'Purchased Power Model '!L105</f>
        <v>13.7</v>
      </c>
      <c r="J105" s="36">
        <f>'Purchased Power Model '!M105</f>
        <v>156.41755007673331</v>
      </c>
      <c r="K105" s="36">
        <f>'Purchased Power Model '!O105</f>
        <v>165.3</v>
      </c>
      <c r="L105" s="36">
        <f>'Purchased Power Model '!P105</f>
        <v>328.1</v>
      </c>
      <c r="M105" s="10">
        <f t="shared" si="3"/>
        <v>7598129.5240627816</v>
      </c>
      <c r="N105" s="50"/>
    </row>
    <row r="106" spans="1:36">
      <c r="A106" s="3">
        <v>42583</v>
      </c>
      <c r="B106" s="28">
        <f>'[14]Data Input'!D180+'[16]PSP less Loss factor'!D189</f>
        <v>7418754.9133333331</v>
      </c>
      <c r="C106" s="100">
        <f>'Purchased Power Model '!G106</f>
        <v>13.428571428571429</v>
      </c>
      <c r="D106" s="24">
        <f>'Purchased Power Model '!H106</f>
        <v>77.700000000000017</v>
      </c>
      <c r="E106" s="18">
        <f>'Purchased Power Model '!I106</f>
        <v>31</v>
      </c>
      <c r="F106" s="18">
        <f>'Purchased Power Model '!J106</f>
        <v>0</v>
      </c>
      <c r="G106" s="82">
        <f>'Purchased Power Model '!K106</f>
        <v>104</v>
      </c>
      <c r="H106" s="82">
        <f>'[14]Data Input'!F180+'[16]PSP less Loss factor'!E189</f>
        <v>11072</v>
      </c>
      <c r="I106" s="107">
        <f>'Purchased Power Model '!L106</f>
        <v>14.6</v>
      </c>
      <c r="J106" s="36">
        <f>'Purchased Power Model '!M106</f>
        <v>156.70146403443502</v>
      </c>
      <c r="K106" s="36">
        <f>'Purchased Power Model '!O106</f>
        <v>163.30000000000001</v>
      </c>
      <c r="L106" s="36">
        <f>'Purchased Power Model '!P106</f>
        <v>328.3</v>
      </c>
      <c r="M106" s="10">
        <f t="shared" si="3"/>
        <v>7645324.5085471189</v>
      </c>
      <c r="N106" s="50"/>
    </row>
    <row r="107" spans="1:36">
      <c r="A107" s="3">
        <v>42614</v>
      </c>
      <c r="B107" s="28">
        <f>'[14]Data Input'!D181+'[16]PSP less Loss factor'!D190</f>
        <v>6206374.8533333335</v>
      </c>
      <c r="C107" s="100">
        <f>'Purchased Power Model '!G107</f>
        <v>76.666666666666671</v>
      </c>
      <c r="D107" s="24">
        <f>'Purchased Power Model '!H107</f>
        <v>13.4</v>
      </c>
      <c r="E107" s="18">
        <f>'Purchased Power Model '!I107</f>
        <v>30</v>
      </c>
      <c r="F107" s="18">
        <f>'Purchased Power Model '!J107</f>
        <v>1</v>
      </c>
      <c r="G107" s="82">
        <f>'Purchased Power Model '!K107</f>
        <v>105</v>
      </c>
      <c r="H107" s="82">
        <f>'[14]Data Input'!F181+'[16]PSP less Loss factor'!E190</f>
        <v>11079</v>
      </c>
      <c r="I107" s="107">
        <f>'Purchased Power Model '!L107</f>
        <v>12.7</v>
      </c>
      <c r="J107" s="36">
        <f>'Purchased Power Model '!M107</f>
        <v>156.98589332520095</v>
      </c>
      <c r="K107" s="36">
        <f>'Purchased Power Model '!O107</f>
        <v>164.5</v>
      </c>
      <c r="L107" s="36">
        <f>'Purchased Power Model '!P107</f>
        <v>328.5</v>
      </c>
      <c r="M107" s="10">
        <f t="shared" si="3"/>
        <v>6418698.1928005731</v>
      </c>
      <c r="N107" s="50"/>
    </row>
    <row r="108" spans="1:36">
      <c r="A108" s="3">
        <v>42644</v>
      </c>
      <c r="B108" s="28">
        <f>'[14]Data Input'!D182+'[16]PSP less Loss factor'!D191</f>
        <v>7344327.5333333332</v>
      </c>
      <c r="C108" s="100">
        <f>'Purchased Power Model '!G108</f>
        <v>287.71428571428578</v>
      </c>
      <c r="D108" s="24">
        <f>'Purchased Power Model '!H108</f>
        <v>0</v>
      </c>
      <c r="E108" s="18">
        <f>'Purchased Power Model '!I108</f>
        <v>31</v>
      </c>
      <c r="F108" s="18">
        <f>'Purchased Power Model '!J108</f>
        <v>1</v>
      </c>
      <c r="G108" s="82">
        <f>'Purchased Power Model '!K108</f>
        <v>106</v>
      </c>
      <c r="H108" s="82">
        <f>'[14]Data Input'!F182+'[16]PSP less Loss factor'!E191</f>
        <v>11083</v>
      </c>
      <c r="I108" s="107">
        <f>'Purchased Power Model '!L108</f>
        <v>9.6999999999999993</v>
      </c>
      <c r="J108" s="36">
        <f>'Purchased Power Model '!M108</f>
        <v>157.27083888441365</v>
      </c>
      <c r="K108" s="36">
        <f>'Purchased Power Model '!O108</f>
        <v>175.3</v>
      </c>
      <c r="L108" s="36">
        <f>'Purchased Power Model '!P108</f>
        <v>328.7</v>
      </c>
      <c r="M108" s="10">
        <f t="shared" si="3"/>
        <v>8455857.5857950356</v>
      </c>
      <c r="N108" s="50"/>
    </row>
    <row r="109" spans="1:36">
      <c r="A109" s="3">
        <v>42675</v>
      </c>
      <c r="B109" s="28">
        <f>'[14]Data Input'!D183+'[16]PSP less Loss factor'!D192</f>
        <v>8371153.4933333341</v>
      </c>
      <c r="C109" s="100">
        <f>'Purchased Power Model '!G109</f>
        <v>414.47619047619054</v>
      </c>
      <c r="D109" s="100">
        <f>'Purchased Power Model '!H109</f>
        <v>0</v>
      </c>
      <c r="E109" s="18">
        <f>'Purchased Power Model '!I109</f>
        <v>30</v>
      </c>
      <c r="F109" s="18">
        <f>'Purchased Power Model '!J109</f>
        <v>1</v>
      </c>
      <c r="G109" s="82">
        <f>'Purchased Power Model '!K109</f>
        <v>107</v>
      </c>
      <c r="H109" s="82">
        <f>'[14]Data Input'!F183+'[16]PSP less Loss factor'!E192</f>
        <v>11111</v>
      </c>
      <c r="I109" s="107">
        <f>'Purchased Power Model '!L109</f>
        <v>8</v>
      </c>
      <c r="J109" s="36">
        <f>'Purchased Power Model '!M109</f>
        <v>157.55630164915351</v>
      </c>
      <c r="K109" s="36"/>
      <c r="L109" s="36"/>
      <c r="M109" s="10">
        <f t="shared" si="3"/>
        <v>9402961.1086041052</v>
      </c>
      <c r="N109" s="50"/>
    </row>
    <row r="110" spans="1:36">
      <c r="A110" s="3">
        <v>42705</v>
      </c>
      <c r="B110" s="28">
        <f>'[14]Data Input'!D184+'[16]PSP less Loss factor'!D193</f>
        <v>11508008.083333334</v>
      </c>
      <c r="C110" s="100">
        <f>'Purchased Power Model '!G110</f>
        <v>679.71428571428578</v>
      </c>
      <c r="D110" s="100">
        <f>'Purchased Power Model '!H110</f>
        <v>0</v>
      </c>
      <c r="E110" s="18">
        <f>'Purchased Power Model '!I110</f>
        <v>31</v>
      </c>
      <c r="F110" s="18">
        <f>'Purchased Power Model '!J110</f>
        <v>0</v>
      </c>
      <c r="G110" s="82">
        <f>'Purchased Power Model '!K110</f>
        <v>108</v>
      </c>
      <c r="H110" s="82">
        <f>'[14]Data Input'!F184+'[16]PSP less Loss factor'!E193</f>
        <v>11119</v>
      </c>
      <c r="I110" s="107">
        <f>'Purchased Power Model '!L110</f>
        <v>7.7</v>
      </c>
      <c r="J110" s="36">
        <f>'Purchased Power Model '!M110</f>
        <v>157.84228255820162</v>
      </c>
      <c r="K110" s="36"/>
      <c r="L110" s="36"/>
      <c r="M110" s="10">
        <f t="shared" si="3"/>
        <v>12795682.603324844</v>
      </c>
      <c r="N110" s="50"/>
    </row>
    <row r="111" spans="1:36">
      <c r="A111" s="3">
        <v>42736</v>
      </c>
      <c r="B111" s="28">
        <f>'[14]Data Input'!D185+'[16]PSP less Loss factor'!D194</f>
        <v>11470775.916666668</v>
      </c>
      <c r="C111" s="100">
        <f>'Purchased Power Model '!G111</f>
        <v>708.57142857142856</v>
      </c>
      <c r="D111" s="100">
        <f>'Purchased Power Model '!H111</f>
        <v>0</v>
      </c>
      <c r="E111" s="18">
        <f>'Purchased Power Model '!I111</f>
        <v>31</v>
      </c>
      <c r="F111" s="18">
        <f>'Purchased Power Model '!J111</f>
        <v>0</v>
      </c>
      <c r="G111" s="82">
        <f>'Purchased Power Model '!K111</f>
        <v>109</v>
      </c>
      <c r="H111" s="82">
        <f>'[14]Data Input'!F185+'[16]PSP less Loss factor'!E194</f>
        <v>11129</v>
      </c>
      <c r="I111" s="107">
        <f>'Purchased Power Model '!L111</f>
        <v>10.3</v>
      </c>
      <c r="J111" s="36">
        <f>'Purchased Power Model '!M111</f>
        <v>158.15454692394951</v>
      </c>
      <c r="K111" s="18"/>
      <c r="L111" s="18"/>
      <c r="M111" s="10">
        <f t="shared" si="3"/>
        <v>13067036.560211107</v>
      </c>
      <c r="N111" s="50"/>
    </row>
    <row r="112" spans="1:36">
      <c r="A112" s="3">
        <v>42767</v>
      </c>
      <c r="B112" s="28">
        <f>'[14]Data Input'!D186+'[16]PSP less Loss factor'!D195</f>
        <v>10165568.916666668</v>
      </c>
      <c r="C112" s="100">
        <f>'Purchased Power Model '!G112</f>
        <v>617.14285714285711</v>
      </c>
      <c r="D112" s="100">
        <f>'Purchased Power Model '!H112</f>
        <v>0</v>
      </c>
      <c r="E112" s="18">
        <f>'Purchased Power Model '!I112</f>
        <v>28</v>
      </c>
      <c r="F112" s="18">
        <f>'Purchased Power Model '!J112</f>
        <v>0</v>
      </c>
      <c r="G112" s="82">
        <f>'Purchased Power Model '!K112</f>
        <v>110</v>
      </c>
      <c r="H112" s="82">
        <f>'[14]Data Input'!F186+'[16]PSP less Loss factor'!E195</f>
        <v>11131</v>
      </c>
      <c r="I112" s="107">
        <f>'Purchased Power Model '!L112</f>
        <v>11</v>
      </c>
      <c r="J112" s="36">
        <f>'Purchased Power Model '!M112</f>
        <v>158.46742905214063</v>
      </c>
      <c r="K112" s="18"/>
      <c r="L112" s="18"/>
      <c r="M112" s="10">
        <f t="shared" si="3"/>
        <v>11472640.121675026</v>
      </c>
      <c r="N112" s="50"/>
    </row>
    <row r="113" spans="1:14">
      <c r="A113" s="3">
        <v>42795</v>
      </c>
      <c r="B113" s="28">
        <f>'[14]Data Input'!D187+'[16]PSP less Loss factor'!D196</f>
        <v>11150484.916666668</v>
      </c>
      <c r="C113" s="100">
        <f>'Purchased Power Model '!G113</f>
        <v>681.5238095238094</v>
      </c>
      <c r="D113" s="100">
        <f>'Purchased Power Model '!H113</f>
        <v>0</v>
      </c>
      <c r="E113" s="18">
        <f>'Purchased Power Model '!I113</f>
        <v>31</v>
      </c>
      <c r="F113" s="18">
        <f>'Purchased Power Model '!J113</f>
        <v>1</v>
      </c>
      <c r="G113" s="82">
        <f>'Purchased Power Model '!K113</f>
        <v>111</v>
      </c>
      <c r="H113" s="82">
        <f>'[14]Data Input'!F187+'[16]PSP less Loss factor'!E196</f>
        <v>11130</v>
      </c>
      <c r="I113" s="107">
        <f>'Purchased Power Model '!L113</f>
        <v>12.2</v>
      </c>
      <c r="J113" s="36">
        <f>'Purchased Power Model '!M113</f>
        <v>158.78093016491388</v>
      </c>
      <c r="K113" s="18"/>
      <c r="L113" s="18"/>
      <c r="M113" s="10">
        <f t="shared" si="3"/>
        <v>12158994.433525136</v>
      </c>
      <c r="N113" s="50"/>
    </row>
    <row r="114" spans="1:14">
      <c r="A114" s="3">
        <v>42826</v>
      </c>
      <c r="B114" s="28">
        <f>'[14]Data Input'!D188+'[16]PSP less Loss factor'!D197</f>
        <v>7940110.916666667</v>
      </c>
      <c r="C114" s="100">
        <f>'Purchased Power Model '!G114</f>
        <v>335.71428571428567</v>
      </c>
      <c r="D114" s="100">
        <f>'Purchased Power Model '!H114</f>
        <v>0.1</v>
      </c>
      <c r="E114" s="18">
        <f>'Purchased Power Model '!I114</f>
        <v>30</v>
      </c>
      <c r="F114" s="18">
        <f>'Purchased Power Model '!J114</f>
        <v>1</v>
      </c>
      <c r="G114" s="82">
        <f>'Purchased Power Model '!K114</f>
        <v>112</v>
      </c>
      <c r="H114" s="82">
        <f>'[14]Data Input'!F188+'[16]PSP less Loss factor'!E197</f>
        <v>11140</v>
      </c>
      <c r="I114" s="107">
        <f>'Purchased Power Model '!L114</f>
        <v>12</v>
      </c>
      <c r="J114" s="36">
        <f>'Purchased Power Model '!M114</f>
        <v>159.09505148682601</v>
      </c>
      <c r="K114" s="18"/>
      <c r="L114" s="18"/>
      <c r="M114" s="10">
        <f t="shared" si="3"/>
        <v>8663764.4713848419</v>
      </c>
      <c r="N114" s="50"/>
    </row>
    <row r="115" spans="1:14">
      <c r="A115" s="3">
        <v>42856</v>
      </c>
      <c r="B115" s="28">
        <f>'[14]Data Input'!D189+'[16]PSP less Loss factor'!D198</f>
        <v>7091594.916666667</v>
      </c>
      <c r="C115" s="100">
        <f>'Purchased Power Model '!G115</f>
        <v>226.7619047619047</v>
      </c>
      <c r="D115" s="100">
        <f>'Purchased Power Model '!H115</f>
        <v>5.1999999999999993</v>
      </c>
      <c r="E115" s="18">
        <f>'Purchased Power Model '!I115</f>
        <v>31</v>
      </c>
      <c r="F115" s="18">
        <f>'Purchased Power Model '!J115</f>
        <v>1</v>
      </c>
      <c r="G115" s="82">
        <f>'Purchased Power Model '!K115</f>
        <v>113</v>
      </c>
      <c r="H115" s="82">
        <f>'[14]Data Input'!F189+'[16]PSP less Loss factor'!E198</f>
        <v>11153</v>
      </c>
      <c r="I115" s="107">
        <f>'Purchased Power Model '!L115</f>
        <v>12.5</v>
      </c>
      <c r="J115" s="36">
        <f>'Purchased Power Model '!M115</f>
        <v>159.4097942448563</v>
      </c>
      <c r="K115" s="18"/>
      <c r="L115" s="18"/>
      <c r="M115" s="10">
        <f t="shared" si="3"/>
        <v>7957313.0280196378</v>
      </c>
      <c r="N115" s="50"/>
    </row>
    <row r="116" spans="1:14">
      <c r="A116" s="3">
        <v>42887</v>
      </c>
      <c r="B116" s="28">
        <f>'[14]Data Input'!D190+'[16]PSP less Loss factor'!D199</f>
        <v>6262581.916666667</v>
      </c>
      <c r="C116" s="100">
        <f>'Purchased Power Model '!G116</f>
        <v>84.571428571428584</v>
      </c>
      <c r="D116" s="100">
        <f>'Purchased Power Model '!H116</f>
        <v>19.7</v>
      </c>
      <c r="E116" s="18">
        <f>'Purchased Power Model '!I116</f>
        <v>30</v>
      </c>
      <c r="F116" s="18">
        <f>'Purchased Power Model '!J116</f>
        <v>0</v>
      </c>
      <c r="G116" s="82">
        <f>'Purchased Power Model '!K116</f>
        <v>114</v>
      </c>
      <c r="H116" s="82">
        <f>'[14]Data Input'!F190+'[16]PSP less Loss factor'!E199</f>
        <v>11182</v>
      </c>
      <c r="I116" s="107">
        <f>'Purchased Power Model '!L116</f>
        <v>13.2</v>
      </c>
      <c r="J116" s="36">
        <f>'Purchased Power Model '!M116</f>
        <v>159.72515966841141</v>
      </c>
      <c r="K116" s="18"/>
      <c r="L116" s="18"/>
      <c r="M116" s="10">
        <f t="shared" si="3"/>
        <v>7237128.4872727031</v>
      </c>
      <c r="N116" s="50"/>
    </row>
    <row r="117" spans="1:14">
      <c r="A117" s="3">
        <v>42917</v>
      </c>
      <c r="B117" s="28">
        <f>'[14]Data Input'!D191+'[16]PSP less Loss factor'!D200</f>
        <v>6806256.916666667</v>
      </c>
      <c r="C117" s="100">
        <f>'Purchased Power Model '!G117</f>
        <v>20.857142857142851</v>
      </c>
      <c r="D117" s="100">
        <f>'Purchased Power Model '!H117</f>
        <v>20.299999999999997</v>
      </c>
      <c r="E117" s="18">
        <f>'Purchased Power Model '!I117</f>
        <v>31</v>
      </c>
      <c r="F117" s="18">
        <f>'Purchased Power Model '!J117</f>
        <v>0</v>
      </c>
      <c r="G117" s="82">
        <f>'Purchased Power Model '!K117</f>
        <v>115</v>
      </c>
      <c r="H117" s="82">
        <f>'[14]Data Input'!F191+'[16]PSP less Loss factor'!E200</f>
        <v>11184</v>
      </c>
      <c r="I117" s="107">
        <f>'Purchased Power Model '!L117</f>
        <v>11.3</v>
      </c>
      <c r="J117" s="36">
        <f>'Purchased Power Model '!M117</f>
        <v>160.0411489893302</v>
      </c>
      <c r="K117" s="18"/>
      <c r="L117" s="18"/>
      <c r="M117" s="10">
        <f t="shared" si="3"/>
        <v>6891494.0922330804</v>
      </c>
      <c r="N117" s="50"/>
    </row>
    <row r="118" spans="1:14">
      <c r="A118" s="3">
        <v>42948</v>
      </c>
      <c r="B118" s="28">
        <f>'[14]Data Input'!D192+'[16]PSP less Loss factor'!D201</f>
        <v>6667990.916666667</v>
      </c>
      <c r="C118" s="100">
        <f>'Purchased Power Model '!G118</f>
        <v>59.619047619047613</v>
      </c>
      <c r="D118" s="100">
        <f>'Purchased Power Model '!H118</f>
        <v>19.399999999999999</v>
      </c>
      <c r="E118" s="18">
        <f>'Purchased Power Model '!I118</f>
        <v>31</v>
      </c>
      <c r="F118" s="18">
        <f>'Purchased Power Model '!J118</f>
        <v>0</v>
      </c>
      <c r="G118" s="82">
        <f>'Purchased Power Model '!K118</f>
        <v>116</v>
      </c>
      <c r="H118" s="82">
        <f>'[14]Data Input'!F192+'[16]PSP less Loss factor'!E201</f>
        <v>11189</v>
      </c>
      <c r="I118" s="107">
        <f>'Purchased Power Model '!L118</f>
        <v>12.3</v>
      </c>
      <c r="J118" s="36">
        <f>'Purchased Power Model '!M118</f>
        <v>160.35776344188849</v>
      </c>
      <c r="K118" s="18"/>
      <c r="L118" s="18"/>
      <c r="M118" s="10">
        <f t="shared" si="3"/>
        <v>7243071.498314878</v>
      </c>
      <c r="N118" s="50"/>
    </row>
    <row r="119" spans="1:14">
      <c r="A119" s="3">
        <v>42979</v>
      </c>
      <c r="B119" s="28">
        <f>'[14]Data Input'!D193+'[16]PSP less Loss factor'!D202</f>
        <v>6442030.916666667</v>
      </c>
      <c r="C119" s="100">
        <f>'Purchased Power Model '!G119</f>
        <v>116.0952380952381</v>
      </c>
      <c r="D119" s="100">
        <f>'Purchased Power Model '!H119</f>
        <v>30</v>
      </c>
      <c r="E119" s="18">
        <f>'Purchased Power Model '!I119</f>
        <v>30</v>
      </c>
      <c r="F119" s="18">
        <f>'Purchased Power Model '!J119</f>
        <v>1</v>
      </c>
      <c r="G119" s="82">
        <f>'Purchased Power Model '!K119</f>
        <v>117</v>
      </c>
      <c r="H119" s="82">
        <f>'[14]Data Input'!F193+'[16]PSP less Loss factor'!E202</f>
        <v>11188</v>
      </c>
      <c r="I119" s="107">
        <f>'Purchased Power Model '!L119</f>
        <v>10.8</v>
      </c>
      <c r="J119" s="36">
        <f>'Purchased Power Model '!M119</f>
        <v>160.67500426280395</v>
      </c>
      <c r="K119" s="18"/>
      <c r="L119" s="18"/>
      <c r="M119" s="10">
        <f t="shared" ref="M119:M146" si="4">$P$18+C119*$P$19+D119*$P$20+E119*$P$21+F119*$P$22+G119*$P$23+H119*$P$24</f>
        <v>7027657.5649663452</v>
      </c>
      <c r="N119" s="50"/>
    </row>
    <row r="120" spans="1:14">
      <c r="A120" s="3">
        <v>43009</v>
      </c>
      <c r="B120" s="28">
        <f>'[14]Data Input'!D194+'[16]PSP less Loss factor'!D203</f>
        <v>6905640.916666667</v>
      </c>
      <c r="C120" s="100">
        <f>'Purchased Power Model '!G120</f>
        <v>232.19047619047618</v>
      </c>
      <c r="D120" s="100">
        <f>'Purchased Power Model '!H120</f>
        <v>0</v>
      </c>
      <c r="E120" s="18">
        <f>'Purchased Power Model '!I120</f>
        <v>31</v>
      </c>
      <c r="F120" s="18">
        <f>'Purchased Power Model '!J120</f>
        <v>1</v>
      </c>
      <c r="G120" s="82">
        <f>'Purchased Power Model '!K120</f>
        <v>118</v>
      </c>
      <c r="H120" s="82">
        <f>'[14]Data Input'!F194+'[16]PSP less Loss factor'!E203</f>
        <v>11191</v>
      </c>
      <c r="I120" s="107">
        <f>'Purchased Power Model '!L120</f>
        <v>10.7</v>
      </c>
      <c r="J120" s="36">
        <f>'Purchased Power Model '!M120</f>
        <v>160.99287269124085</v>
      </c>
      <c r="K120" s="18"/>
      <c r="L120" s="18"/>
      <c r="M120" s="10">
        <f t="shared" si="4"/>
        <v>7933737.6485609282</v>
      </c>
      <c r="N120" s="50"/>
    </row>
    <row r="121" spans="1:14">
      <c r="A121" s="3">
        <v>43040</v>
      </c>
      <c r="B121" s="28">
        <f>'[14]Data Input'!D195+'[16]PSP less Loss factor'!D204</f>
        <v>9431935.9166666679</v>
      </c>
      <c r="C121" s="100">
        <f>'Purchased Power Model '!G121</f>
        <v>356</v>
      </c>
      <c r="D121" s="100">
        <f>'Purchased Power Model '!H121</f>
        <v>0</v>
      </c>
      <c r="E121" s="18">
        <f>'Purchased Power Model '!I121</f>
        <v>30</v>
      </c>
      <c r="F121" s="18">
        <f>'Purchased Power Model '!J121</f>
        <v>1</v>
      </c>
      <c r="G121" s="82">
        <f>'Purchased Power Model '!K121</f>
        <v>119</v>
      </c>
      <c r="H121" s="82">
        <f>'[14]Data Input'!F195+'[16]PSP less Loss factor'!E204</f>
        <v>11200</v>
      </c>
      <c r="I121" s="107">
        <f>'Purchased Power Model '!L121</f>
        <v>9.4</v>
      </c>
      <c r="J121" s="36">
        <f>'Purchased Power Model '!M121</f>
        <v>161.31136996881492</v>
      </c>
      <c r="K121" s="18"/>
      <c r="L121" s="18"/>
      <c r="M121" s="10">
        <f t="shared" si="4"/>
        <v>8853078.8129874542</v>
      </c>
      <c r="N121" s="50"/>
    </row>
    <row r="122" spans="1:14">
      <c r="A122" s="3">
        <v>43070</v>
      </c>
      <c r="B122" s="28">
        <f>'[14]Data Input'!D196+'[16]PSP less Loss factor'!D205</f>
        <v>12794658.916666666</v>
      </c>
      <c r="C122" s="100">
        <f>'Purchased Power Model '!G122</f>
        <v>843.04761904761892</v>
      </c>
      <c r="D122" s="100">
        <f>'Purchased Power Model '!H122</f>
        <v>0</v>
      </c>
      <c r="E122" s="18">
        <f>'Purchased Power Model '!I122</f>
        <v>31</v>
      </c>
      <c r="F122" s="18">
        <f>'Purchased Power Model '!J122</f>
        <v>0</v>
      </c>
      <c r="G122" s="82">
        <f>'Purchased Power Model '!K122</f>
        <v>120</v>
      </c>
      <c r="H122" s="82">
        <f>'[14]Data Input'!F196+'[16]PSP less Loss factor'!E205</f>
        <v>11208</v>
      </c>
      <c r="I122" s="107">
        <f>'Purchased Power Model '!L122</f>
        <v>9.6</v>
      </c>
      <c r="J122" s="36">
        <f>'Purchased Power Model '!M122</f>
        <v>161.63049733959846</v>
      </c>
      <c r="K122" s="18"/>
      <c r="L122" s="18"/>
      <c r="M122" s="10">
        <f t="shared" si="4"/>
        <v>14331559.426190196</v>
      </c>
      <c r="N122" s="50"/>
    </row>
    <row r="123" spans="1:14">
      <c r="A123" s="3">
        <v>43101</v>
      </c>
      <c r="C123" s="100">
        <f>'Purchased Power Model '!G123</f>
        <v>784.93238095238098</v>
      </c>
      <c r="D123" s="100">
        <f>'Purchased Power Model '!H123</f>
        <v>0</v>
      </c>
      <c r="E123" s="18">
        <f>'Purchased Power Model '!I123</f>
        <v>31</v>
      </c>
      <c r="F123" s="18">
        <f>'Purchased Power Model '!J123</f>
        <v>0</v>
      </c>
      <c r="G123" s="82">
        <f>'Purchased Power Model '!K123</f>
        <v>121</v>
      </c>
      <c r="H123" s="82">
        <f>H122</f>
        <v>11208</v>
      </c>
      <c r="I123" s="107">
        <f>'Purchased Power Model '!L123</f>
        <v>0</v>
      </c>
      <c r="J123" s="36">
        <f>'Purchased Power Model '!M123</f>
        <v>161.95025605012432</v>
      </c>
      <c r="K123" s="18"/>
      <c r="L123" s="18"/>
      <c r="M123" s="10">
        <f t="shared" si="4"/>
        <v>13785079.083124142</v>
      </c>
      <c r="N123" s="50"/>
    </row>
    <row r="124" spans="1:14">
      <c r="A124" s="3">
        <v>43132</v>
      </c>
      <c r="C124" s="100">
        <f>'Purchased Power Model '!G124</f>
        <v>739.71857142857129</v>
      </c>
      <c r="D124" s="100">
        <f>'Purchased Power Model '!H124</f>
        <v>0</v>
      </c>
      <c r="E124" s="18">
        <f>'Purchased Power Model '!I124</f>
        <v>28</v>
      </c>
      <c r="F124" s="18">
        <f>'Purchased Power Model '!J124</f>
        <v>0</v>
      </c>
      <c r="G124" s="82">
        <f>'Purchased Power Model '!K124</f>
        <v>122</v>
      </c>
      <c r="H124" s="82">
        <f t="shared" ref="H124:H146" si="5">H123</f>
        <v>11208</v>
      </c>
      <c r="I124" s="107">
        <f>'Purchased Power Model '!L124</f>
        <v>0</v>
      </c>
      <c r="J124" s="36">
        <f>'Purchased Power Model '!M124</f>
        <v>162.27064734939202</v>
      </c>
      <c r="K124" s="18"/>
      <c r="L124" s="18"/>
      <c r="M124" s="10">
        <f t="shared" si="4"/>
        <v>12625257.587069377</v>
      </c>
      <c r="N124" s="50"/>
    </row>
    <row r="125" spans="1:14">
      <c r="A125" s="3">
        <v>43160</v>
      </c>
      <c r="C125" s="100">
        <f>'Purchased Power Model '!G125</f>
        <v>622.95999999999992</v>
      </c>
      <c r="D125" s="100">
        <f>'Purchased Power Model '!H125</f>
        <v>0</v>
      </c>
      <c r="E125" s="18">
        <f>'Purchased Power Model '!I125</f>
        <v>31</v>
      </c>
      <c r="F125" s="18">
        <f>'Purchased Power Model '!J125</f>
        <v>1</v>
      </c>
      <c r="G125" s="82">
        <f>'Purchased Power Model '!K125</f>
        <v>123</v>
      </c>
      <c r="H125" s="82">
        <f t="shared" si="5"/>
        <v>11208</v>
      </c>
      <c r="I125" s="107">
        <f>'Purchased Power Model '!L125</f>
        <v>0</v>
      </c>
      <c r="J125" s="36">
        <f>'Purchased Power Model '!M125</f>
        <v>162.59167248887184</v>
      </c>
      <c r="K125" s="18"/>
      <c r="L125" s="18"/>
      <c r="M125" s="10">
        <f t="shared" si="4"/>
        <v>11608288.222756486</v>
      </c>
      <c r="N125" s="50"/>
    </row>
    <row r="126" spans="1:14">
      <c r="A126" s="3">
        <v>43191</v>
      </c>
      <c r="C126" s="100">
        <f>'Purchased Power Model '!G126</f>
        <v>379.45</v>
      </c>
      <c r="D126" s="100">
        <f>'Purchased Power Model '!H126</f>
        <v>0.01</v>
      </c>
      <c r="E126" s="18">
        <f>'Purchased Power Model '!I126</f>
        <v>30</v>
      </c>
      <c r="F126" s="18">
        <f>'Purchased Power Model '!J126</f>
        <v>1</v>
      </c>
      <c r="G126" s="82">
        <f>'Purchased Power Model '!K126</f>
        <v>124</v>
      </c>
      <c r="H126" s="82">
        <f t="shared" si="5"/>
        <v>11208</v>
      </c>
      <c r="I126" s="107">
        <f>'Purchased Power Model '!L126</f>
        <v>0</v>
      </c>
      <c r="J126" s="36">
        <f>'Purchased Power Model '!M126</f>
        <v>162.91333272250986</v>
      </c>
      <c r="K126" s="18"/>
      <c r="L126" s="18"/>
      <c r="M126" s="10">
        <f t="shared" si="4"/>
        <v>9073728.0222337469</v>
      </c>
      <c r="N126" s="50"/>
    </row>
    <row r="127" spans="1:14">
      <c r="A127" s="3">
        <v>43221</v>
      </c>
      <c r="C127" s="100">
        <f>'Purchased Power Model '!G127</f>
        <v>190.97476190476192</v>
      </c>
      <c r="D127" s="100">
        <f>'Purchased Power Model '!H127</f>
        <v>8.77</v>
      </c>
      <c r="E127" s="18">
        <f>'Purchased Power Model '!I127</f>
        <v>31</v>
      </c>
      <c r="F127" s="18">
        <f>'Purchased Power Model '!J127</f>
        <v>1</v>
      </c>
      <c r="G127" s="82">
        <f>'Purchased Power Model '!K127</f>
        <v>125</v>
      </c>
      <c r="H127" s="82">
        <f t="shared" si="5"/>
        <v>11208</v>
      </c>
      <c r="I127" s="107">
        <f>'Purchased Power Model '!L127</f>
        <v>0</v>
      </c>
      <c r="J127" s="36">
        <f>'Purchased Power Model '!M127</f>
        <v>163.23562930673287</v>
      </c>
      <c r="K127" s="18"/>
      <c r="L127" s="18"/>
      <c r="M127" s="10">
        <f t="shared" si="4"/>
        <v>7672013.1052395301</v>
      </c>
      <c r="N127" s="50"/>
    </row>
    <row r="128" spans="1:14">
      <c r="A128" s="3">
        <v>43252</v>
      </c>
      <c r="C128" s="100">
        <f>'Purchased Power Model '!G128</f>
        <v>69.127619047619049</v>
      </c>
      <c r="D128" s="100">
        <f>'Purchased Power Model '!H128</f>
        <v>22.15</v>
      </c>
      <c r="E128" s="18">
        <f>'Purchased Power Model '!I128</f>
        <v>30</v>
      </c>
      <c r="F128" s="18">
        <f>'Purchased Power Model '!J128</f>
        <v>0</v>
      </c>
      <c r="G128" s="82">
        <f>'Purchased Power Model '!K128</f>
        <v>126</v>
      </c>
      <c r="H128" s="82">
        <f t="shared" si="5"/>
        <v>11208</v>
      </c>
      <c r="I128" s="107">
        <f>'Purchased Power Model '!L128</f>
        <v>0</v>
      </c>
      <c r="J128" s="36">
        <f>'Purchased Power Model '!M128</f>
        <v>163.55856350045332</v>
      </c>
      <c r="K128" s="18"/>
      <c r="L128" s="18"/>
      <c r="M128" s="10">
        <f t="shared" si="4"/>
        <v>7127052.9142324897</v>
      </c>
      <c r="N128" s="50"/>
    </row>
    <row r="129" spans="1:36">
      <c r="A129" s="3">
        <v>43282</v>
      </c>
      <c r="C129" s="100">
        <f>'Purchased Power Model '!G129</f>
        <v>22.305238095238096</v>
      </c>
      <c r="D129" s="100">
        <f>'Purchased Power Model '!H129</f>
        <v>53.85</v>
      </c>
      <c r="E129" s="18">
        <f>'Purchased Power Model '!I129</f>
        <v>31</v>
      </c>
      <c r="F129" s="18">
        <f>'Purchased Power Model '!J129</f>
        <v>0</v>
      </c>
      <c r="G129" s="82">
        <f>'Purchased Power Model '!K129</f>
        <v>127</v>
      </c>
      <c r="H129" s="82">
        <f t="shared" si="5"/>
        <v>11208</v>
      </c>
      <c r="I129" s="107">
        <f>'Purchased Power Model '!L129</f>
        <v>0</v>
      </c>
      <c r="J129" s="36">
        <f>'Purchased Power Model '!M129</f>
        <v>163.88213656507418</v>
      </c>
      <c r="K129" s="18"/>
      <c r="L129" s="18"/>
      <c r="M129" s="10">
        <f t="shared" si="4"/>
        <v>7386537.0929617379</v>
      </c>
      <c r="N129" s="50"/>
    </row>
    <row r="130" spans="1:36">
      <c r="A130" s="3">
        <v>43313</v>
      </c>
      <c r="C130" s="100">
        <f>'Purchased Power Model '!G130</f>
        <v>35.084761904761905</v>
      </c>
      <c r="D130" s="100">
        <f>'Purchased Power Model '!H130</f>
        <v>38.71</v>
      </c>
      <c r="E130" s="18">
        <f>'Purchased Power Model '!I130</f>
        <v>31</v>
      </c>
      <c r="F130" s="18">
        <f>'Purchased Power Model '!J130</f>
        <v>0</v>
      </c>
      <c r="G130" s="82">
        <f>'Purchased Power Model '!K130</f>
        <v>128</v>
      </c>
      <c r="H130" s="82">
        <f t="shared" si="5"/>
        <v>11208</v>
      </c>
      <c r="I130" s="107">
        <f>'Purchased Power Model '!L130</f>
        <v>0</v>
      </c>
      <c r="J130" s="36">
        <f>'Purchased Power Model '!M130</f>
        <v>164.20634976449389</v>
      </c>
      <c r="K130" s="18"/>
      <c r="L130" s="18"/>
      <c r="M130" s="10">
        <f t="shared" si="4"/>
        <v>7289451.707672392</v>
      </c>
      <c r="N130" s="50"/>
    </row>
    <row r="131" spans="1:36">
      <c r="A131" s="3">
        <v>43344</v>
      </c>
      <c r="C131" s="100">
        <f>'Purchased Power Model '!G131</f>
        <v>119.32619047619046</v>
      </c>
      <c r="D131" s="100">
        <f>'Purchased Power Model '!H131</f>
        <v>14.820000000000002</v>
      </c>
      <c r="E131" s="18">
        <f>'Purchased Power Model '!I131</f>
        <v>30</v>
      </c>
      <c r="F131" s="18">
        <f>'Purchased Power Model '!J131</f>
        <v>1</v>
      </c>
      <c r="G131" s="82">
        <f>'Purchased Power Model '!K131</f>
        <v>129</v>
      </c>
      <c r="H131" s="82">
        <f t="shared" si="5"/>
        <v>11208</v>
      </c>
      <c r="I131" s="107">
        <f>'Purchased Power Model '!L131</f>
        <v>0</v>
      </c>
      <c r="J131" s="36">
        <f>'Purchased Power Model '!M131</f>
        <v>164.53120436511134</v>
      </c>
      <c r="K131" s="18"/>
      <c r="L131" s="18"/>
      <c r="M131" s="10">
        <f t="shared" si="4"/>
        <v>6840201.5684985751</v>
      </c>
      <c r="N131" s="50"/>
    </row>
    <row r="132" spans="1:36">
      <c r="A132" s="3">
        <v>43374</v>
      </c>
      <c r="C132" s="100">
        <f>'Purchased Power Model '!G132</f>
        <v>307.71047619047624</v>
      </c>
      <c r="D132" s="100">
        <f>'Purchased Power Model '!H132</f>
        <v>0.03</v>
      </c>
      <c r="E132" s="18">
        <f>'Purchased Power Model '!I132</f>
        <v>31</v>
      </c>
      <c r="F132" s="18">
        <f>'Purchased Power Model '!J132</f>
        <v>1</v>
      </c>
      <c r="G132" s="82">
        <f>'Purchased Power Model '!K132</f>
        <v>130</v>
      </c>
      <c r="H132" s="82">
        <f t="shared" si="5"/>
        <v>11208</v>
      </c>
      <c r="I132" s="107">
        <f>'Purchased Power Model '!L132</f>
        <v>0</v>
      </c>
      <c r="J132" s="36">
        <f>'Purchased Power Model '!M132</f>
        <v>164.85670163583072</v>
      </c>
      <c r="K132" s="18"/>
      <c r="L132" s="18"/>
      <c r="M132" s="10">
        <f t="shared" si="4"/>
        <v>8644302.8699806184</v>
      </c>
      <c r="N132" s="50"/>
    </row>
    <row r="133" spans="1:36">
      <c r="A133" s="3">
        <v>43405</v>
      </c>
      <c r="C133" s="100">
        <f>'Purchased Power Model '!G133</f>
        <v>465.15761904761905</v>
      </c>
      <c r="D133" s="100">
        <f>'Purchased Power Model '!H133</f>
        <v>0</v>
      </c>
      <c r="E133" s="18">
        <f>'Purchased Power Model '!I133</f>
        <v>30</v>
      </c>
      <c r="F133" s="18">
        <f>'Purchased Power Model '!J133</f>
        <v>1</v>
      </c>
      <c r="G133" s="82">
        <f>'Purchased Power Model '!K133</f>
        <v>131</v>
      </c>
      <c r="H133" s="82">
        <f t="shared" si="5"/>
        <v>11208</v>
      </c>
      <c r="I133" s="107">
        <f>'Purchased Power Model '!L133</f>
        <v>0</v>
      </c>
      <c r="J133" s="36">
        <f>'Purchased Power Model '!M133</f>
        <v>165.18284284806657</v>
      </c>
      <c r="K133" s="18"/>
      <c r="L133" s="18"/>
      <c r="M133" s="10">
        <f t="shared" si="4"/>
        <v>9879520.8373328857</v>
      </c>
      <c r="N133" s="50"/>
    </row>
    <row r="134" spans="1:36">
      <c r="A134" s="3">
        <v>43435</v>
      </c>
      <c r="C134" s="100">
        <f>'Purchased Power Model '!G134</f>
        <v>710.40619047619066</v>
      </c>
      <c r="D134" s="100">
        <f>'Purchased Power Model '!H134</f>
        <v>0</v>
      </c>
      <c r="E134" s="18">
        <f>'Purchased Power Model '!I134</f>
        <v>31</v>
      </c>
      <c r="F134" s="18">
        <f>'Purchased Power Model '!J134</f>
        <v>0</v>
      </c>
      <c r="G134" s="82">
        <f>'Purchased Power Model '!K134</f>
        <v>132</v>
      </c>
      <c r="H134" s="82">
        <f t="shared" si="5"/>
        <v>11208</v>
      </c>
      <c r="I134" s="107">
        <f>'Purchased Power Model '!L134</f>
        <v>0</v>
      </c>
      <c r="J134" s="36">
        <f>'Purchased Power Model '!M134</f>
        <v>165.18636828106963</v>
      </c>
      <c r="K134" s="18"/>
      <c r="L134" s="18"/>
      <c r="M134" s="10">
        <f t="shared" si="4"/>
        <v>13084273.254604857</v>
      </c>
      <c r="N134" s="50"/>
    </row>
    <row r="135" spans="1:36">
      <c r="A135" s="3">
        <v>43466</v>
      </c>
      <c r="C135" s="100">
        <f>'Purchased Power Model '!G135</f>
        <v>784.93238095238098</v>
      </c>
      <c r="D135" s="100">
        <f>'Purchased Power Model '!H135</f>
        <v>0</v>
      </c>
      <c r="E135" s="18">
        <f>'Purchased Power Model '!I135</f>
        <v>31</v>
      </c>
      <c r="F135" s="18">
        <f>'Purchased Power Model '!J135</f>
        <v>0</v>
      </c>
      <c r="G135" s="82">
        <f>'Purchased Power Model '!K135</f>
        <v>133</v>
      </c>
      <c r="H135" s="82">
        <f t="shared" si="5"/>
        <v>11208</v>
      </c>
      <c r="I135" s="107"/>
      <c r="J135" s="36"/>
      <c r="K135" s="18"/>
      <c r="L135" s="18"/>
      <c r="M135" s="10">
        <f t="shared" si="4"/>
        <v>13785070.595471404</v>
      </c>
      <c r="N135" s="50"/>
      <c r="O135" s="176"/>
      <c r="AJ135" s="175"/>
    </row>
    <row r="136" spans="1:36">
      <c r="A136" s="3">
        <v>43497</v>
      </c>
      <c r="C136" s="100">
        <f>'Purchased Power Model '!G136</f>
        <v>739.71857142857129</v>
      </c>
      <c r="D136" s="100">
        <f>'Purchased Power Model '!H136</f>
        <v>0</v>
      </c>
      <c r="E136" s="18">
        <f>'Purchased Power Model '!I136</f>
        <v>28</v>
      </c>
      <c r="F136" s="18">
        <f>'Purchased Power Model '!J136</f>
        <v>0</v>
      </c>
      <c r="G136" s="82">
        <f>'Purchased Power Model '!K136</f>
        <v>134</v>
      </c>
      <c r="H136" s="82">
        <f t="shared" si="5"/>
        <v>11208</v>
      </c>
      <c r="I136" s="107"/>
      <c r="J136" s="36"/>
      <c r="K136" s="18"/>
      <c r="L136" s="18"/>
      <c r="M136" s="10">
        <f t="shared" si="4"/>
        <v>12625249.09941664</v>
      </c>
      <c r="N136" s="50"/>
      <c r="O136" s="176"/>
      <c r="AJ136" s="175"/>
    </row>
    <row r="137" spans="1:36">
      <c r="A137" s="3">
        <v>43525</v>
      </c>
      <c r="C137" s="100">
        <f>'Purchased Power Model '!G137</f>
        <v>622.95999999999992</v>
      </c>
      <c r="D137" s="100">
        <f>'Purchased Power Model '!H137</f>
        <v>0</v>
      </c>
      <c r="E137" s="18">
        <f>'Purchased Power Model '!I137</f>
        <v>31</v>
      </c>
      <c r="F137" s="18">
        <f>'Purchased Power Model '!J137</f>
        <v>1</v>
      </c>
      <c r="G137" s="82">
        <f>'Purchased Power Model '!K137</f>
        <v>135</v>
      </c>
      <c r="H137" s="82">
        <f t="shared" si="5"/>
        <v>11208</v>
      </c>
      <c r="I137" s="107"/>
      <c r="J137" s="36"/>
      <c r="K137" s="18"/>
      <c r="L137" s="18"/>
      <c r="M137" s="10">
        <f t="shared" si="4"/>
        <v>11608279.735103749</v>
      </c>
      <c r="N137" s="50"/>
      <c r="O137" s="176"/>
      <c r="AJ137" s="175"/>
    </row>
    <row r="138" spans="1:36">
      <c r="A138" s="3">
        <v>43556</v>
      </c>
      <c r="C138" s="100">
        <f>'Purchased Power Model '!G138</f>
        <v>379.45</v>
      </c>
      <c r="D138" s="100">
        <f>'Purchased Power Model '!H138</f>
        <v>0.01</v>
      </c>
      <c r="E138" s="18">
        <f>'Purchased Power Model '!I138</f>
        <v>30</v>
      </c>
      <c r="F138" s="18">
        <f>'Purchased Power Model '!J138</f>
        <v>1</v>
      </c>
      <c r="G138" s="82">
        <f>'Purchased Power Model '!K138</f>
        <v>136</v>
      </c>
      <c r="H138" s="82">
        <f t="shared" si="5"/>
        <v>11208</v>
      </c>
      <c r="I138" s="107"/>
      <c r="J138" s="36"/>
      <c r="K138" s="18"/>
      <c r="L138" s="18"/>
      <c r="M138" s="10">
        <f t="shared" si="4"/>
        <v>9073719.5345810093</v>
      </c>
      <c r="N138" s="50"/>
      <c r="O138" s="176"/>
      <c r="AJ138" s="175"/>
    </row>
    <row r="139" spans="1:36">
      <c r="A139" s="3">
        <v>43586</v>
      </c>
      <c r="C139" s="100">
        <f>'Purchased Power Model '!G139</f>
        <v>190.97476190476192</v>
      </c>
      <c r="D139" s="100">
        <f>'Purchased Power Model '!H139</f>
        <v>8.77</v>
      </c>
      <c r="E139" s="18">
        <f>'Purchased Power Model '!I139</f>
        <v>31</v>
      </c>
      <c r="F139" s="18">
        <f>'Purchased Power Model '!J139</f>
        <v>1</v>
      </c>
      <c r="G139" s="82">
        <f>'Purchased Power Model '!K139</f>
        <v>137</v>
      </c>
      <c r="H139" s="82">
        <f t="shared" si="5"/>
        <v>11208</v>
      </c>
      <c r="I139" s="107"/>
      <c r="J139" s="36"/>
      <c r="K139" s="18"/>
      <c r="L139" s="18"/>
      <c r="M139" s="10">
        <f t="shared" si="4"/>
        <v>7672004.6175867924</v>
      </c>
      <c r="N139" s="50"/>
      <c r="O139" s="176"/>
      <c r="AJ139" s="175"/>
    </row>
    <row r="140" spans="1:36">
      <c r="A140" s="3">
        <v>43617</v>
      </c>
      <c r="C140" s="100">
        <f>'Purchased Power Model '!G140</f>
        <v>69.127619047619049</v>
      </c>
      <c r="D140" s="100">
        <f>'Purchased Power Model '!H140</f>
        <v>22.15</v>
      </c>
      <c r="E140" s="18">
        <f>'Purchased Power Model '!I140</f>
        <v>30</v>
      </c>
      <c r="F140" s="18">
        <f>'Purchased Power Model '!J140</f>
        <v>0</v>
      </c>
      <c r="G140" s="82">
        <f>'Purchased Power Model '!K140</f>
        <v>138</v>
      </c>
      <c r="H140" s="82">
        <f t="shared" si="5"/>
        <v>11208</v>
      </c>
      <c r="I140" s="107"/>
      <c r="J140" s="36"/>
      <c r="K140" s="18"/>
      <c r="L140" s="18"/>
      <c r="M140" s="10">
        <f t="shared" si="4"/>
        <v>7127044.426579752</v>
      </c>
      <c r="N140" s="50"/>
      <c r="O140" s="176"/>
      <c r="AJ140" s="175"/>
    </row>
    <row r="141" spans="1:36">
      <c r="A141" s="3">
        <v>43647</v>
      </c>
      <c r="C141" s="100">
        <f>'Purchased Power Model '!G141</f>
        <v>22.305238095238096</v>
      </c>
      <c r="D141" s="100">
        <f>'Purchased Power Model '!H141</f>
        <v>53.85</v>
      </c>
      <c r="E141" s="18">
        <f>'Purchased Power Model '!I141</f>
        <v>31</v>
      </c>
      <c r="F141" s="18">
        <f>'Purchased Power Model '!J141</f>
        <v>0</v>
      </c>
      <c r="G141" s="82">
        <f>'Purchased Power Model '!K141</f>
        <v>139</v>
      </c>
      <c r="H141" s="82">
        <f t="shared" si="5"/>
        <v>11208</v>
      </c>
      <c r="I141" s="107"/>
      <c r="J141" s="36"/>
      <c r="K141" s="18"/>
      <c r="L141" s="18"/>
      <c r="M141" s="10">
        <f t="shared" si="4"/>
        <v>7386528.6053090002</v>
      </c>
      <c r="N141" s="50"/>
      <c r="O141" s="176"/>
      <c r="AJ141" s="175"/>
    </row>
    <row r="142" spans="1:36">
      <c r="A142" s="3">
        <v>43678</v>
      </c>
      <c r="C142" s="100">
        <f>'Purchased Power Model '!G142</f>
        <v>35.084761904761905</v>
      </c>
      <c r="D142" s="100">
        <f>'Purchased Power Model '!H142</f>
        <v>38.71</v>
      </c>
      <c r="E142" s="18">
        <f>'Purchased Power Model '!I142</f>
        <v>31</v>
      </c>
      <c r="F142" s="18">
        <f>'Purchased Power Model '!J142</f>
        <v>0</v>
      </c>
      <c r="G142" s="82">
        <f>'Purchased Power Model '!K142</f>
        <v>140</v>
      </c>
      <c r="H142" s="82">
        <f t="shared" si="5"/>
        <v>11208</v>
      </c>
      <c r="I142" s="107"/>
      <c r="J142" s="36"/>
      <c r="K142" s="18"/>
      <c r="L142" s="18"/>
      <c r="M142" s="10">
        <f t="shared" si="4"/>
        <v>7289443.2200196544</v>
      </c>
      <c r="N142" s="50"/>
      <c r="O142" s="176"/>
      <c r="AJ142" s="175"/>
    </row>
    <row r="143" spans="1:36">
      <c r="A143" s="3">
        <v>43709</v>
      </c>
      <c r="C143" s="100">
        <f>'Purchased Power Model '!G143</f>
        <v>119.32619047619046</v>
      </c>
      <c r="D143" s="100">
        <f>'Purchased Power Model '!H143</f>
        <v>14.820000000000002</v>
      </c>
      <c r="E143" s="18">
        <f>'Purchased Power Model '!I143</f>
        <v>30</v>
      </c>
      <c r="F143" s="18">
        <f>'Purchased Power Model '!J143</f>
        <v>1</v>
      </c>
      <c r="G143" s="82">
        <f>'Purchased Power Model '!K143</f>
        <v>141</v>
      </c>
      <c r="H143" s="82">
        <f t="shared" si="5"/>
        <v>11208</v>
      </c>
      <c r="I143" s="107"/>
      <c r="J143" s="36"/>
      <c r="K143" s="18"/>
      <c r="L143" s="18"/>
      <c r="M143" s="10">
        <f t="shared" si="4"/>
        <v>6840193.0808458375</v>
      </c>
      <c r="N143" s="50"/>
      <c r="O143" s="176"/>
      <c r="AJ143" s="175"/>
    </row>
    <row r="144" spans="1:36">
      <c r="A144" s="3">
        <v>43739</v>
      </c>
      <c r="C144" s="100">
        <f>'Purchased Power Model '!G144</f>
        <v>307.71047619047624</v>
      </c>
      <c r="D144" s="100">
        <f>'Purchased Power Model '!H144</f>
        <v>0.03</v>
      </c>
      <c r="E144" s="18">
        <f>'Purchased Power Model '!I144</f>
        <v>31</v>
      </c>
      <c r="F144" s="18">
        <f>'Purchased Power Model '!J144</f>
        <v>1</v>
      </c>
      <c r="G144" s="82">
        <f>'Purchased Power Model '!K144</f>
        <v>142</v>
      </c>
      <c r="H144" s="82">
        <f t="shared" si="5"/>
        <v>11208</v>
      </c>
      <c r="I144" s="107"/>
      <c r="J144" s="36"/>
      <c r="K144" s="18"/>
      <c r="L144" s="18"/>
      <c r="M144" s="10">
        <f t="shared" si="4"/>
        <v>8644294.3823278807</v>
      </c>
      <c r="N144" s="50"/>
      <c r="O144" s="176"/>
      <c r="AJ144" s="175"/>
    </row>
    <row r="145" spans="1:36">
      <c r="A145" s="3">
        <v>43770</v>
      </c>
      <c r="C145" s="100">
        <f>'Purchased Power Model '!G145</f>
        <v>465.15761904761905</v>
      </c>
      <c r="D145" s="100">
        <f>'Purchased Power Model '!H145</f>
        <v>0</v>
      </c>
      <c r="E145" s="18">
        <f>'Purchased Power Model '!I145</f>
        <v>30</v>
      </c>
      <c r="F145" s="18">
        <f>'Purchased Power Model '!J145</f>
        <v>1</v>
      </c>
      <c r="G145" s="82">
        <f>'Purchased Power Model '!K145</f>
        <v>143</v>
      </c>
      <c r="H145" s="82">
        <f t="shared" si="5"/>
        <v>11208</v>
      </c>
      <c r="I145" s="107"/>
      <c r="J145" s="36"/>
      <c r="K145" s="18"/>
      <c r="L145" s="18"/>
      <c r="M145" s="10">
        <f t="shared" si="4"/>
        <v>9879512.3496801481</v>
      </c>
      <c r="N145" s="50"/>
      <c r="O145" s="176"/>
      <c r="AJ145" s="175"/>
    </row>
    <row r="146" spans="1:36">
      <c r="A146" s="3">
        <v>43800</v>
      </c>
      <c r="C146" s="100">
        <f>'Purchased Power Model '!G146</f>
        <v>710.40619047619066</v>
      </c>
      <c r="D146" s="100">
        <f>'Purchased Power Model '!H146</f>
        <v>0</v>
      </c>
      <c r="E146" s="18">
        <f>'Purchased Power Model '!I146</f>
        <v>31</v>
      </c>
      <c r="F146" s="18">
        <f>'Purchased Power Model '!J146</f>
        <v>0</v>
      </c>
      <c r="G146" s="82">
        <f>'Purchased Power Model '!K146</f>
        <v>144</v>
      </c>
      <c r="H146" s="82">
        <f t="shared" si="5"/>
        <v>11208</v>
      </c>
      <c r="I146" s="107"/>
      <c r="J146" s="36"/>
      <c r="K146" s="18"/>
      <c r="L146" s="18"/>
      <c r="M146" s="10">
        <f t="shared" si="4"/>
        <v>13084264.76695212</v>
      </c>
      <c r="N146" s="50"/>
      <c r="O146" s="176"/>
      <c r="AJ146" s="175"/>
    </row>
    <row r="147" spans="1:36">
      <c r="A147" s="3"/>
      <c r="N147" s="50"/>
    </row>
    <row r="148" spans="1:36">
      <c r="A148" s="3"/>
      <c r="N148" s="50"/>
    </row>
    <row r="149" spans="1:36">
      <c r="A149" s="3"/>
      <c r="D149" s="24" t="s">
        <v>13</v>
      </c>
      <c r="M149" s="50">
        <f>SUM(M3:M146)</f>
        <v>1380928633.3687766</v>
      </c>
      <c r="N149" s="50"/>
    </row>
    <row r="150" spans="1:36">
      <c r="A150" s="3"/>
      <c r="M150" s="103"/>
      <c r="N150" s="50"/>
    </row>
    <row r="151" spans="1:36">
      <c r="A151">
        <v>2008</v>
      </c>
      <c r="B151" s="28">
        <f>SUM(B3:B14)</f>
        <v>115598926.71887398</v>
      </c>
      <c r="M151" s="28">
        <f>SUM(M3:M14)</f>
        <v>119284382.08867683</v>
      </c>
      <c r="N151" s="38">
        <f t="shared" ref="N151:N159" si="6">M151-B151</f>
        <v>3685455.3698028475</v>
      </c>
      <c r="O151" s="5">
        <f t="shared" ref="O151:O159" si="7">N151/B151</f>
        <v>3.1881397815790607E-2</v>
      </c>
    </row>
    <row r="152" spans="1:36">
      <c r="A152" s="17">
        <v>2009</v>
      </c>
      <c r="B152" s="28">
        <f>SUM(B15:B26)</f>
        <v>114949768.99114111</v>
      </c>
      <c r="M152" s="28">
        <f>SUM(M15:M26)</f>
        <v>117425367.2767826</v>
      </c>
      <c r="N152" s="38">
        <f t="shared" si="6"/>
        <v>2475598.2856414914</v>
      </c>
      <c r="O152" s="5">
        <f t="shared" si="7"/>
        <v>2.1536348505687555E-2</v>
      </c>
    </row>
    <row r="153" spans="1:36">
      <c r="A153">
        <v>2010</v>
      </c>
      <c r="B153" s="28">
        <f>SUM(B27:B38)</f>
        <v>111140547.82213493</v>
      </c>
      <c r="M153" s="28">
        <f>SUM(M27:M38)</f>
        <v>112716267.25833239</v>
      </c>
      <c r="N153" s="38">
        <f t="shared" si="6"/>
        <v>1575719.4361974597</v>
      </c>
      <c r="O153" s="5">
        <f t="shared" si="7"/>
        <v>1.4177718817070983E-2</v>
      </c>
    </row>
    <row r="154" spans="1:36">
      <c r="A154">
        <v>2011</v>
      </c>
      <c r="B154" s="28">
        <f>SUM(B39:B50)</f>
        <v>110139623.46165061</v>
      </c>
      <c r="M154" s="28">
        <f>SUM(M39:M50)</f>
        <v>112811227.19154221</v>
      </c>
      <c r="N154" s="38">
        <f t="shared" si="6"/>
        <v>2671603.7298915982</v>
      </c>
      <c r="O154" s="5">
        <f t="shared" si="7"/>
        <v>2.4256517735616018E-2</v>
      </c>
    </row>
    <row r="155" spans="1:36">
      <c r="A155">
        <v>2012</v>
      </c>
      <c r="B155" s="28">
        <f>SUM(B51:B62)</f>
        <v>107717982.53613377</v>
      </c>
      <c r="M155" s="28">
        <f>SUM(M51:M62)</f>
        <v>111923634.65667725</v>
      </c>
      <c r="N155" s="38">
        <f t="shared" si="6"/>
        <v>4205652.1205434799</v>
      </c>
      <c r="O155" s="5">
        <f t="shared" si="7"/>
        <v>3.9043175721683268E-2</v>
      </c>
    </row>
    <row r="156" spans="1:36">
      <c r="A156">
        <v>2013</v>
      </c>
      <c r="B156" s="28">
        <f>SUM(B63:B74)</f>
        <v>113520549.72461653</v>
      </c>
      <c r="M156" s="28">
        <f>SUM(M63:M74)</f>
        <v>114397665.57532367</v>
      </c>
      <c r="N156" s="38">
        <f t="shared" si="6"/>
        <v>877115.85070714355</v>
      </c>
      <c r="O156" s="5">
        <f t="shared" si="7"/>
        <v>7.7264940386114435E-3</v>
      </c>
      <c r="AJ156"/>
    </row>
    <row r="157" spans="1:36">
      <c r="A157">
        <v>2014</v>
      </c>
      <c r="B157" s="28">
        <f>SUM(B75:B86)</f>
        <v>114433382.22499122</v>
      </c>
      <c r="M157" s="28">
        <f>SUM(M75:M86)</f>
        <v>118775394.82133514</v>
      </c>
      <c r="N157" s="38">
        <f t="shared" si="6"/>
        <v>4342012.5963439196</v>
      </c>
      <c r="O157" s="5">
        <f t="shared" si="7"/>
        <v>3.7943583523616792E-2</v>
      </c>
      <c r="AJ157"/>
    </row>
    <row r="158" spans="1:36">
      <c r="A158" s="17">
        <v>2015</v>
      </c>
      <c r="B158" s="28">
        <f>SUM(B87:B98)</f>
        <v>108243956.44</v>
      </c>
      <c r="M158" s="28">
        <f>SUM(M87:M98)</f>
        <v>116238643.56838925</v>
      </c>
      <c r="N158" s="38">
        <f t="shared" si="6"/>
        <v>7994687.1283892542</v>
      </c>
      <c r="O158" s="5">
        <f t="shared" si="7"/>
        <v>7.3858046133233657E-2</v>
      </c>
      <c r="AJ158"/>
    </row>
    <row r="159" spans="1:36">
      <c r="A159" s="17">
        <v>2016</v>
      </c>
      <c r="B159" s="28">
        <f>SUM(B99:B110)</f>
        <v>104348161.31</v>
      </c>
      <c r="M159" s="28">
        <f>SUM(M99:M110)</f>
        <v>114487264.10679533</v>
      </c>
      <c r="N159" s="38">
        <f t="shared" si="6"/>
        <v>10139102.796795323</v>
      </c>
      <c r="O159" s="5">
        <f t="shared" si="7"/>
        <v>9.7166089651295681E-2</v>
      </c>
      <c r="AJ159"/>
    </row>
    <row r="160" spans="1:36">
      <c r="A160" s="17">
        <v>2017</v>
      </c>
      <c r="B160" s="28">
        <f>SUM(B111:B122)</f>
        <v>103129632.00000001</v>
      </c>
      <c r="M160" s="6">
        <f>SUM(M111:M122)</f>
        <v>112837476.14534134</v>
      </c>
      <c r="N160" s="50"/>
      <c r="O160" s="103"/>
      <c r="AJ160"/>
    </row>
    <row r="161" spans="1:36">
      <c r="A161">
        <v>2018</v>
      </c>
      <c r="M161" s="6">
        <f>SUM(M123:M134)</f>
        <v>115015706.26570685</v>
      </c>
      <c r="N161" s="50"/>
      <c r="O161" s="103"/>
      <c r="AJ161"/>
    </row>
    <row r="162" spans="1:36">
      <c r="A162">
        <v>2019</v>
      </c>
      <c r="M162" s="175">
        <f>SUM(M135:M146)</f>
        <v>115015604.413874</v>
      </c>
      <c r="N162" s="50"/>
      <c r="O162" s="176"/>
      <c r="AJ162"/>
    </row>
    <row r="163" spans="1:36">
      <c r="M163" s="6"/>
      <c r="N163" s="50"/>
      <c r="AJ163"/>
    </row>
    <row r="164" spans="1:36">
      <c r="A164" s="105" t="s">
        <v>164</v>
      </c>
      <c r="B164" s="28">
        <f>SUM(B151:B160)</f>
        <v>1103222531.229542</v>
      </c>
      <c r="M164" s="28">
        <f>SUM(M151:M160)</f>
        <v>1150897322.6891961</v>
      </c>
      <c r="N164" s="6">
        <f>M164-B164</f>
        <v>47674791.459654093</v>
      </c>
      <c r="AJ164"/>
    </row>
    <row r="165" spans="1:36">
      <c r="N165" s="110"/>
      <c r="AJ165"/>
    </row>
    <row r="166" spans="1:36">
      <c r="M166" s="6">
        <f>SUM(M151:M162)</f>
        <v>1380928633.3687768</v>
      </c>
      <c r="N166" s="50">
        <f>M149-M166</f>
        <v>0</v>
      </c>
      <c r="AJ166"/>
    </row>
    <row r="167" spans="1:36">
      <c r="M167" s="19"/>
      <c r="N167" s="109" t="s">
        <v>58</v>
      </c>
      <c r="O167" s="109"/>
      <c r="AJ167"/>
    </row>
    <row r="168" spans="1:36">
      <c r="N168" s="50"/>
      <c r="AJ168"/>
    </row>
    <row r="169" spans="1:36">
      <c r="N169" s="50"/>
      <c r="AJ169"/>
    </row>
    <row r="170" spans="1:36">
      <c r="N170" s="50"/>
      <c r="AJ170"/>
    </row>
    <row r="171" spans="1:36">
      <c r="N171" s="50"/>
      <c r="AJ171"/>
    </row>
    <row r="172" spans="1:36">
      <c r="N172" s="50"/>
      <c r="AJ172"/>
    </row>
    <row r="173" spans="1:36">
      <c r="N173" s="50"/>
      <c r="O173" s="103"/>
      <c r="AJ173"/>
    </row>
    <row r="174" spans="1:36">
      <c r="N174" s="50"/>
      <c r="O174" s="103"/>
      <c r="AJ174"/>
    </row>
    <row r="175" spans="1:36">
      <c r="N175" s="50"/>
      <c r="O175" s="103"/>
      <c r="AJ175"/>
    </row>
    <row r="176" spans="1:36">
      <c r="N176" s="50"/>
      <c r="O176" s="103"/>
      <c r="AJ176"/>
    </row>
    <row r="177" spans="2:36">
      <c r="N177" s="50"/>
      <c r="O177" s="103"/>
      <c r="AJ177"/>
    </row>
    <row r="178" spans="2:36">
      <c r="N178" s="50"/>
      <c r="O178" s="103"/>
      <c r="AJ178"/>
    </row>
    <row r="179" spans="2:36">
      <c r="N179" s="50"/>
      <c r="O179" s="109"/>
      <c r="AJ179"/>
    </row>
    <row r="180" spans="2:36">
      <c r="N180" s="50"/>
      <c r="O180" s="103"/>
      <c r="AJ180"/>
    </row>
    <row r="181" spans="2:36">
      <c r="B181"/>
      <c r="C181"/>
      <c r="D181"/>
      <c r="N181" s="50"/>
      <c r="O181" s="103"/>
      <c r="AJ181"/>
    </row>
    <row r="182" spans="2:36">
      <c r="N182" s="50"/>
      <c r="O182" s="103"/>
      <c r="AJ182"/>
    </row>
    <row r="183" spans="2:36">
      <c r="B183"/>
      <c r="C183"/>
      <c r="D183"/>
      <c r="E183" s="28"/>
      <c r="F183" s="28"/>
      <c r="N183" s="50"/>
      <c r="O183" s="103"/>
      <c r="AJ183"/>
    </row>
    <row r="184" spans="2:36">
      <c r="N184" s="50"/>
      <c r="O184" s="103"/>
      <c r="AJ184"/>
    </row>
    <row r="185" spans="2:36">
      <c r="N185" s="50"/>
      <c r="O185" s="103"/>
      <c r="AJ185"/>
    </row>
    <row r="186" spans="2:36">
      <c r="N186" s="50"/>
      <c r="O186" s="103"/>
      <c r="AJ186"/>
    </row>
    <row r="187" spans="2:36">
      <c r="N187" s="50"/>
      <c r="O187" s="103"/>
      <c r="AJ187"/>
    </row>
    <row r="188" spans="2:36">
      <c r="N188" s="50"/>
      <c r="O188" s="103"/>
      <c r="AJ188"/>
    </row>
    <row r="189" spans="2:36">
      <c r="N189" s="50"/>
      <c r="O189" s="103"/>
      <c r="AJ189"/>
    </row>
    <row r="190" spans="2:36">
      <c r="N190" s="50"/>
      <c r="O190" s="103"/>
      <c r="AJ190"/>
    </row>
    <row r="191" spans="2:36">
      <c r="N191" s="50"/>
      <c r="O191" s="103"/>
      <c r="AJ191"/>
    </row>
    <row r="192" spans="2:36">
      <c r="N192" s="50"/>
      <c r="O192" s="103"/>
      <c r="AJ192"/>
    </row>
    <row r="193" spans="14:36">
      <c r="N193" s="50"/>
      <c r="O193" s="103"/>
      <c r="AJ193"/>
    </row>
    <row r="194" spans="14:36">
      <c r="N194" s="50"/>
      <c r="O194" s="103"/>
      <c r="AJ194"/>
    </row>
    <row r="195" spans="14:36">
      <c r="N195" s="50"/>
      <c r="O195" s="103"/>
      <c r="AJ195"/>
    </row>
    <row r="196" spans="14:36">
      <c r="N196" s="50"/>
      <c r="O196" s="103"/>
      <c r="AJ196"/>
    </row>
    <row r="197" spans="14:36">
      <c r="N197" s="50"/>
      <c r="O197" s="103"/>
      <c r="AJ197"/>
    </row>
    <row r="198" spans="14:36">
      <c r="N198" s="50"/>
      <c r="O198" s="103"/>
      <c r="AJ198"/>
    </row>
    <row r="199" spans="14:36">
      <c r="N199" s="50"/>
      <c r="O199" s="103"/>
      <c r="AJ199"/>
    </row>
    <row r="200" spans="14:36">
      <c r="O200" s="103"/>
      <c r="AJ200"/>
    </row>
    <row r="201" spans="14:36">
      <c r="O201" s="103"/>
      <c r="AJ201"/>
    </row>
    <row r="202" spans="14:36">
      <c r="O202" s="103"/>
      <c r="AJ202"/>
    </row>
    <row r="203" spans="14:36">
      <c r="N203" s="103"/>
      <c r="O203" s="103"/>
      <c r="AJ203"/>
    </row>
    <row r="204" spans="14:36">
      <c r="N204" s="103"/>
      <c r="O204" s="103"/>
      <c r="AJ204"/>
    </row>
    <row r="205" spans="14:36">
      <c r="N205" s="38" t="e">
        <f>#REF!-#REF!</f>
        <v>#REF!</v>
      </c>
      <c r="O205" s="103"/>
      <c r="AJ205"/>
    </row>
    <row r="206" spans="14:36">
      <c r="N206" s="38" t="e">
        <f>#REF!-#REF!</f>
        <v>#REF!</v>
      </c>
      <c r="O206" s="103"/>
      <c r="AJ206"/>
    </row>
    <row r="207" spans="14:36">
      <c r="N207" s="38" t="e">
        <f>#REF!-#REF!</f>
        <v>#REF!</v>
      </c>
      <c r="O207" s="103"/>
      <c r="AJ207"/>
    </row>
    <row r="208" spans="14:36">
      <c r="N208" s="38" t="e">
        <f>#REF!-#REF!</f>
        <v>#REF!</v>
      </c>
      <c r="O208" s="103"/>
      <c r="AJ208"/>
    </row>
    <row r="209" spans="14:36">
      <c r="N209" s="38" t="e">
        <f>#REF!-#REF!</f>
        <v>#REF!</v>
      </c>
      <c r="O209" s="103"/>
      <c r="AJ209"/>
    </row>
    <row r="210" spans="14:36">
      <c r="N210" s="38" t="e">
        <f>#REF!-#REF!</f>
        <v>#REF!</v>
      </c>
      <c r="O210" s="103"/>
      <c r="AJ210"/>
    </row>
    <row r="211" spans="14:36">
      <c r="N211" s="38">
        <f t="shared" ref="N211:N219" si="8">M151-B151</f>
        <v>3685455.3698028475</v>
      </c>
      <c r="O211" s="103"/>
      <c r="AJ211"/>
    </row>
    <row r="212" spans="14:36">
      <c r="N212" s="38">
        <f t="shared" si="8"/>
        <v>2475598.2856414914</v>
      </c>
      <c r="AJ212"/>
    </row>
    <row r="213" spans="14:36">
      <c r="N213" s="38">
        <f t="shared" si="8"/>
        <v>1575719.4361974597</v>
      </c>
      <c r="AJ213"/>
    </row>
    <row r="214" spans="14:36">
      <c r="N214" s="38">
        <f t="shared" si="8"/>
        <v>2671603.7298915982</v>
      </c>
      <c r="AJ214"/>
    </row>
    <row r="215" spans="14:36">
      <c r="N215" s="38">
        <f t="shared" si="8"/>
        <v>4205652.1205434799</v>
      </c>
      <c r="O215" s="103"/>
      <c r="AJ215"/>
    </row>
    <row r="216" spans="14:36">
      <c r="N216" s="38">
        <f t="shared" si="8"/>
        <v>877115.85070714355</v>
      </c>
      <c r="O216" s="103"/>
      <c r="AJ216"/>
    </row>
    <row r="217" spans="14:36">
      <c r="N217" s="38">
        <f t="shared" si="8"/>
        <v>4342012.5963439196</v>
      </c>
      <c r="O217" s="5" t="e">
        <f>N205/#REF!</f>
        <v>#REF!</v>
      </c>
      <c r="AJ217"/>
    </row>
    <row r="218" spans="14:36">
      <c r="N218" s="38">
        <f t="shared" si="8"/>
        <v>7994687.1283892542</v>
      </c>
      <c r="O218" s="5" t="e">
        <f>N206/#REF!</f>
        <v>#REF!</v>
      </c>
      <c r="AJ218"/>
    </row>
    <row r="219" spans="14:36">
      <c r="N219" s="38">
        <f t="shared" si="8"/>
        <v>10139102.796795323</v>
      </c>
      <c r="O219" s="5" t="e">
        <f>N207/#REF!</f>
        <v>#REF!</v>
      </c>
      <c r="AJ219"/>
    </row>
    <row r="220" spans="14:36">
      <c r="N220" s="38"/>
      <c r="O220" s="5" t="e">
        <f>N208/#REF!</f>
        <v>#REF!</v>
      </c>
      <c r="AJ220"/>
    </row>
    <row r="221" spans="14:36">
      <c r="N221" s="38"/>
      <c r="O221" s="5" t="e">
        <f>N209/#REF!</f>
        <v>#REF!</v>
      </c>
      <c r="AJ221"/>
    </row>
    <row r="222" spans="14:36">
      <c r="N222" s="38"/>
      <c r="O222" s="5" t="e">
        <f>N210/#REF!</f>
        <v>#REF!</v>
      </c>
      <c r="AJ222"/>
    </row>
    <row r="223" spans="14:36">
      <c r="O223" s="5">
        <f t="shared" ref="O223:O231" si="9">N211/B151</f>
        <v>3.1881397815790607E-2</v>
      </c>
      <c r="AJ223"/>
    </row>
    <row r="224" spans="14:36">
      <c r="N224" s="6">
        <f>M164-B164</f>
        <v>47674791.459654093</v>
      </c>
      <c r="O224" s="5">
        <f t="shared" si="9"/>
        <v>2.1536348505687555E-2</v>
      </c>
      <c r="AJ224"/>
    </row>
    <row r="225" spans="14:36">
      <c r="O225" s="5">
        <f t="shared" si="9"/>
        <v>1.4177718817070983E-2</v>
      </c>
      <c r="AJ225"/>
    </row>
    <row r="226" spans="14:36">
      <c r="N226" s="50">
        <f>M149-M166</f>
        <v>0</v>
      </c>
      <c r="O226" s="5">
        <f t="shared" si="9"/>
        <v>2.4256517735616018E-2</v>
      </c>
      <c r="AJ226"/>
    </row>
    <row r="227" spans="14:36">
      <c r="N227" s="19" t="s">
        <v>58</v>
      </c>
      <c r="O227" s="5">
        <f t="shared" si="9"/>
        <v>3.9043175721683268E-2</v>
      </c>
      <c r="AJ227"/>
    </row>
    <row r="228" spans="14:36">
      <c r="O228" s="5">
        <f t="shared" si="9"/>
        <v>7.7264940386114435E-3</v>
      </c>
      <c r="AJ228"/>
    </row>
    <row r="229" spans="14:36">
      <c r="O229" s="5">
        <f t="shared" si="9"/>
        <v>3.7943583523616792E-2</v>
      </c>
      <c r="AJ229"/>
    </row>
    <row r="230" spans="14:36">
      <c r="O230" s="5">
        <f t="shared" si="9"/>
        <v>7.3858046133233657E-2</v>
      </c>
      <c r="AJ230"/>
    </row>
    <row r="231" spans="14:36">
      <c r="O231" s="5">
        <f t="shared" si="9"/>
        <v>9.7166089651295681E-2</v>
      </c>
      <c r="AJ231"/>
    </row>
    <row r="232" spans="14:36">
      <c r="O232" s="5"/>
      <c r="AJ232"/>
    </row>
    <row r="233" spans="14:36">
      <c r="O233" s="5"/>
      <c r="AJ233"/>
    </row>
    <row r="234" spans="14:36">
      <c r="O234" s="5"/>
      <c r="AJ234"/>
    </row>
    <row r="235" spans="14:36">
      <c r="AJ235"/>
    </row>
    <row r="236" spans="14:36">
      <c r="AJ236"/>
    </row>
    <row r="238" spans="14:36">
      <c r="AJ238"/>
    </row>
    <row r="239" spans="14:36">
      <c r="O239" s="19"/>
      <c r="AJ239"/>
    </row>
    <row r="241" spans="36:36">
      <c r="AJ241"/>
    </row>
    <row r="253" spans="36:36">
      <c r="AJ253"/>
    </row>
    <row r="255" spans="36:36">
      <c r="AJ255"/>
    </row>
  </sheetData>
  <phoneticPr fontId="0" type="noConversion"/>
  <pageMargins left="0.38" right="0.75" top="0.73" bottom="0.74" header="0.5" footer="0.5"/>
  <pageSetup orientation="landscape"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254"/>
  <sheetViews>
    <sheetView workbookViewId="0">
      <pane xSplit="1" ySplit="2" topLeftCell="G3" activePane="bottomRight" state="frozen"/>
      <selection pane="topRight" activeCell="B1" sqref="B1"/>
      <selection pane="bottomLeft" activeCell="A3" sqref="A3"/>
      <selection pane="bottomRight" activeCell="B114" sqref="B114"/>
    </sheetView>
  </sheetViews>
  <sheetFormatPr defaultRowHeight="12.5"/>
  <cols>
    <col min="1" max="1" width="15.81640625" bestFit="1" customWidth="1"/>
    <col min="2" max="2" width="18" style="28" customWidth="1"/>
    <col min="3" max="3" width="11.81640625" style="24" customWidth="1"/>
    <col min="4" max="4" width="13.453125" style="24" customWidth="1"/>
    <col min="5" max="5" width="12.453125" style="24" customWidth="1"/>
    <col min="6" max="6" width="10.1796875" style="24" customWidth="1"/>
    <col min="7" max="8" width="12.453125" style="24" customWidth="1"/>
    <col min="9" max="10" width="12.453125" style="24" hidden="1" customWidth="1"/>
    <col min="11" max="11" width="14.81640625" style="24" hidden="1" customWidth="1"/>
    <col min="12" max="12" width="12.453125" style="24" hidden="1" customWidth="1"/>
    <col min="13" max="13" width="15.453125" style="103" bestFit="1" customWidth="1"/>
    <col min="14" max="14" width="17" style="103" customWidth="1"/>
    <col min="15" max="15" width="31.54296875" style="103" bestFit="1" customWidth="1"/>
    <col min="16" max="16" width="25.81640625" bestFit="1" customWidth="1"/>
    <col min="17" max="19" width="18" customWidth="1"/>
    <col min="20" max="20" width="17.1796875" customWidth="1"/>
    <col min="21" max="22" width="15.81640625" customWidth="1"/>
    <col min="23" max="23" width="15" customWidth="1"/>
    <col min="24" max="25" width="14.1796875" bestFit="1" customWidth="1"/>
    <col min="26" max="27" width="11.81640625" bestFit="1" customWidth="1"/>
    <col min="28" max="28" width="12.54296875" customWidth="1"/>
    <col min="29" max="29" width="11.1796875" customWidth="1"/>
    <col min="30" max="30" width="11.54296875" customWidth="1"/>
    <col min="31" max="31" width="9.1796875" customWidth="1"/>
    <col min="33" max="33" width="11.81640625" bestFit="1" customWidth="1"/>
    <col min="34" max="34" width="10.81640625" bestFit="1" customWidth="1"/>
    <col min="36" max="36" width="9.1796875" style="6"/>
  </cols>
  <sheetData>
    <row r="1" spans="1:20">
      <c r="I1" s="108"/>
      <c r="J1" s="108" t="s">
        <v>91</v>
      </c>
      <c r="K1" s="108"/>
      <c r="L1" s="108"/>
    </row>
    <row r="2" spans="1:20" ht="37.5">
      <c r="B2" s="80" t="s">
        <v>68</v>
      </c>
      <c r="C2" s="81" t="s">
        <v>3</v>
      </c>
      <c r="D2" s="81" t="s">
        <v>4</v>
      </c>
      <c r="E2" s="81" t="str">
        <f>'Purchased Power Model '!I2</f>
        <v>Number of Days in Month</v>
      </c>
      <c r="F2" s="81" t="str">
        <f>'Purchased Power Model '!J2</f>
        <v>Spring Fall Flag</v>
      </c>
      <c r="G2" s="81" t="str">
        <f>'Purchased Power Model '!K2</f>
        <v>Trend</v>
      </c>
      <c r="H2" s="81" t="s">
        <v>60</v>
      </c>
      <c r="I2" s="81" t="str">
        <f>'Purchased Power Model '!M2</f>
        <v>Ontario Real GDP Monthly %</v>
      </c>
      <c r="J2" s="81" t="str">
        <f>'Purchased Power Model '!P2</f>
        <v>Population (x 1,000)</v>
      </c>
      <c r="K2" s="81" t="str">
        <f>'Purchased Power Model '!L2</f>
        <v>Unemployment (x 1,000)</v>
      </c>
      <c r="L2" s="81" t="str">
        <f>'Purchased Power Model '!O2</f>
        <v>Employment (x 1,000)</v>
      </c>
      <c r="M2" s="12" t="s">
        <v>111</v>
      </c>
      <c r="N2" s="12" t="s">
        <v>12</v>
      </c>
      <c r="O2" t="s">
        <v>120</v>
      </c>
    </row>
    <row r="3" spans="1:20" ht="13" thickBot="1">
      <c r="A3" s="3">
        <v>39448</v>
      </c>
      <c r="B3" s="28">
        <f>'[14]Data Input'!H77+'[16]PSP less Loss factor'!G86</f>
        <v>6256398.5958813522</v>
      </c>
      <c r="C3" s="24">
        <f>'Purchased Power Model '!G3</f>
        <v>753.1</v>
      </c>
      <c r="D3" s="24">
        <f>'Purchased Power Model '!H3</f>
        <v>0</v>
      </c>
      <c r="E3" s="18">
        <f>'Purchased Power Model '!I3</f>
        <v>31</v>
      </c>
      <c r="F3" s="18">
        <f>'Purchased Power Model '!J3</f>
        <v>0</v>
      </c>
      <c r="G3" s="82">
        <f>'Purchased Power Model '!K3</f>
        <v>1</v>
      </c>
      <c r="H3" s="82">
        <f>'[14]Data Input'!J77+'[16]PSP less Loss factor'!H86</f>
        <v>2036</v>
      </c>
      <c r="I3" s="36">
        <f>'Purchased Power Model '!M3</f>
        <v>139.96642175819056</v>
      </c>
      <c r="J3" s="36">
        <f>'Purchased Power Model '!P3</f>
        <v>311.2</v>
      </c>
      <c r="K3" s="107">
        <f>'Purchased Power Model '!L3</f>
        <v>14.1</v>
      </c>
      <c r="L3" s="36">
        <f>'Purchased Power Model '!O3</f>
        <v>172.6</v>
      </c>
      <c r="M3" s="10">
        <f t="shared" ref="M3:M55" si="0">$P$18+C3*$P$19+D3*$P$20+E3*$P$21+F3*$P$22+G3*$P$23+H3*$P$24</f>
        <v>5957763.2319308594</v>
      </c>
      <c r="N3" s="10"/>
      <c r="O3"/>
    </row>
    <row r="4" spans="1:20" ht="13">
      <c r="A4" s="3">
        <v>39479</v>
      </c>
      <c r="B4" s="28">
        <f>'[14]Data Input'!H78+'[16]PSP less Loss factor'!G87</f>
        <v>6063449.7706404664</v>
      </c>
      <c r="C4" s="24">
        <f>'Purchased Power Model '!G4</f>
        <v>815.6</v>
      </c>
      <c r="D4" s="24">
        <f>'Purchased Power Model '!H4</f>
        <v>0</v>
      </c>
      <c r="E4" s="18">
        <f>'Purchased Power Model '!I4</f>
        <v>29</v>
      </c>
      <c r="F4" s="18">
        <f>'Purchased Power Model '!J4</f>
        <v>0</v>
      </c>
      <c r="G4" s="82">
        <f>'Purchased Power Model '!K4</f>
        <v>2</v>
      </c>
      <c r="H4" s="82">
        <f>'[14]Data Input'!J78+'[16]PSP less Loss factor'!H87</f>
        <v>2030</v>
      </c>
      <c r="I4" s="36">
        <f>'Purchased Power Model '!M4</f>
        <v>139.86101141442734</v>
      </c>
      <c r="J4" s="36">
        <f>'Purchased Power Model '!P4</f>
        <v>311.3</v>
      </c>
      <c r="K4" s="107">
        <f>'Purchased Power Model '!L4</f>
        <v>15.2</v>
      </c>
      <c r="L4" s="36">
        <f>'Purchased Power Model '!O4</f>
        <v>171.6</v>
      </c>
      <c r="M4" s="10">
        <f t="shared" si="0"/>
        <v>5878767.6176682366</v>
      </c>
      <c r="N4" s="10"/>
      <c r="O4" s="112" t="s">
        <v>20</v>
      </c>
      <c r="P4" s="112"/>
      <c r="Q4" s="111"/>
      <c r="R4" s="111"/>
      <c r="S4" s="111"/>
      <c r="T4" s="111"/>
    </row>
    <row r="5" spans="1:20">
      <c r="A5" s="3">
        <v>39508</v>
      </c>
      <c r="B5" s="28">
        <f>'[14]Data Input'!H79+'[16]PSP less Loss factor'!G88</f>
        <v>5963557.916682411</v>
      </c>
      <c r="C5" s="24">
        <f>'Purchased Power Model '!G5</f>
        <v>760.5</v>
      </c>
      <c r="D5" s="24">
        <f>'Purchased Power Model '!H5</f>
        <v>0</v>
      </c>
      <c r="E5" s="18">
        <f>'Purchased Power Model '!I5</f>
        <v>31</v>
      </c>
      <c r="F5" s="18">
        <f>'Purchased Power Model '!J5</f>
        <v>1</v>
      </c>
      <c r="G5" s="82">
        <f>'Purchased Power Model '!K5</f>
        <v>3</v>
      </c>
      <c r="H5" s="82">
        <f>'[14]Data Input'!J79+'[16]PSP less Loss factor'!H88</f>
        <v>2030</v>
      </c>
      <c r="I5" s="36">
        <f>'Purchased Power Model '!M5</f>
        <v>139.75568045642274</v>
      </c>
      <c r="J5" s="36">
        <f>'Purchased Power Model '!P5</f>
        <v>311.39999999999998</v>
      </c>
      <c r="K5" s="107">
        <f>'Purchased Power Model '!L5</f>
        <v>17.3</v>
      </c>
      <c r="L5" s="36">
        <f>'Purchased Power Model '!O5</f>
        <v>170.6</v>
      </c>
      <c r="M5" s="10">
        <f t="shared" si="0"/>
        <v>5612459.2045246409</v>
      </c>
      <c r="N5" s="10"/>
      <c r="O5" s="113" t="s">
        <v>21</v>
      </c>
      <c r="P5" s="91">
        <v>0.94927361958707224</v>
      </c>
      <c r="Q5" s="111"/>
      <c r="R5" s="111"/>
      <c r="S5" s="111"/>
      <c r="T5" s="111"/>
    </row>
    <row r="6" spans="1:20">
      <c r="A6" s="3">
        <v>39539</v>
      </c>
      <c r="B6" s="28">
        <f>'[14]Data Input'!H80+'[16]PSP less Loss factor'!G89</f>
        <v>4758840.6142074428</v>
      </c>
      <c r="C6" s="24">
        <f>'Purchased Power Model '!G6</f>
        <v>348.6</v>
      </c>
      <c r="D6" s="24">
        <f>'Purchased Power Model '!H6</f>
        <v>0</v>
      </c>
      <c r="E6" s="18">
        <f>'Purchased Power Model '!I6</f>
        <v>30</v>
      </c>
      <c r="F6" s="18">
        <f>'Purchased Power Model '!J6</f>
        <v>1</v>
      </c>
      <c r="G6" s="82">
        <f>'Purchased Power Model '!K6</f>
        <v>4</v>
      </c>
      <c r="H6" s="82">
        <f>'[14]Data Input'!J80+'[16]PSP less Loss factor'!H89</f>
        <v>2033</v>
      </c>
      <c r="I6" s="36">
        <f>'Purchased Power Model '!M6</f>
        <v>139.65042882439042</v>
      </c>
      <c r="J6" s="36">
        <f>'Purchased Power Model '!P6</f>
        <v>311.5</v>
      </c>
      <c r="K6" s="107">
        <f>'Purchased Power Model '!L6</f>
        <v>17.100000000000001</v>
      </c>
      <c r="L6" s="36">
        <f>'Purchased Power Model '!O6</f>
        <v>170.4</v>
      </c>
      <c r="M6" s="10">
        <f t="shared" si="0"/>
        <v>4476401.2125080107</v>
      </c>
      <c r="N6" s="10"/>
      <c r="O6" s="113" t="s">
        <v>22</v>
      </c>
      <c r="P6" s="91">
        <v>0.90112040484394151</v>
      </c>
      <c r="Q6" s="111"/>
      <c r="R6" s="111"/>
      <c r="S6" s="111"/>
      <c r="T6" s="111"/>
    </row>
    <row r="7" spans="1:20">
      <c r="A7" s="3">
        <v>39569</v>
      </c>
      <c r="B7" s="28">
        <f>'[14]Data Input'!H81+'[16]PSP less Loss factor'!G90</f>
        <v>4470903.4112979406</v>
      </c>
      <c r="C7" s="24">
        <f>'Purchased Power Model '!G7</f>
        <v>277.3</v>
      </c>
      <c r="D7" s="24">
        <f>'Purchased Power Model '!H7</f>
        <v>0</v>
      </c>
      <c r="E7" s="18">
        <f>'Purchased Power Model '!I7</f>
        <v>31</v>
      </c>
      <c r="F7" s="18">
        <f>'Purchased Power Model '!J7</f>
        <v>1</v>
      </c>
      <c r="G7" s="82">
        <f>'Purchased Power Model '!K7</f>
        <v>5</v>
      </c>
      <c r="H7" s="82">
        <f>'[14]Data Input'!J81+'[16]PSP less Loss factor'!H90</f>
        <v>2045</v>
      </c>
      <c r="I7" s="36">
        <f>'Purchased Power Model '!M7</f>
        <v>139.54525645858905</v>
      </c>
      <c r="J7" s="36">
        <f>'Purchased Power Model '!P7</f>
        <v>311.60000000000002</v>
      </c>
      <c r="K7" s="107">
        <f>'Purchased Power Model '!L7</f>
        <v>15.9</v>
      </c>
      <c r="L7" s="36">
        <f>'Purchased Power Model '!O7</f>
        <v>175.5</v>
      </c>
      <c r="M7" s="10">
        <f t="shared" si="0"/>
        <v>4416796.6041938579</v>
      </c>
      <c r="N7" s="10"/>
      <c r="O7" s="113" t="s">
        <v>23</v>
      </c>
      <c r="P7" s="91">
        <v>0.89768111457764388</v>
      </c>
      <c r="Q7" s="111"/>
      <c r="R7" s="111"/>
      <c r="S7" s="111"/>
      <c r="T7" s="111"/>
    </row>
    <row r="8" spans="1:20">
      <c r="A8" s="3">
        <v>39600</v>
      </c>
      <c r="B8" s="28">
        <f>'[14]Data Input'!H82+'[16]PSP less Loss factor'!G91</f>
        <v>4547310.5029283948</v>
      </c>
      <c r="C8" s="24">
        <f>'Purchased Power Model '!G8</f>
        <v>48.4</v>
      </c>
      <c r="D8" s="24">
        <f>'Purchased Power Model '!H8</f>
        <v>36.4</v>
      </c>
      <c r="E8" s="18">
        <f>'Purchased Power Model '!I8</f>
        <v>30</v>
      </c>
      <c r="F8" s="18">
        <f>'Purchased Power Model '!J8</f>
        <v>0</v>
      </c>
      <c r="G8" s="82">
        <f>'Purchased Power Model '!K8</f>
        <v>6</v>
      </c>
      <c r="H8" s="82">
        <f>'[14]Data Input'!J82+'[16]PSP less Loss factor'!H91</f>
        <v>2039</v>
      </c>
      <c r="I8" s="36">
        <f>'Purchased Power Model '!M8</f>
        <v>139.44016329932234</v>
      </c>
      <c r="J8" s="36">
        <f>'Purchased Power Model '!P8</f>
        <v>311.8</v>
      </c>
      <c r="K8" s="107">
        <f>'Purchased Power Model '!L8</f>
        <v>13.4</v>
      </c>
      <c r="L8" s="36">
        <f>'Purchased Power Model '!O8</f>
        <v>184.4</v>
      </c>
      <c r="M8" s="10">
        <f t="shared" si="0"/>
        <v>4516766.3398699583</v>
      </c>
      <c r="N8" s="10"/>
      <c r="O8" s="113" t="s">
        <v>24</v>
      </c>
      <c r="P8" s="118">
        <v>219653.15096208869</v>
      </c>
      <c r="Q8" s="111"/>
      <c r="R8" s="111"/>
      <c r="S8" s="111"/>
      <c r="T8" s="111"/>
    </row>
    <row r="9" spans="1:20" ht="13" thickBot="1">
      <c r="A9" s="3">
        <v>39630</v>
      </c>
      <c r="B9" s="28">
        <f>'[14]Data Input'!H83+'[16]PSP less Loss factor'!G92</f>
        <v>4995384.0092575103</v>
      </c>
      <c r="C9" s="24">
        <f>'Purchased Power Model '!G9</f>
        <v>13.9</v>
      </c>
      <c r="D9" s="24">
        <f>'Purchased Power Model '!H9</f>
        <v>54.1</v>
      </c>
      <c r="E9" s="18">
        <f>'Purchased Power Model '!I9</f>
        <v>31</v>
      </c>
      <c r="F9" s="18">
        <f>'Purchased Power Model '!J9</f>
        <v>0</v>
      </c>
      <c r="G9" s="82">
        <f>'Purchased Power Model '!K9</f>
        <v>7</v>
      </c>
      <c r="H9" s="82">
        <f>'[14]Data Input'!J83+'[16]PSP less Loss factor'!H92</f>
        <v>2051</v>
      </c>
      <c r="I9" s="36">
        <f>'Purchased Power Model '!M9</f>
        <v>139.3351492869389</v>
      </c>
      <c r="J9" s="36">
        <f>'Purchased Power Model '!P9</f>
        <v>312</v>
      </c>
      <c r="K9" s="107">
        <f>'Purchased Power Model '!L9</f>
        <v>11.1</v>
      </c>
      <c r="L9" s="36">
        <f>'Purchased Power Model '!O9</f>
        <v>190.4</v>
      </c>
      <c r="M9" s="10">
        <f t="shared" si="0"/>
        <v>4752251.1593114026</v>
      </c>
      <c r="N9" s="10"/>
      <c r="O9" s="114" t="s">
        <v>25</v>
      </c>
      <c r="P9" s="114">
        <v>120</v>
      </c>
      <c r="Q9" s="111"/>
      <c r="R9" s="111"/>
      <c r="S9" s="111"/>
      <c r="T9" s="111"/>
    </row>
    <row r="10" spans="1:20">
      <c r="A10" s="3">
        <v>39661</v>
      </c>
      <c r="B10" s="28">
        <f>'[14]Data Input'!H84+'[16]PSP less Loss factor'!G93</f>
        <v>4894993.4128093701</v>
      </c>
      <c r="C10" s="24">
        <f>'Purchased Power Model '!G10</f>
        <v>39.4</v>
      </c>
      <c r="D10" s="24">
        <f>'Purchased Power Model '!H10</f>
        <v>26</v>
      </c>
      <c r="E10" s="18">
        <f>'Purchased Power Model '!I10</f>
        <v>31</v>
      </c>
      <c r="F10" s="18">
        <f>'Purchased Power Model '!J10</f>
        <v>0</v>
      </c>
      <c r="G10" s="82">
        <f>'Purchased Power Model '!K10</f>
        <v>8</v>
      </c>
      <c r="H10" s="82">
        <f>'[14]Data Input'!J84+'[16]PSP less Loss factor'!H93</f>
        <v>2063</v>
      </c>
      <c r="I10" s="36">
        <f>'Purchased Power Model '!M10</f>
        <v>139.23021436183228</v>
      </c>
      <c r="J10" s="36">
        <f>'Purchased Power Model '!P10</f>
        <v>312.2</v>
      </c>
      <c r="K10" s="107">
        <f>'Purchased Power Model '!L10</f>
        <v>11.2</v>
      </c>
      <c r="L10" s="36">
        <f>'Purchased Power Model '!O10</f>
        <v>190.6</v>
      </c>
      <c r="M10" s="10">
        <f t="shared" si="0"/>
        <v>4491439.5799041186</v>
      </c>
      <c r="N10" s="10"/>
      <c r="O10" s="111"/>
      <c r="P10" s="111"/>
      <c r="Q10" s="111"/>
      <c r="R10" s="111"/>
      <c r="S10" s="111"/>
      <c r="T10" s="111"/>
    </row>
    <row r="11" spans="1:20" ht="13" thickBot="1">
      <c r="A11" s="3">
        <v>39692</v>
      </c>
      <c r="B11" s="28">
        <f>'[14]Data Input'!H85+'[16]PSP less Loss factor'!G94</f>
        <v>4358590.8564141318</v>
      </c>
      <c r="C11" s="24">
        <f>'Purchased Power Model '!G11</f>
        <v>132.69999999999999</v>
      </c>
      <c r="D11" s="24">
        <f>'Purchased Power Model '!H11</f>
        <v>5.0999999999999996</v>
      </c>
      <c r="E11" s="18">
        <f>'Purchased Power Model '!I11</f>
        <v>30</v>
      </c>
      <c r="F11" s="18">
        <f>'Purchased Power Model '!J11</f>
        <v>1</v>
      </c>
      <c r="G11" s="82">
        <f>'Purchased Power Model '!K11</f>
        <v>9</v>
      </c>
      <c r="H11" s="82">
        <f>'[14]Data Input'!J85+'[16]PSP less Loss factor'!H94</f>
        <v>2058</v>
      </c>
      <c r="I11" s="36">
        <f>'Purchased Power Model '!M11</f>
        <v>139.12535846444095</v>
      </c>
      <c r="J11" s="36">
        <f>'Purchased Power Model '!P11</f>
        <v>312.3</v>
      </c>
      <c r="K11" s="107">
        <f>'Purchased Power Model '!L11</f>
        <v>9.6999999999999993</v>
      </c>
      <c r="L11" s="36">
        <f>'Purchased Power Model '!O11</f>
        <v>188.3</v>
      </c>
      <c r="M11" s="10">
        <f t="shared" si="0"/>
        <v>4000951.7478976129</v>
      </c>
      <c r="N11" s="10"/>
      <c r="O11" s="111" t="s">
        <v>26</v>
      </c>
      <c r="P11" s="111"/>
      <c r="Q11" s="111"/>
      <c r="R11" s="111"/>
      <c r="S11" s="111"/>
      <c r="T11" s="111"/>
    </row>
    <row r="12" spans="1:20" ht="13">
      <c r="A12" s="3">
        <v>39722</v>
      </c>
      <c r="B12" s="28">
        <f>'[14]Data Input'!H86+'[16]PSP less Loss factor'!G95</f>
        <v>4637548.3733232561</v>
      </c>
      <c r="C12" s="24">
        <f>'Purchased Power Model '!G12</f>
        <v>372.5</v>
      </c>
      <c r="D12" s="24">
        <f>'Purchased Power Model '!H12</f>
        <v>0</v>
      </c>
      <c r="E12" s="18">
        <f>'Purchased Power Model '!I12</f>
        <v>31</v>
      </c>
      <c r="F12" s="18">
        <f>'Purchased Power Model '!J12</f>
        <v>1</v>
      </c>
      <c r="G12" s="82">
        <f>'Purchased Power Model '!K12</f>
        <v>10</v>
      </c>
      <c r="H12" s="82">
        <f>'[14]Data Input'!J86+'[16]PSP less Loss factor'!H95</f>
        <v>2060</v>
      </c>
      <c r="I12" s="36">
        <f>'Purchased Power Model '!M12</f>
        <v>139.02058153524823</v>
      </c>
      <c r="J12" s="36">
        <f>'Purchased Power Model '!P12</f>
        <v>312.39999999999998</v>
      </c>
      <c r="K12" s="107">
        <f>'Purchased Power Model '!L12</f>
        <v>10.199999999999999</v>
      </c>
      <c r="L12" s="36">
        <f>'Purchased Power Model '!O12</f>
        <v>187.3</v>
      </c>
      <c r="M12" s="10">
        <f t="shared" si="0"/>
        <v>4652365.8913451219</v>
      </c>
      <c r="N12" s="10"/>
      <c r="O12" s="115"/>
      <c r="P12" s="115" t="s">
        <v>30</v>
      </c>
      <c r="Q12" s="115" t="s">
        <v>31</v>
      </c>
      <c r="R12" s="115" t="s">
        <v>32</v>
      </c>
      <c r="S12" s="115" t="s">
        <v>33</v>
      </c>
      <c r="T12" s="115" t="s">
        <v>34</v>
      </c>
    </row>
    <row r="13" spans="1:20">
      <c r="A13" s="3">
        <v>39753</v>
      </c>
      <c r="B13" s="28">
        <f>'[14]Data Input'!H87+'[16]PSP less Loss factor'!G96</f>
        <v>5264853.1335726418</v>
      </c>
      <c r="C13" s="24">
        <f>'Purchased Power Model '!G13</f>
        <v>555.9</v>
      </c>
      <c r="D13" s="24">
        <f>'Purchased Power Model '!H13</f>
        <v>0</v>
      </c>
      <c r="E13" s="18">
        <f>'Purchased Power Model '!I13</f>
        <v>30</v>
      </c>
      <c r="F13" s="18">
        <f>'Purchased Power Model '!J13</f>
        <v>1</v>
      </c>
      <c r="G13" s="82">
        <f>'Purchased Power Model '!K13</f>
        <v>11</v>
      </c>
      <c r="H13" s="82">
        <f>'[14]Data Input'!J87+'[16]PSP less Loss factor'!H96</f>
        <v>2057</v>
      </c>
      <c r="I13" s="36">
        <f>'Purchased Power Model '!M13</f>
        <v>138.91588351478222</v>
      </c>
      <c r="J13" s="36">
        <f>'Purchased Power Model '!P13</f>
        <v>312.5</v>
      </c>
      <c r="K13" s="107">
        <f>'Purchased Power Model '!L13</f>
        <v>9.4</v>
      </c>
      <c r="L13" s="36">
        <f>'Purchased Power Model '!O13</f>
        <v>183.5</v>
      </c>
      <c r="M13" s="10">
        <f t="shared" si="0"/>
        <v>4989358.2842144901</v>
      </c>
      <c r="N13" s="10"/>
      <c r="O13" s="113" t="s">
        <v>27</v>
      </c>
      <c r="P13" s="113">
        <v>4</v>
      </c>
      <c r="Q13" s="113">
        <v>50564865921438.07</v>
      </c>
      <c r="R13" s="113">
        <v>12641216480359.518</v>
      </c>
      <c r="S13" s="113">
        <v>262.00766293970764</v>
      </c>
      <c r="T13" s="113">
        <v>8.7374885451890056E-57</v>
      </c>
    </row>
    <row r="14" spans="1:20">
      <c r="A14" s="3">
        <v>39783</v>
      </c>
      <c r="B14" s="28">
        <f>'[14]Data Input'!H88+'[16]PSP less Loss factor'!G97</f>
        <v>6304789.2522199117</v>
      </c>
      <c r="C14" s="24">
        <f>'Purchased Power Model '!G14</f>
        <v>782.6</v>
      </c>
      <c r="D14" s="24">
        <f>'Purchased Power Model '!H14</f>
        <v>0</v>
      </c>
      <c r="E14" s="18">
        <f>'Purchased Power Model '!I14</f>
        <v>31</v>
      </c>
      <c r="F14" s="18">
        <f>'Purchased Power Model '!J14</f>
        <v>0</v>
      </c>
      <c r="G14" s="82">
        <f>'Purchased Power Model '!K14</f>
        <v>12</v>
      </c>
      <c r="H14" s="82">
        <f>'[14]Data Input'!J88+'[16]PSP less Loss factor'!H97</f>
        <v>2043</v>
      </c>
      <c r="I14" s="36">
        <f>'Purchased Power Model '!M14</f>
        <v>138.8112643436159</v>
      </c>
      <c r="J14" s="36">
        <f>'Purchased Power Model '!P14</f>
        <v>312.60000000000002</v>
      </c>
      <c r="K14" s="107">
        <f>'Purchased Power Model '!L14</f>
        <v>10.1</v>
      </c>
      <c r="L14" s="36">
        <f>'Purchased Power Model '!O14</f>
        <v>177.7</v>
      </c>
      <c r="M14" s="10">
        <f t="shared" si="0"/>
        <v>6030760.0173401274</v>
      </c>
      <c r="N14" s="10"/>
      <c r="O14" s="113" t="s">
        <v>28</v>
      </c>
      <c r="P14" s="113">
        <v>115</v>
      </c>
      <c r="Q14" s="113">
        <v>5548463273671.0244</v>
      </c>
      <c r="R14" s="113">
        <v>48247506727.574127</v>
      </c>
      <c r="S14" s="113"/>
      <c r="T14" s="113"/>
    </row>
    <row r="15" spans="1:20" ht="13" thickBot="1">
      <c r="A15" s="3">
        <v>39814</v>
      </c>
      <c r="B15" s="28">
        <f>'[14]Data Input'!H89+'[16]PSP less Loss factor'!G98</f>
        <v>6663873.7477800883</v>
      </c>
      <c r="C15" s="24">
        <f>'Purchased Power Model '!G15</f>
        <v>995.4</v>
      </c>
      <c r="D15" s="24">
        <f>'Purchased Power Model '!H15</f>
        <v>0</v>
      </c>
      <c r="E15" s="18">
        <f>'Purchased Power Model '!I15</f>
        <v>31</v>
      </c>
      <c r="F15" s="18">
        <f>'Purchased Power Model '!J15</f>
        <v>0</v>
      </c>
      <c r="G15" s="82">
        <f>'Purchased Power Model '!K15</f>
        <v>13</v>
      </c>
      <c r="H15" s="82">
        <f>'[14]Data Input'!J89+'[16]PSP less Loss factor'!H98</f>
        <v>2039</v>
      </c>
      <c r="I15" s="36">
        <f>'Purchased Power Model '!M15</f>
        <v>138.43555825854429</v>
      </c>
      <c r="J15" s="36">
        <f>'Purchased Power Model '!P15</f>
        <v>312.60000000000002</v>
      </c>
      <c r="K15" s="107">
        <f>'Purchased Power Model '!L15</f>
        <v>10.9</v>
      </c>
      <c r="L15" s="36">
        <f>'Purchased Power Model '!O15</f>
        <v>169.7</v>
      </c>
      <c r="M15" s="10">
        <f t="shared" si="0"/>
        <v>6557326.659207657</v>
      </c>
      <c r="N15" s="10"/>
      <c r="O15" s="114" t="s">
        <v>10</v>
      </c>
      <c r="P15" s="114">
        <v>119</v>
      </c>
      <c r="Q15" s="114">
        <v>56113329195109.094</v>
      </c>
      <c r="R15" s="114"/>
      <c r="S15" s="114"/>
      <c r="T15" s="114"/>
    </row>
    <row r="16" spans="1:20" ht="13" thickBot="1">
      <c r="A16" s="3">
        <v>39845</v>
      </c>
      <c r="B16" s="28">
        <f>'[14]Data Input'!H90+'[16]PSP less Loss factor'!G99</f>
        <v>5678640.6771207266</v>
      </c>
      <c r="C16" s="24">
        <f>'Purchased Power Model '!G16</f>
        <v>723.7</v>
      </c>
      <c r="D16" s="24">
        <f>'Purchased Power Model '!H16</f>
        <v>0</v>
      </c>
      <c r="E16" s="18">
        <f>'Purchased Power Model '!I16</f>
        <v>28</v>
      </c>
      <c r="F16" s="18">
        <f>'Purchased Power Model '!J16</f>
        <v>0</v>
      </c>
      <c r="G16" s="82">
        <f>'Purchased Power Model '!K16</f>
        <v>14</v>
      </c>
      <c r="H16" s="82">
        <f>'[14]Data Input'!J90+'[16]PSP less Loss factor'!H99</f>
        <v>2042</v>
      </c>
      <c r="I16" s="36">
        <f>'Purchased Power Model '!M16</f>
        <v>138.06086905825526</v>
      </c>
      <c r="J16" s="36">
        <f>'Purchased Power Model '!P16</f>
        <v>312.60000000000002</v>
      </c>
      <c r="K16" s="107">
        <f>'Purchased Power Model '!L16</f>
        <v>12.4</v>
      </c>
      <c r="L16" s="36">
        <f>'Purchased Power Model '!O16</f>
        <v>167.8</v>
      </c>
      <c r="M16" s="10">
        <f t="shared" si="0"/>
        <v>5534539.1622945089</v>
      </c>
      <c r="N16" s="10"/>
      <c r="O16" s="111"/>
      <c r="P16" s="111"/>
      <c r="Q16" s="111"/>
      <c r="R16" s="111"/>
      <c r="S16" s="111"/>
      <c r="T16" s="111"/>
    </row>
    <row r="17" spans="1:21" ht="13">
      <c r="A17" s="3">
        <v>39873</v>
      </c>
      <c r="B17" s="28">
        <f>'[14]Data Input'!H91+'[16]PSP less Loss factor'!G100</f>
        <v>5619774.7194407694</v>
      </c>
      <c r="C17" s="24">
        <f>'Purchased Power Model '!G17</f>
        <v>652.29999999999995</v>
      </c>
      <c r="D17" s="24">
        <f>'Purchased Power Model '!H17</f>
        <v>0</v>
      </c>
      <c r="E17" s="18">
        <f>'Purchased Power Model '!I17</f>
        <v>31</v>
      </c>
      <c r="F17" s="18">
        <f>'Purchased Power Model '!J17</f>
        <v>1</v>
      </c>
      <c r="G17" s="82">
        <f>'Purchased Power Model '!K17</f>
        <v>15</v>
      </c>
      <c r="H17" s="82">
        <f>'[14]Data Input'!J91+'[16]PSP less Loss factor'!H100</f>
        <v>2036</v>
      </c>
      <c r="I17" s="36">
        <f>'Purchased Power Model '!M17</f>
        <v>137.68719399045199</v>
      </c>
      <c r="J17" s="36">
        <f>'Purchased Power Model '!P17</f>
        <v>312.7</v>
      </c>
      <c r="K17" s="107">
        <f>'Purchased Power Model '!L17</f>
        <v>15.6</v>
      </c>
      <c r="L17" s="36">
        <f>'Purchased Power Model '!O17</f>
        <v>165.6</v>
      </c>
      <c r="M17" s="10">
        <f t="shared" si="0"/>
        <v>5344721.8424472595</v>
      </c>
      <c r="N17" s="10"/>
      <c r="O17" s="115"/>
      <c r="P17" s="115" t="s">
        <v>35</v>
      </c>
      <c r="Q17" s="115" t="s">
        <v>24</v>
      </c>
      <c r="R17" s="115" t="s">
        <v>36</v>
      </c>
      <c r="S17" s="115" t="s">
        <v>37</v>
      </c>
      <c r="T17" s="115" t="s">
        <v>38</v>
      </c>
      <c r="U17" s="115" t="s">
        <v>39</v>
      </c>
    </row>
    <row r="18" spans="1:21">
      <c r="A18" s="3">
        <v>39904</v>
      </c>
      <c r="B18" s="28">
        <f>'[14]Data Input'!H92+'[16]PSP less Loss factor'!G101</f>
        <v>4558835.2707349332</v>
      </c>
      <c r="C18" s="24">
        <f>'Purchased Power Model '!G18</f>
        <v>379.9</v>
      </c>
      <c r="D18" s="24">
        <f>'Purchased Power Model '!H18</f>
        <v>0</v>
      </c>
      <c r="E18" s="18">
        <f>'Purchased Power Model '!I18</f>
        <v>30</v>
      </c>
      <c r="F18" s="18">
        <f>'Purchased Power Model '!J18</f>
        <v>1</v>
      </c>
      <c r="G18" s="82">
        <f>'Purchased Power Model '!K18</f>
        <v>16</v>
      </c>
      <c r="H18" s="82">
        <f>'[14]Data Input'!J92+'[16]PSP less Loss factor'!H101</f>
        <v>2041</v>
      </c>
      <c r="I18" s="36">
        <f>'Purchased Power Model '!M18</f>
        <v>137.31453031028698</v>
      </c>
      <c r="J18" s="36">
        <f>'Purchased Power Model '!P18</f>
        <v>312.7</v>
      </c>
      <c r="K18" s="107">
        <f>'Purchased Power Model '!L18</f>
        <v>17.899999999999999</v>
      </c>
      <c r="L18" s="36">
        <f>'Purchased Power Model '!O18</f>
        <v>165.9</v>
      </c>
      <c r="M18" s="10">
        <f t="shared" si="0"/>
        <v>4553852.0390608944</v>
      </c>
      <c r="N18" s="10"/>
      <c r="O18" s="113" t="s">
        <v>29</v>
      </c>
      <c r="P18" s="63">
        <v>472669.68689589394</v>
      </c>
      <c r="Q18" s="63">
        <v>783825.17420115299</v>
      </c>
      <c r="R18" s="61">
        <v>0.60302947959999142</v>
      </c>
      <c r="S18" s="113">
        <v>0.54767650592766626</v>
      </c>
      <c r="T18" s="63">
        <v>-1079937.1290688359</v>
      </c>
      <c r="U18" s="63">
        <v>2025276.5028606236</v>
      </c>
    </row>
    <row r="19" spans="1:21">
      <c r="A19" s="3">
        <v>39934</v>
      </c>
      <c r="B19" s="28">
        <f>'[14]Data Input'!H93+'[16]PSP less Loss factor'!G102</f>
        <v>4288885.9841299821</v>
      </c>
      <c r="C19" s="24">
        <f>'Purchased Power Model '!G19</f>
        <v>231</v>
      </c>
      <c r="D19" s="24">
        <f>'Purchased Power Model '!H19</f>
        <v>0</v>
      </c>
      <c r="E19" s="18">
        <f>'Purchased Power Model '!I19</f>
        <v>31</v>
      </c>
      <c r="F19" s="18">
        <f>'Purchased Power Model '!J19</f>
        <v>1</v>
      </c>
      <c r="G19" s="82">
        <f>'Purchased Power Model '!K19</f>
        <v>17</v>
      </c>
      <c r="H19" s="82">
        <f>'[14]Data Input'!J93+'[16]PSP less Loss factor'!H102</f>
        <v>2067</v>
      </c>
      <c r="I19" s="36">
        <f>'Purchased Power Model '!M19</f>
        <v>136.94287528034204</v>
      </c>
      <c r="J19" s="36">
        <f>'Purchased Power Model '!P19</f>
        <v>312.8</v>
      </c>
      <c r="K19" s="107">
        <f>'Purchased Power Model '!L19</f>
        <v>18.100000000000001</v>
      </c>
      <c r="L19" s="36">
        <f>'Purchased Power Model '!O19</f>
        <v>168.3</v>
      </c>
      <c r="M19" s="10">
        <f t="shared" si="0"/>
        <v>4302228.7681108387</v>
      </c>
      <c r="N19" s="10"/>
      <c r="O19" s="113" t="s">
        <v>3</v>
      </c>
      <c r="P19" s="63">
        <v>2474.46730200907</v>
      </c>
      <c r="Q19" s="63">
        <v>100.97082281565541</v>
      </c>
      <c r="R19" s="61">
        <v>24.506755842989989</v>
      </c>
      <c r="S19" s="113">
        <v>1.7998015420945704E-47</v>
      </c>
      <c r="T19" s="63">
        <v>2274.4635347443532</v>
      </c>
      <c r="U19" s="63">
        <v>2674.4710692737867</v>
      </c>
    </row>
    <row r="20" spans="1:21">
      <c r="A20" s="3">
        <v>39965</v>
      </c>
      <c r="B20" s="28">
        <f>'[14]Data Input'!H94+'[16]PSP less Loss factor'!G103</f>
        <v>4327958.174759116</v>
      </c>
      <c r="C20" s="24">
        <f>'Purchased Power Model '!G20</f>
        <v>105.4</v>
      </c>
      <c r="D20" s="24">
        <f>'Purchased Power Model '!H20</f>
        <v>19.100000000000001</v>
      </c>
      <c r="E20" s="18">
        <f>'Purchased Power Model '!I20</f>
        <v>30</v>
      </c>
      <c r="F20" s="18">
        <f>'Purchased Power Model '!J20</f>
        <v>0</v>
      </c>
      <c r="G20" s="82">
        <f>'Purchased Power Model '!K20</f>
        <v>18</v>
      </c>
      <c r="H20" s="82">
        <f>'[14]Data Input'!J94+'[16]PSP less Loss factor'!H103</f>
        <v>2045</v>
      </c>
      <c r="I20" s="36">
        <f>'Purchased Power Model '!M20</f>
        <v>136.57222617060793</v>
      </c>
      <c r="J20" s="36">
        <f>'Purchased Power Model '!P20</f>
        <v>312.89999999999998</v>
      </c>
      <c r="K20" s="107">
        <f>'Purchased Power Model '!L20</f>
        <v>15.8</v>
      </c>
      <c r="L20" s="36">
        <f>'Purchased Power Model '!O20</f>
        <v>173.4</v>
      </c>
      <c r="M20" s="10">
        <f t="shared" si="0"/>
        <v>4458392.7706030756</v>
      </c>
      <c r="N20" s="10"/>
      <c r="O20" s="113" t="s">
        <v>4</v>
      </c>
      <c r="P20" s="63">
        <v>11527.06390065893</v>
      </c>
      <c r="Q20" s="63">
        <v>1543.4751964804132</v>
      </c>
      <c r="R20" s="61">
        <v>7.46825341083815</v>
      </c>
      <c r="S20" s="113">
        <v>1.706274354595138E-11</v>
      </c>
      <c r="T20" s="63">
        <v>8469.7365919636886</v>
      </c>
      <c r="U20" s="63">
        <v>14584.391209354171</v>
      </c>
    </row>
    <row r="21" spans="1:21">
      <c r="A21" s="3">
        <v>39995</v>
      </c>
      <c r="B21" s="28">
        <f>'[14]Data Input'!H95+'[16]PSP less Loss factor'!G104</f>
        <v>4666001.7691290379</v>
      </c>
      <c r="C21" s="24">
        <f>'Purchased Power Model '!G21</f>
        <v>38.6</v>
      </c>
      <c r="D21" s="24">
        <f>'Purchased Power Model '!H21</f>
        <v>10.3</v>
      </c>
      <c r="E21" s="18">
        <f>'Purchased Power Model '!I21</f>
        <v>31</v>
      </c>
      <c r="F21" s="18">
        <f>'Purchased Power Model '!J21</f>
        <v>0</v>
      </c>
      <c r="G21" s="82">
        <f>'Purchased Power Model '!K21</f>
        <v>19</v>
      </c>
      <c r="H21" s="82">
        <f>'[14]Data Input'!J95+'[16]PSP less Loss factor'!H104</f>
        <v>2055</v>
      </c>
      <c r="I21" s="36">
        <f>'Purchased Power Model '!M21</f>
        <v>136.20258025846454</v>
      </c>
      <c r="J21" s="36">
        <f>'Purchased Power Model '!P21</f>
        <v>313.10000000000002</v>
      </c>
      <c r="K21" s="107">
        <f>'Purchased Power Model '!L21</f>
        <v>13.2</v>
      </c>
      <c r="L21" s="36">
        <f>'Purchased Power Model '!O21</f>
        <v>176.8</v>
      </c>
      <c r="M21" s="10">
        <f t="shared" si="0"/>
        <v>4308485.1028221659</v>
      </c>
      <c r="N21" s="10"/>
      <c r="O21" s="113" t="s">
        <v>5</v>
      </c>
      <c r="P21" s="63">
        <v>116824.91031909466</v>
      </c>
      <c r="Q21" s="63">
        <v>25826.103103158894</v>
      </c>
      <c r="R21" s="61">
        <v>4.523520635399513</v>
      </c>
      <c r="S21" s="113">
        <v>1.4887443692170849E-5</v>
      </c>
      <c r="T21" s="63">
        <v>65668.370535030437</v>
      </c>
      <c r="U21" s="63">
        <v>167981.45010315889</v>
      </c>
    </row>
    <row r="22" spans="1:21" ht="13" thickBot="1">
      <c r="A22" s="3">
        <v>40026</v>
      </c>
      <c r="B22" s="28">
        <f>'[14]Data Input'!H96+'[16]PSP less Loss factor'!G105</f>
        <v>4763835.6606839225</v>
      </c>
      <c r="C22" s="24">
        <f>'Purchased Power Model '!G22</f>
        <v>56.9</v>
      </c>
      <c r="D22" s="24">
        <f>'Purchased Power Model '!H22</f>
        <v>39.799999999999997</v>
      </c>
      <c r="E22" s="18">
        <f>'Purchased Power Model '!I22</f>
        <v>31</v>
      </c>
      <c r="F22" s="18">
        <f>'Purchased Power Model '!J22</f>
        <v>0</v>
      </c>
      <c r="G22" s="82">
        <f>'Purchased Power Model '!K22</f>
        <v>20</v>
      </c>
      <c r="H22" s="82">
        <f>'[14]Data Input'!J96+'[16]PSP less Loss factor'!H105</f>
        <v>2055</v>
      </c>
      <c r="I22" s="36">
        <f>'Purchased Power Model '!M22</f>
        <v>135.83393482866074</v>
      </c>
      <c r="J22" s="36">
        <f>'Purchased Power Model '!P22</f>
        <v>313.3</v>
      </c>
      <c r="K22" s="107">
        <f>'Purchased Power Model '!L22</f>
        <v>12.9</v>
      </c>
      <c r="L22" s="36">
        <f>'Purchased Power Model '!O22</f>
        <v>175.1</v>
      </c>
      <c r="M22" s="10">
        <f t="shared" si="0"/>
        <v>4693816.2395183705</v>
      </c>
      <c r="N22" s="10"/>
      <c r="O22" s="114" t="s">
        <v>19</v>
      </c>
      <c r="P22" s="64">
        <v>-363615.08544108563</v>
      </c>
      <c r="Q22" s="64">
        <v>48620.741494285474</v>
      </c>
      <c r="R22" s="62">
        <v>-7.4786001666351032</v>
      </c>
      <c r="S22" s="114">
        <v>1.6183023458189251E-11</v>
      </c>
      <c r="T22" s="64">
        <v>-459923.41684703011</v>
      </c>
      <c r="U22" s="64">
        <v>-267306.75403514114</v>
      </c>
    </row>
    <row r="23" spans="1:21">
      <c r="A23" s="3">
        <v>40057</v>
      </c>
      <c r="B23" s="28">
        <f>'[14]Data Input'!H97+'[16]PSP less Loss factor'!G106</f>
        <v>4282380.674664651</v>
      </c>
      <c r="C23" s="24">
        <f>'Purchased Power Model '!G23</f>
        <v>115.6</v>
      </c>
      <c r="D23" s="24">
        <f>'Purchased Power Model '!H23</f>
        <v>2.7</v>
      </c>
      <c r="E23" s="18">
        <f>'Purchased Power Model '!I23</f>
        <v>30</v>
      </c>
      <c r="F23" s="18">
        <f>'Purchased Power Model '!J23</f>
        <v>1</v>
      </c>
      <c r="G23" s="82">
        <f>'Purchased Power Model '!K23</f>
        <v>21</v>
      </c>
      <c r="H23" s="82">
        <f>'[14]Data Input'!J97+'[16]PSP less Loss factor'!H106</f>
        <v>2057</v>
      </c>
      <c r="I23" s="36">
        <f>'Purchased Power Model '!M23</f>
        <v>135.46628717329455</v>
      </c>
      <c r="J23" s="36">
        <f>'Purchased Power Model '!P23</f>
        <v>313.5</v>
      </c>
      <c r="K23" s="107">
        <f>'Purchased Power Model '!L23</f>
        <v>12.9</v>
      </c>
      <c r="L23" s="36">
        <f>'Purchased Power Model '!O23</f>
        <v>172.6</v>
      </c>
      <c r="M23" s="10">
        <f t="shared" si="0"/>
        <v>3930973.4036716763</v>
      </c>
      <c r="N23" s="10"/>
      <c r="O23"/>
    </row>
    <row r="24" spans="1:21">
      <c r="A24" s="3">
        <v>40087</v>
      </c>
      <c r="B24" s="28">
        <f>'[14]Data Input'!H98+'[16]PSP less Loss factor'!G107</f>
        <v>4505079.4598526359</v>
      </c>
      <c r="C24" s="24">
        <f>'Purchased Power Model '!G24</f>
        <v>341.6</v>
      </c>
      <c r="D24" s="24">
        <f>'Purchased Power Model '!H24</f>
        <v>0</v>
      </c>
      <c r="E24" s="18">
        <f>'Purchased Power Model '!I24</f>
        <v>31</v>
      </c>
      <c r="F24" s="18">
        <f>'Purchased Power Model '!J24</f>
        <v>1</v>
      </c>
      <c r="G24" s="82">
        <f>'Purchased Power Model '!K24</f>
        <v>22</v>
      </c>
      <c r="H24" s="82">
        <f>'[14]Data Input'!J98+'[16]PSP less Loss factor'!H107</f>
        <v>2047</v>
      </c>
      <c r="I24" s="36">
        <f>'Purchased Power Model '!M24</f>
        <v>135.09963459179312</v>
      </c>
      <c r="J24" s="36">
        <f>'Purchased Power Model '!P24</f>
        <v>313.7</v>
      </c>
      <c r="K24" s="107">
        <f>'Purchased Power Model '!L24</f>
        <v>14.2</v>
      </c>
      <c r="L24" s="36">
        <f>'Purchased Power Model '!O24</f>
        <v>170.5</v>
      </c>
      <c r="M24" s="10">
        <f t="shared" si="0"/>
        <v>4575904.8517130418</v>
      </c>
      <c r="N24" s="10"/>
      <c r="O24"/>
    </row>
    <row r="25" spans="1:21">
      <c r="A25" s="3">
        <v>40118</v>
      </c>
      <c r="B25" s="28">
        <f>'[14]Data Input'!H99+'[16]PSP less Loss factor'!G108</f>
        <v>4634525.8337426791</v>
      </c>
      <c r="C25" s="24">
        <f>'Purchased Power Model '!G25</f>
        <v>414.1</v>
      </c>
      <c r="D25" s="24">
        <f>'Purchased Power Model '!H25</f>
        <v>0</v>
      </c>
      <c r="E25" s="18">
        <f>'Purchased Power Model '!I25</f>
        <v>30</v>
      </c>
      <c r="F25" s="18">
        <f>'Purchased Power Model '!J25</f>
        <v>1</v>
      </c>
      <c r="G25" s="82">
        <f>'Purchased Power Model '!K25</f>
        <v>23</v>
      </c>
      <c r="H25" s="82">
        <f>'[14]Data Input'!J99+'[16]PSP less Loss factor'!H108</f>
        <v>2036</v>
      </c>
      <c r="I25" s="36">
        <f>'Purchased Power Model '!M25</f>
        <v>134.733974390893</v>
      </c>
      <c r="J25" s="36">
        <f>'Purchased Power Model '!P25</f>
        <v>313.8</v>
      </c>
      <c r="K25" s="107">
        <f>'Purchased Power Model '!L25</f>
        <v>15.4</v>
      </c>
      <c r="L25" s="36">
        <f>'Purchased Power Model '!O25</f>
        <v>171.9</v>
      </c>
      <c r="M25" s="10">
        <f t="shared" si="0"/>
        <v>4638478.8207896044</v>
      </c>
      <c r="N25" s="10"/>
      <c r="O25"/>
    </row>
    <row r="26" spans="1:21">
      <c r="A26" s="3">
        <v>40148</v>
      </c>
      <c r="B26" s="28">
        <f>'[14]Data Input'!H100+'[16]PSP less Loss factor'!G109</f>
        <v>5711856.2400000002</v>
      </c>
      <c r="C26" s="24">
        <f>'Purchased Power Model '!G26</f>
        <v>750.2</v>
      </c>
      <c r="D26" s="24">
        <f>'Purchased Power Model '!H26</f>
        <v>0</v>
      </c>
      <c r="E26" s="18">
        <f>'Purchased Power Model '!I26</f>
        <v>31</v>
      </c>
      <c r="F26" s="18">
        <f>'Purchased Power Model '!J26</f>
        <v>0</v>
      </c>
      <c r="G26" s="82">
        <f>'Purchased Power Model '!K26</f>
        <v>24</v>
      </c>
      <c r="H26" s="82">
        <f>'[14]Data Input'!J100+'[16]PSP less Loss factor'!H109</f>
        <v>2034</v>
      </c>
      <c r="I26" s="36">
        <f>'Purchased Power Model '!M26</f>
        <v>134.36930388462019</v>
      </c>
      <c r="J26" s="36">
        <f>'Purchased Power Model '!P26</f>
        <v>313.89999999999998</v>
      </c>
      <c r="K26" s="107">
        <f>'Purchased Power Model '!L26</f>
        <v>16.600000000000001</v>
      </c>
      <c r="L26" s="36">
        <f>'Purchased Power Model '!O26</f>
        <v>172.5</v>
      </c>
      <c r="M26" s="10">
        <f t="shared" si="0"/>
        <v>5950587.2767550331</v>
      </c>
      <c r="N26" s="10"/>
      <c r="O26"/>
    </row>
    <row r="27" spans="1:21">
      <c r="A27" s="3">
        <v>40179</v>
      </c>
      <c r="B27" s="28">
        <f>'[14]Data Input'!H101+'[16]PSP less Loss factor'!G110</f>
        <v>6070901.6202531662</v>
      </c>
      <c r="C27" s="24">
        <f>'Purchased Power Model '!G27</f>
        <v>839.2</v>
      </c>
      <c r="D27" s="24">
        <f>'Purchased Power Model '!H27</f>
        <v>0</v>
      </c>
      <c r="E27" s="18">
        <f>'Purchased Power Model '!I27</f>
        <v>31</v>
      </c>
      <c r="F27" s="18">
        <f>'Purchased Power Model '!J27</f>
        <v>0</v>
      </c>
      <c r="G27" s="82">
        <f>'Purchased Power Model '!K27</f>
        <v>25</v>
      </c>
      <c r="H27" s="82">
        <f>'[14]Data Input'!J101+'[16]PSP less Loss factor'!H110</f>
        <v>2039</v>
      </c>
      <c r="I27" s="36">
        <f>'Purchased Power Model '!M27</f>
        <v>134.73334561620703</v>
      </c>
      <c r="J27" s="36">
        <f>'Purchased Power Model '!P27</f>
        <v>314</v>
      </c>
      <c r="K27" s="107">
        <f>'Purchased Power Model '!L27</f>
        <v>19</v>
      </c>
      <c r="L27" s="36">
        <f>'Purchased Power Model '!O27</f>
        <v>172.6</v>
      </c>
      <c r="M27" s="10">
        <f t="shared" si="0"/>
        <v>6170814.8666338399</v>
      </c>
      <c r="N27" s="10"/>
      <c r="O27"/>
    </row>
    <row r="28" spans="1:21">
      <c r="A28" s="3">
        <v>40210</v>
      </c>
      <c r="B28" s="28">
        <f>'[14]Data Input'!H102+'[16]PSP less Loss factor'!G111</f>
        <v>5378056.9901757035</v>
      </c>
      <c r="C28" s="24">
        <f>'Purchased Power Model '!G28</f>
        <v>647.5</v>
      </c>
      <c r="D28" s="24">
        <f>'Purchased Power Model '!H28</f>
        <v>0</v>
      </c>
      <c r="E28" s="18">
        <f>'Purchased Power Model '!I28</f>
        <v>28</v>
      </c>
      <c r="F28" s="18">
        <f>'Purchased Power Model '!J28</f>
        <v>0</v>
      </c>
      <c r="G28" s="82">
        <f>'Purchased Power Model '!K28</f>
        <v>26</v>
      </c>
      <c r="H28" s="82">
        <f>'[14]Data Input'!J102+'[16]PSP less Loss factor'!H111</f>
        <v>2034</v>
      </c>
      <c r="I28" s="36">
        <f>'Purchased Power Model '!M28</f>
        <v>135.09837363244745</v>
      </c>
      <c r="J28" s="36">
        <f>'Purchased Power Model '!P28</f>
        <v>314.10000000000002</v>
      </c>
      <c r="K28" s="107">
        <f>'Purchased Power Model '!L28</f>
        <v>19.3</v>
      </c>
      <c r="L28" s="36">
        <f>'Purchased Power Model '!O28</f>
        <v>172.7</v>
      </c>
      <c r="M28" s="10">
        <f t="shared" si="0"/>
        <v>5345984.7538814172</v>
      </c>
      <c r="N28" s="10"/>
      <c r="O28"/>
    </row>
    <row r="29" spans="1:21">
      <c r="A29" s="3">
        <v>40238</v>
      </c>
      <c r="B29" s="28">
        <f>'[14]Data Input'!H103+'[16]PSP less Loss factor'!G112</f>
        <v>4913128.5146419806</v>
      </c>
      <c r="C29" s="24">
        <f>'Purchased Power Model '!G29</f>
        <v>427</v>
      </c>
      <c r="D29" s="24">
        <f>'Purchased Power Model '!H29</f>
        <v>0</v>
      </c>
      <c r="E29" s="18">
        <f>'Purchased Power Model '!I29</f>
        <v>31</v>
      </c>
      <c r="F29" s="18">
        <f>'Purchased Power Model '!J29</f>
        <v>1</v>
      </c>
      <c r="G29" s="82">
        <f>'Purchased Power Model '!K29</f>
        <v>27</v>
      </c>
      <c r="H29" s="82">
        <f>'[14]Data Input'!J103+'[16]PSP less Loss factor'!H112</f>
        <v>2039</v>
      </c>
      <c r="I29" s="36">
        <f>'Purchased Power Model '!M29</f>
        <v>135.46439060544563</v>
      </c>
      <c r="J29" s="36">
        <f>'Purchased Power Model '!P29</f>
        <v>314.3</v>
      </c>
      <c r="K29" s="107">
        <f>'Purchased Power Model '!L29</f>
        <v>20.9</v>
      </c>
      <c r="L29" s="36">
        <f>'Purchased Power Model '!O29</f>
        <v>173.5</v>
      </c>
      <c r="M29" s="10">
        <f t="shared" si="0"/>
        <v>4787224.3593046162</v>
      </c>
      <c r="N29" s="10"/>
      <c r="O29"/>
    </row>
    <row r="30" spans="1:21">
      <c r="A30" s="3">
        <v>40269</v>
      </c>
      <c r="B30" s="28">
        <f>'[14]Data Input'!H104+'[16]PSP less Loss factor'!G113</f>
        <v>4167245.5529945204</v>
      </c>
      <c r="C30" s="24">
        <f>'Purchased Power Model '!G30</f>
        <v>287.3</v>
      </c>
      <c r="D30" s="24">
        <f>'Purchased Power Model '!H30</f>
        <v>0</v>
      </c>
      <c r="E30" s="18">
        <f>'Purchased Power Model '!I30</f>
        <v>30</v>
      </c>
      <c r="F30" s="18">
        <f>'Purchased Power Model '!J30</f>
        <v>1</v>
      </c>
      <c r="G30" s="82">
        <f>'Purchased Power Model '!K30</f>
        <v>28</v>
      </c>
      <c r="H30" s="82">
        <f>'[14]Data Input'!J104+'[16]PSP less Loss factor'!H113</f>
        <v>2044</v>
      </c>
      <c r="I30" s="36">
        <f>'Purchased Power Model '!M30</f>
        <v>135.83139921454512</v>
      </c>
      <c r="J30" s="36">
        <f>'Purchased Power Model '!P30</f>
        <v>314.39999999999998</v>
      </c>
      <c r="K30" s="107">
        <f>'Purchased Power Model '!L30</f>
        <v>18.2</v>
      </c>
      <c r="L30" s="36">
        <f>'Purchased Power Model '!O30</f>
        <v>176.2</v>
      </c>
      <c r="M30" s="10">
        <f t="shared" si="0"/>
        <v>4324716.3668948542</v>
      </c>
      <c r="N30" s="10"/>
      <c r="O30"/>
    </row>
    <row r="31" spans="1:21">
      <c r="A31" s="3">
        <v>40299</v>
      </c>
      <c r="B31" s="28">
        <f>'[14]Data Input'!H105+'[16]PSP less Loss factor'!G114</f>
        <v>4346116.7846211977</v>
      </c>
      <c r="C31" s="24">
        <f>'Purchased Power Model '!G31</f>
        <v>151.6</v>
      </c>
      <c r="D31" s="24">
        <f>'Purchased Power Model '!H31</f>
        <v>22.9</v>
      </c>
      <c r="E31" s="18">
        <f>'Purchased Power Model '!I31</f>
        <v>31</v>
      </c>
      <c r="F31" s="18">
        <f>'Purchased Power Model '!J31</f>
        <v>1</v>
      </c>
      <c r="G31" s="82">
        <f>'Purchased Power Model '!K31</f>
        <v>29</v>
      </c>
      <c r="H31" s="82">
        <f>'[14]Data Input'!J105+'[16]PSP less Loss factor'!H114</f>
        <v>2054</v>
      </c>
      <c r="I31" s="36">
        <f>'Purchased Power Model '!M31</f>
        <v>136.19940214634852</v>
      </c>
      <c r="J31" s="36">
        <f>'Purchased Power Model '!P31</f>
        <v>314.60000000000002</v>
      </c>
      <c r="K31" s="107">
        <f>'Purchased Power Model '!L31</f>
        <v>16.7</v>
      </c>
      <c r="L31" s="36">
        <f>'Purchased Power Model '!O31</f>
        <v>178.7</v>
      </c>
      <c r="M31" s="10">
        <f t="shared" si="0"/>
        <v>4369725.8276564078</v>
      </c>
      <c r="N31" s="10"/>
      <c r="O31"/>
    </row>
    <row r="32" spans="1:21">
      <c r="A32" s="3">
        <v>40330</v>
      </c>
      <c r="B32" s="28">
        <f>'[14]Data Input'!H106+'[16]PSP less Loss factor'!G115</f>
        <v>4416281.972038541</v>
      </c>
      <c r="C32" s="24">
        <f>'Purchased Power Model '!G32</f>
        <v>66.2</v>
      </c>
      <c r="D32" s="24">
        <f>'Purchased Power Model '!H32</f>
        <v>12</v>
      </c>
      <c r="E32" s="18">
        <f>'Purchased Power Model '!I32</f>
        <v>30</v>
      </c>
      <c r="F32" s="18">
        <f>'Purchased Power Model '!J32</f>
        <v>0</v>
      </c>
      <c r="G32" s="82">
        <f>'Purchased Power Model '!K32</f>
        <v>30</v>
      </c>
      <c r="H32" s="82">
        <f>'[14]Data Input'!J106+'[16]PSP less Loss factor'!H115</f>
        <v>2047</v>
      </c>
      <c r="I32" s="36">
        <f>'Purchased Power Model '!M32</f>
        <v>136.56840209473719</v>
      </c>
      <c r="J32" s="36">
        <f>'Purchased Power Model '!P32</f>
        <v>314.8</v>
      </c>
      <c r="K32" s="107">
        <f>'Purchased Power Model '!L32</f>
        <v>13.3</v>
      </c>
      <c r="L32" s="36">
        <f>'Purchased Power Model '!O32</f>
        <v>179</v>
      </c>
      <c r="M32" s="10">
        <f t="shared" si="0"/>
        <v>4279551.498669642</v>
      </c>
      <c r="N32" s="10"/>
      <c r="O32"/>
    </row>
    <row r="33" spans="1:15">
      <c r="A33" s="3">
        <v>40360</v>
      </c>
      <c r="B33" s="28">
        <f>'[14]Data Input'!H107+'[16]PSP less Loss factor'!G116</f>
        <v>5218466.5490270164</v>
      </c>
      <c r="C33" s="24">
        <f>'Purchased Power Model '!G33</f>
        <v>13.1</v>
      </c>
      <c r="D33" s="24">
        <f>'Purchased Power Model '!H33</f>
        <v>95.7</v>
      </c>
      <c r="E33" s="18">
        <f>'Purchased Power Model '!I33</f>
        <v>31</v>
      </c>
      <c r="F33" s="18">
        <f>'Purchased Power Model '!J33</f>
        <v>0</v>
      </c>
      <c r="G33" s="82">
        <f>'Purchased Power Model '!K33</f>
        <v>31</v>
      </c>
      <c r="H33" s="82">
        <f>'[14]Data Input'!J107+'[16]PSP less Loss factor'!H116</f>
        <v>2048</v>
      </c>
      <c r="I33" s="36">
        <f>'Purchased Power Model '!M33</f>
        <v>136.93840176089088</v>
      </c>
      <c r="J33" s="36">
        <f>'Purchased Power Model '!P33</f>
        <v>315.10000000000002</v>
      </c>
      <c r="K33" s="107">
        <f>'Purchased Power Model '!L33</f>
        <v>14.3</v>
      </c>
      <c r="L33" s="36">
        <f>'Purchased Power Model '!O33</f>
        <v>176.8</v>
      </c>
      <c r="M33" s="10">
        <f t="shared" si="0"/>
        <v>5229797.443737207</v>
      </c>
      <c r="N33" s="10"/>
      <c r="O33"/>
    </row>
    <row r="34" spans="1:15">
      <c r="A34" s="3">
        <v>40391</v>
      </c>
      <c r="B34" s="28">
        <f>'[14]Data Input'!H108+'[16]PSP less Loss factor'!G117</f>
        <v>4696239.6519931993</v>
      </c>
      <c r="C34" s="24">
        <f>'Purchased Power Model '!G34</f>
        <v>25.9</v>
      </c>
      <c r="D34" s="24">
        <f>'Purchased Power Model '!H34</f>
        <v>61.1</v>
      </c>
      <c r="E34" s="18">
        <f>'Purchased Power Model '!I34</f>
        <v>31</v>
      </c>
      <c r="F34" s="18">
        <f>'Purchased Power Model '!J34</f>
        <v>0</v>
      </c>
      <c r="G34" s="82">
        <f>'Purchased Power Model '!K34</f>
        <v>32</v>
      </c>
      <c r="H34" s="82">
        <f>'[14]Data Input'!J108+'[16]PSP less Loss factor'!H117</f>
        <v>2049</v>
      </c>
      <c r="I34" s="36">
        <f>'Purchased Power Model '!M34</f>
        <v>137.30940385330757</v>
      </c>
      <c r="J34" s="36">
        <f>'Purchased Power Model '!P34</f>
        <v>315.3</v>
      </c>
      <c r="K34" s="107">
        <f>'Purchased Power Model '!L34</f>
        <v>15.9</v>
      </c>
      <c r="L34" s="36">
        <f>'Purchased Power Model '!O34</f>
        <v>174</v>
      </c>
      <c r="M34" s="10">
        <f t="shared" si="0"/>
        <v>4862634.2142401244</v>
      </c>
      <c r="N34" s="10"/>
      <c r="O34"/>
    </row>
    <row r="35" spans="1:15">
      <c r="A35" s="3">
        <v>40422</v>
      </c>
      <c r="B35" s="28">
        <f>'[14]Data Input'!H109+'[16]PSP less Loss factor'!G118</f>
        <v>4126093.4598526349</v>
      </c>
      <c r="C35" s="24">
        <f>'Purchased Power Model '!G35</f>
        <v>143.1</v>
      </c>
      <c r="D35" s="24">
        <f>'Purchased Power Model '!H35</f>
        <v>17.5</v>
      </c>
      <c r="E35" s="18">
        <f>'Purchased Power Model '!I35</f>
        <v>30</v>
      </c>
      <c r="F35" s="18">
        <f>'Purchased Power Model '!J35</f>
        <v>1</v>
      </c>
      <c r="G35" s="82">
        <f>'Purchased Power Model '!K35</f>
        <v>33</v>
      </c>
      <c r="H35" s="82">
        <f>'[14]Data Input'!J109+'[16]PSP less Loss factor'!H118</f>
        <v>2057</v>
      </c>
      <c r="I35" s="36">
        <f>'Purchased Power Model '!M35</f>
        <v>137.68141108782325</v>
      </c>
      <c r="J35" s="36">
        <f>'Purchased Power Model '!P35</f>
        <v>315.60000000000002</v>
      </c>
      <c r="K35" s="107">
        <f>'Purchased Power Model '!L35</f>
        <v>17.5</v>
      </c>
      <c r="L35" s="36">
        <f>'Purchased Power Model '!O35</f>
        <v>171.8</v>
      </c>
      <c r="M35" s="10">
        <f t="shared" si="0"/>
        <v>4169621.800206678</v>
      </c>
      <c r="N35" s="10"/>
      <c r="O35"/>
    </row>
    <row r="36" spans="1:15">
      <c r="A36" s="3">
        <v>40452</v>
      </c>
      <c r="B36" s="28">
        <f>'[14]Data Input'!H110+'[16]PSP less Loss factor'!G119</f>
        <v>4294230.5174759114</v>
      </c>
      <c r="C36" s="24">
        <f>'Purchased Power Model '!G36</f>
        <v>318.60000000000002</v>
      </c>
      <c r="D36" s="24">
        <f>'Purchased Power Model '!H36</f>
        <v>0</v>
      </c>
      <c r="E36" s="18">
        <f>'Purchased Power Model '!I36</f>
        <v>31</v>
      </c>
      <c r="F36" s="18">
        <f>'Purchased Power Model '!J36</f>
        <v>1</v>
      </c>
      <c r="G36" s="82">
        <f>'Purchased Power Model '!K36</f>
        <v>34</v>
      </c>
      <c r="H36" s="82">
        <f>'[14]Data Input'!J110+'[16]PSP less Loss factor'!H119</f>
        <v>2053</v>
      </c>
      <c r="I36" s="36">
        <f>'Purchased Power Model '!M36</f>
        <v>138.0544261876318</v>
      </c>
      <c r="J36" s="36">
        <f>'Purchased Power Model '!P36</f>
        <v>315.8</v>
      </c>
      <c r="K36" s="107">
        <f>'Purchased Power Model '!L36</f>
        <v>17.3</v>
      </c>
      <c r="L36" s="36">
        <f>'Purchased Power Model '!O36</f>
        <v>170.9</v>
      </c>
      <c r="M36" s="10">
        <f t="shared" si="0"/>
        <v>4518992.1037668325</v>
      </c>
      <c r="N36" s="10"/>
      <c r="O36"/>
    </row>
    <row r="37" spans="1:15">
      <c r="A37" s="3">
        <v>40483</v>
      </c>
      <c r="B37" s="28">
        <f>'[14]Data Input'!H111+'[16]PSP less Loss factor'!G120</f>
        <v>4869277.5616852436</v>
      </c>
      <c r="C37" s="24">
        <f>'Purchased Power Model '!G37</f>
        <v>398.8</v>
      </c>
      <c r="D37" s="24">
        <f>'Purchased Power Model '!H37</f>
        <v>0</v>
      </c>
      <c r="E37" s="18">
        <f>'Purchased Power Model '!I37</f>
        <v>30</v>
      </c>
      <c r="F37" s="18">
        <f>'Purchased Power Model '!J37</f>
        <v>1</v>
      </c>
      <c r="G37" s="82">
        <f>'Purchased Power Model '!K37</f>
        <v>35</v>
      </c>
      <c r="H37" s="82">
        <f>'[14]Data Input'!J111+'[16]PSP less Loss factor'!H120</f>
        <v>2057</v>
      </c>
      <c r="I37" s="36">
        <f>'Purchased Power Model '!M37</f>
        <v>138.42845188330503</v>
      </c>
      <c r="J37" s="36">
        <f>'Purchased Power Model '!P37</f>
        <v>315.89999999999998</v>
      </c>
      <c r="K37" s="107">
        <f>'Purchased Power Model '!L37</f>
        <v>16.2</v>
      </c>
      <c r="L37" s="36">
        <f>'Purchased Power Model '!O37</f>
        <v>167.8</v>
      </c>
      <c r="M37" s="10">
        <f t="shared" si="0"/>
        <v>4600619.4710688656</v>
      </c>
      <c r="N37" s="10"/>
      <c r="O37"/>
    </row>
    <row r="38" spans="1:15">
      <c r="A38" s="3">
        <v>40513</v>
      </c>
      <c r="B38" s="28">
        <f>'[14]Data Input'!H112+'[16]PSP less Loss factor'!G121</f>
        <v>6069169.4759115828</v>
      </c>
      <c r="C38" s="24">
        <f>'Purchased Power Model '!G38</f>
        <v>776.1</v>
      </c>
      <c r="D38" s="24">
        <f>'Purchased Power Model '!H38</f>
        <v>0</v>
      </c>
      <c r="E38" s="18">
        <f>'Purchased Power Model '!I38</f>
        <v>31</v>
      </c>
      <c r="F38" s="18">
        <f>'Purchased Power Model '!J38</f>
        <v>0</v>
      </c>
      <c r="G38" s="82">
        <f>'Purchased Power Model '!K38</f>
        <v>36</v>
      </c>
      <c r="H38" s="82">
        <f>'[14]Data Input'!J112+'[16]PSP less Loss factor'!H121</f>
        <v>2059</v>
      </c>
      <c r="I38" s="36">
        <f>'Purchased Power Model '!M38</f>
        <v>138.80349091281266</v>
      </c>
      <c r="J38" s="36">
        <f>'Purchased Power Model '!P38</f>
        <v>316</v>
      </c>
      <c r="K38" s="107">
        <f>'Purchased Power Model '!L38</f>
        <v>17.2</v>
      </c>
      <c r="L38" s="36">
        <f>'Purchased Power Model '!O38</f>
        <v>166</v>
      </c>
      <c r="M38" s="10">
        <f t="shared" si="0"/>
        <v>6014675.9798770677</v>
      </c>
      <c r="N38" s="10"/>
      <c r="O38"/>
    </row>
    <row r="39" spans="1:15">
      <c r="A39" s="3">
        <v>40544</v>
      </c>
      <c r="B39" s="28">
        <f>'[14]Data Input'!H113+'[16]PSP less Loss factor'!G122</f>
        <v>6134343.0264500296</v>
      </c>
      <c r="C39" s="24">
        <f>'Purchased Power Model '!G39</f>
        <v>891.9</v>
      </c>
      <c r="D39" s="24">
        <f>'Purchased Power Model '!H39</f>
        <v>0</v>
      </c>
      <c r="E39" s="18">
        <f>'Purchased Power Model '!I39</f>
        <v>31</v>
      </c>
      <c r="F39" s="18">
        <f>'Purchased Power Model '!J39</f>
        <v>0</v>
      </c>
      <c r="G39" s="82">
        <f>'Purchased Power Model '!K39</f>
        <v>37</v>
      </c>
      <c r="H39" s="82">
        <f>'[14]Data Input'!J113+'[16]PSP less Loss factor'!H122</f>
        <v>2066</v>
      </c>
      <c r="I39" s="36">
        <f>'Purchased Power Model '!M39</f>
        <v>139.10070640604135</v>
      </c>
      <c r="J39" s="36">
        <f>'Purchased Power Model '!P39</f>
        <v>316.10000000000002</v>
      </c>
      <c r="K39" s="107">
        <f>'Purchased Power Model '!L39</f>
        <v>19.3</v>
      </c>
      <c r="L39" s="36">
        <f>'Purchased Power Model '!O39</f>
        <v>163.6</v>
      </c>
      <c r="M39" s="10">
        <f t="shared" si="0"/>
        <v>6301219.2934497185</v>
      </c>
      <c r="N39" s="10"/>
      <c r="O39"/>
    </row>
    <row r="40" spans="1:15">
      <c r="A40" s="3">
        <v>40575</v>
      </c>
      <c r="B40" s="28">
        <f>'[14]Data Input'!H114+'[16]PSP less Loss factor'!G123</f>
        <v>5728238.2187795211</v>
      </c>
      <c r="C40" s="24">
        <f>'Purchased Power Model '!G40</f>
        <v>650.89999999999975</v>
      </c>
      <c r="D40" s="24">
        <f>'Purchased Power Model '!H40</f>
        <v>0</v>
      </c>
      <c r="E40" s="18">
        <f>'Purchased Power Model '!I40</f>
        <v>28</v>
      </c>
      <c r="F40" s="18">
        <f>'Purchased Power Model '!J40</f>
        <v>0</v>
      </c>
      <c r="G40" s="82">
        <f>'Purchased Power Model '!K40</f>
        <v>38</v>
      </c>
      <c r="H40" s="82">
        <f>'[14]Data Input'!J114+'[16]PSP less Loss factor'!H123</f>
        <v>2063</v>
      </c>
      <c r="I40" s="36">
        <f>'Purchased Power Model '!M40</f>
        <v>139.39855831733732</v>
      </c>
      <c r="J40" s="36">
        <f>'Purchased Power Model '!P40</f>
        <v>316.10000000000002</v>
      </c>
      <c r="K40" s="107">
        <f>'Purchased Power Model '!L40</f>
        <v>20.9</v>
      </c>
      <c r="L40" s="36">
        <f>'Purchased Power Model '!O40</f>
        <v>162.69999999999999</v>
      </c>
      <c r="M40" s="10">
        <f t="shared" si="0"/>
        <v>5354397.9427082473</v>
      </c>
      <c r="N40" s="10"/>
      <c r="O40"/>
    </row>
    <row r="41" spans="1:15">
      <c r="A41" s="3">
        <v>40603</v>
      </c>
      <c r="B41" s="28">
        <f>'[14]Data Input'!H115+'[16]PSP less Loss factor'!G124</f>
        <v>5573363.9429435106</v>
      </c>
      <c r="C41" s="24">
        <f>'Purchased Power Model '!G41</f>
        <v>574.80000000000007</v>
      </c>
      <c r="D41" s="24">
        <f>'Purchased Power Model '!H41</f>
        <v>0</v>
      </c>
      <c r="E41" s="18">
        <f>'Purchased Power Model '!I41</f>
        <v>31</v>
      </c>
      <c r="F41" s="18">
        <f>'Purchased Power Model '!J41</f>
        <v>1</v>
      </c>
      <c r="G41" s="82">
        <f>'Purchased Power Model '!K41</f>
        <v>39</v>
      </c>
      <c r="H41" s="82">
        <f>'[14]Data Input'!J115+'[16]PSP less Loss factor'!H124</f>
        <v>2065</v>
      </c>
      <c r="I41" s="36">
        <f>'Purchased Power Model '!M41</f>
        <v>139.69704800944226</v>
      </c>
      <c r="J41" s="36">
        <f>'Purchased Power Model '!P41</f>
        <v>316.2</v>
      </c>
      <c r="K41" s="107">
        <f>'Purchased Power Model '!L41</f>
        <v>20.6</v>
      </c>
      <c r="L41" s="36">
        <f>'Purchased Power Model '!O41</f>
        <v>164</v>
      </c>
      <c r="M41" s="10">
        <f t="shared" si="0"/>
        <v>5152950.6265415568</v>
      </c>
      <c r="N41" s="10"/>
      <c r="O41"/>
    </row>
    <row r="42" spans="1:15">
      <c r="A42" s="3">
        <v>40634</v>
      </c>
      <c r="B42" s="28">
        <f>'[14]Data Input'!H116+'[16]PSP less Loss factor'!G125</f>
        <v>4467022.079727944</v>
      </c>
      <c r="C42" s="24">
        <f>'Purchased Power Model '!G42</f>
        <v>390.90000000000003</v>
      </c>
      <c r="D42" s="24">
        <f>'Purchased Power Model '!H42</f>
        <v>0</v>
      </c>
      <c r="E42" s="18">
        <f>'Purchased Power Model '!I42</f>
        <v>30</v>
      </c>
      <c r="F42" s="18">
        <f>'Purchased Power Model '!J42</f>
        <v>1</v>
      </c>
      <c r="G42" s="82">
        <f>'Purchased Power Model '!K42</f>
        <v>40</v>
      </c>
      <c r="H42" s="82">
        <f>'[14]Data Input'!J116+'[16]PSP less Loss factor'!H125</f>
        <v>2062</v>
      </c>
      <c r="I42" s="36">
        <f>'Purchased Power Model '!M42</f>
        <v>139.99617684801592</v>
      </c>
      <c r="J42" s="36">
        <f>'Purchased Power Model '!P42</f>
        <v>316.2</v>
      </c>
      <c r="K42" s="107">
        <f>'Purchased Power Model '!L42</f>
        <v>19</v>
      </c>
      <c r="L42" s="36">
        <f>'Purchased Power Model '!O42</f>
        <v>166</v>
      </c>
      <c r="M42" s="10">
        <f t="shared" si="0"/>
        <v>4581071.1793829938</v>
      </c>
      <c r="N42" s="10"/>
      <c r="O42"/>
    </row>
    <row r="43" spans="1:15">
      <c r="A43" s="3">
        <v>40664</v>
      </c>
      <c r="B43" s="28">
        <f>'[14]Data Input'!H117+'[16]PSP less Loss factor'!G126</f>
        <v>4263009.8397884006</v>
      </c>
      <c r="C43" s="24">
        <f>'Purchased Power Model '!G43</f>
        <v>147.10000000000002</v>
      </c>
      <c r="D43" s="24">
        <f>'Purchased Power Model '!H43</f>
        <v>10.1</v>
      </c>
      <c r="E43" s="18">
        <f>'Purchased Power Model '!I43</f>
        <v>31</v>
      </c>
      <c r="F43" s="18">
        <f>'Purchased Power Model '!J43</f>
        <v>1</v>
      </c>
      <c r="G43" s="82">
        <f>'Purchased Power Model '!K43</f>
        <v>41</v>
      </c>
      <c r="H43" s="82">
        <f>'[14]Data Input'!J117+'[16]PSP less Loss factor'!H126</f>
        <v>2075</v>
      </c>
      <c r="I43" s="36">
        <f>'Purchased Power Model '!M43</f>
        <v>140.29594620164227</v>
      </c>
      <c r="J43" s="36">
        <f>'Purchased Power Model '!P43</f>
        <v>316.3</v>
      </c>
      <c r="K43" s="107">
        <f>'Purchased Power Model '!L43</f>
        <v>17.899999999999999</v>
      </c>
      <c r="L43" s="36">
        <f>'Purchased Power Model '!O43</f>
        <v>171.8</v>
      </c>
      <c r="M43" s="10">
        <f t="shared" si="0"/>
        <v>4211044.3068689322</v>
      </c>
      <c r="N43" s="10"/>
      <c r="O43"/>
    </row>
    <row r="44" spans="1:15">
      <c r="A44" s="3">
        <v>40695</v>
      </c>
      <c r="B44" s="28">
        <f>'[14]Data Input'!H118+'[16]PSP less Loss factor'!G127</f>
        <v>4299548.9711562432</v>
      </c>
      <c r="C44" s="24">
        <f>'Purchased Power Model '!G44</f>
        <v>57.70000000000001</v>
      </c>
      <c r="D44" s="24">
        <f>'Purchased Power Model '!H44</f>
        <v>13.4</v>
      </c>
      <c r="E44" s="18">
        <f>'Purchased Power Model '!I44</f>
        <v>30</v>
      </c>
      <c r="F44" s="18">
        <f>'Purchased Power Model '!J44</f>
        <v>0</v>
      </c>
      <c r="G44" s="82">
        <f>'Purchased Power Model '!K44</f>
        <v>42</v>
      </c>
      <c r="H44" s="82">
        <f>'[14]Data Input'!J118+'[16]PSP less Loss factor'!H127</f>
        <v>2076</v>
      </c>
      <c r="I44" s="36">
        <f>'Purchased Power Model '!M44</f>
        <v>140.59635744183578</v>
      </c>
      <c r="J44" s="36">
        <f>'Purchased Power Model '!P44</f>
        <v>316.5</v>
      </c>
      <c r="K44" s="107">
        <f>'Purchased Power Model '!L44</f>
        <v>16.8</v>
      </c>
      <c r="L44" s="36">
        <f>'Purchased Power Model '!O44</f>
        <v>177.8</v>
      </c>
      <c r="M44" s="10">
        <f t="shared" si="0"/>
        <v>4274656.4160634875</v>
      </c>
      <c r="N44" s="10"/>
      <c r="O44"/>
    </row>
    <row r="45" spans="1:15">
      <c r="A45" s="3">
        <v>40725</v>
      </c>
      <c r="B45" s="28">
        <f>'[14]Data Input'!H119+'[16]PSP less Loss factor'!G128</f>
        <v>5051720.9605913479</v>
      </c>
      <c r="C45" s="24">
        <f>'Purchased Power Model '!G45</f>
        <v>2</v>
      </c>
      <c r="D45" s="24">
        <f>'Purchased Power Model '!H45</f>
        <v>80.600000000000009</v>
      </c>
      <c r="E45" s="18">
        <f>'Purchased Power Model '!I45</f>
        <v>31</v>
      </c>
      <c r="F45" s="18">
        <f>'Purchased Power Model '!J45</f>
        <v>0</v>
      </c>
      <c r="G45" s="82">
        <f>'Purchased Power Model '!K45</f>
        <v>43</v>
      </c>
      <c r="H45" s="82">
        <f>'[14]Data Input'!J119+'[16]PSP less Loss factor'!H128</f>
        <v>2068</v>
      </c>
      <c r="I45" s="36">
        <f>'Purchased Power Model '!M45</f>
        <v>140.89741194304773</v>
      </c>
      <c r="J45" s="36">
        <f>'Purchased Power Model '!P45</f>
        <v>316.7</v>
      </c>
      <c r="K45" s="107">
        <f>'Purchased Power Model '!L45</f>
        <v>16.5</v>
      </c>
      <c r="L45" s="36">
        <f>'Purchased Power Model '!O45</f>
        <v>183</v>
      </c>
      <c r="M45" s="10">
        <f t="shared" si="0"/>
        <v>5028272.1917849565</v>
      </c>
      <c r="N45" s="10"/>
      <c r="O45"/>
    </row>
    <row r="46" spans="1:15">
      <c r="A46" s="3">
        <v>40756</v>
      </c>
      <c r="B46" s="28">
        <f>'[14]Data Input'!H120+'[16]PSP less Loss factor'!G129</f>
        <v>4764283.9495253954</v>
      </c>
      <c r="C46" s="24">
        <f>'Purchased Power Model '!G46</f>
        <v>15.9</v>
      </c>
      <c r="D46" s="24">
        <f>'Purchased Power Model '!H46</f>
        <v>38</v>
      </c>
      <c r="E46" s="18">
        <f>'Purchased Power Model '!I46</f>
        <v>31</v>
      </c>
      <c r="F46" s="18">
        <f>'Purchased Power Model '!J46</f>
        <v>0</v>
      </c>
      <c r="G46" s="82">
        <f>'Purchased Power Model '!K46</f>
        <v>44</v>
      </c>
      <c r="H46" s="82">
        <f>'[14]Data Input'!J120+'[16]PSP less Loss factor'!H129</f>
        <v>2065</v>
      </c>
      <c r="I46" s="36">
        <f>'Purchased Power Model '!M46</f>
        <v>141.19911108267243</v>
      </c>
      <c r="J46" s="36">
        <f>'Purchased Power Model '!P46</f>
        <v>316.89999999999998</v>
      </c>
      <c r="K46" s="107">
        <f>'Purchased Power Model '!L46</f>
        <v>17</v>
      </c>
      <c r="L46" s="36">
        <f>'Purchased Power Model '!O46</f>
        <v>182.1</v>
      </c>
      <c r="M46" s="10">
        <f t="shared" si="0"/>
        <v>4571614.3651148118</v>
      </c>
      <c r="N46" s="10"/>
      <c r="O46"/>
    </row>
    <row r="47" spans="1:15">
      <c r="A47" s="3">
        <v>40787</v>
      </c>
      <c r="B47" s="28">
        <f>'[14]Data Input'!H121+'[16]PSP less Loss factor'!G130</f>
        <v>4144239.7571394211</v>
      </c>
      <c r="C47" s="24">
        <f>'Purchased Power Model '!G47</f>
        <v>109.1</v>
      </c>
      <c r="D47" s="24">
        <f>'Purchased Power Model '!H47</f>
        <v>17.499999999999996</v>
      </c>
      <c r="E47" s="18">
        <f>'Purchased Power Model '!I47</f>
        <v>30</v>
      </c>
      <c r="F47" s="18">
        <f>'Purchased Power Model '!J47</f>
        <v>1</v>
      </c>
      <c r="G47" s="82">
        <f>'Purchased Power Model '!K47</f>
        <v>45</v>
      </c>
      <c r="H47" s="82">
        <f>'[14]Data Input'!J121+'[16]PSP less Loss factor'!H130</f>
        <v>2062</v>
      </c>
      <c r="I47" s="36">
        <f>'Purchased Power Model '!M47</f>
        <v>141.50145624105357</v>
      </c>
      <c r="J47" s="36">
        <f>'Purchased Power Model '!P47</f>
        <v>317.2</v>
      </c>
      <c r="K47" s="107">
        <f>'Purchased Power Model '!L47</f>
        <v>16.399999999999999</v>
      </c>
      <c r="L47" s="36">
        <f>'Purchased Power Model '!O47</f>
        <v>178.5</v>
      </c>
      <c r="M47" s="10">
        <f t="shared" si="0"/>
        <v>4085489.9119383693</v>
      </c>
      <c r="N47" s="10"/>
      <c r="O47"/>
    </row>
    <row r="48" spans="1:15">
      <c r="A48" s="3">
        <v>40817</v>
      </c>
      <c r="B48" s="28">
        <f>'[14]Data Input'!H122+'[16]PSP less Loss factor'!G131</f>
        <v>4274585.2115820143</v>
      </c>
      <c r="C48" s="24">
        <f>'Purchased Power Model '!G48</f>
        <v>290</v>
      </c>
      <c r="D48" s="24">
        <f>'Purchased Power Model '!H48</f>
        <v>0</v>
      </c>
      <c r="E48" s="18">
        <f>'Purchased Power Model '!I48</f>
        <v>31</v>
      </c>
      <c r="F48" s="18">
        <f>'Purchased Power Model '!J48</f>
        <v>1</v>
      </c>
      <c r="G48" s="82">
        <f>'Purchased Power Model '!K48</f>
        <v>46</v>
      </c>
      <c r="H48" s="82">
        <f>'[14]Data Input'!J122+'[16]PSP less Loss factor'!H131</f>
        <v>2073</v>
      </c>
      <c r="I48" s="36">
        <f>'Purchased Power Model '!M48</f>
        <v>141.80444880149057</v>
      </c>
      <c r="J48" s="36">
        <f>'Purchased Power Model '!P48</f>
        <v>317.5</v>
      </c>
      <c r="K48" s="107">
        <f>'Purchased Power Model '!L48</f>
        <v>16</v>
      </c>
      <c r="L48" s="36">
        <f>'Purchased Power Model '!O48</f>
        <v>178.8</v>
      </c>
      <c r="M48" s="10">
        <f t="shared" si="0"/>
        <v>4448222.3389293728</v>
      </c>
      <c r="N48" s="10"/>
      <c r="O48"/>
    </row>
    <row r="49" spans="1:15">
      <c r="A49" s="3">
        <v>40848</v>
      </c>
      <c r="B49" s="28">
        <f>'[14]Data Input'!H123+'[16]PSP less Loss factor'!G132</f>
        <v>4592010.3578129327</v>
      </c>
      <c r="C49" s="24">
        <f>'Purchased Power Model '!G49</f>
        <v>432.4</v>
      </c>
      <c r="D49" s="24">
        <f>'Purchased Power Model '!H49</f>
        <v>0</v>
      </c>
      <c r="E49" s="18">
        <f>'Purchased Power Model '!I49</f>
        <v>30</v>
      </c>
      <c r="F49" s="18">
        <f>'Purchased Power Model '!J49</f>
        <v>1</v>
      </c>
      <c r="G49" s="82">
        <f>'Purchased Power Model '!K49</f>
        <v>47</v>
      </c>
      <c r="H49" s="82">
        <f>'[14]Data Input'!J123+'[16]PSP less Loss factor'!H132</f>
        <v>2067</v>
      </c>
      <c r="I49" s="36">
        <f>'Purchased Power Model '!M49</f>
        <v>142.10809015024478</v>
      </c>
      <c r="J49" s="36">
        <f>'Purchased Power Model '!P49</f>
        <v>317.8</v>
      </c>
      <c r="K49" s="107">
        <f>'Purchased Power Model '!L49</f>
        <v>14.7</v>
      </c>
      <c r="L49" s="36">
        <f>'Purchased Power Model '!O49</f>
        <v>179.6</v>
      </c>
      <c r="M49" s="10">
        <f t="shared" si="0"/>
        <v>4683761.5724163698</v>
      </c>
      <c r="N49" s="10"/>
      <c r="O49"/>
    </row>
    <row r="50" spans="1:15">
      <c r="A50" s="3">
        <v>40878</v>
      </c>
      <c r="B50" s="28">
        <f>'[14]Data Input'!H124+'[16]PSP less Loss factor'!G133</f>
        <v>5542563.2042964194</v>
      </c>
      <c r="C50" s="24">
        <f>'Purchased Power Model '!G50</f>
        <v>617.5</v>
      </c>
      <c r="D50" s="24">
        <f>'Purchased Power Model '!H50</f>
        <v>0</v>
      </c>
      <c r="E50" s="18">
        <f>'Purchased Power Model '!I50</f>
        <v>31</v>
      </c>
      <c r="F50" s="18">
        <f>'Purchased Power Model '!J50</f>
        <v>0</v>
      </c>
      <c r="G50" s="82">
        <f>'Purchased Power Model '!K50</f>
        <v>48</v>
      </c>
      <c r="H50" s="82">
        <f>'[14]Data Input'!J124+'[16]PSP less Loss factor'!H133</f>
        <v>2064</v>
      </c>
      <c r="I50" s="36">
        <f>'Purchased Power Model '!M50</f>
        <v>142.41238167654581</v>
      </c>
      <c r="J50" s="36">
        <f>'Purchased Power Model '!P50</f>
        <v>318</v>
      </c>
      <c r="K50" s="107">
        <f>'Purchased Power Model '!L50</f>
        <v>14.6</v>
      </c>
      <c r="L50" s="36">
        <f>'Purchased Power Model '!O50</f>
        <v>181.8</v>
      </c>
      <c r="M50" s="10">
        <f t="shared" si="0"/>
        <v>5622225.4657784291</v>
      </c>
      <c r="N50" s="10"/>
      <c r="O50"/>
    </row>
    <row r="51" spans="1:15">
      <c r="A51" s="3">
        <v>40909</v>
      </c>
      <c r="B51" s="28">
        <f>'[14]Data Input'!H125+'[16]PSP less Loss factor'!G134</f>
        <v>5902826.7093801461</v>
      </c>
      <c r="C51" s="24">
        <f>'Purchased Power Model '!G51</f>
        <v>667.69999999999993</v>
      </c>
      <c r="D51" s="24">
        <f>'Purchased Power Model '!H51</f>
        <v>0</v>
      </c>
      <c r="E51" s="18">
        <f>'Purchased Power Model '!I51</f>
        <v>31</v>
      </c>
      <c r="F51" s="18">
        <f>'Purchased Power Model '!J51</f>
        <v>0</v>
      </c>
      <c r="G51" s="82">
        <f>'Purchased Power Model '!K51</f>
        <v>49</v>
      </c>
      <c r="H51" s="82">
        <f>'[14]Data Input'!J125+'[16]PSP less Loss factor'!H134</f>
        <v>2066</v>
      </c>
      <c r="I51" s="36">
        <f>'Purchased Power Model '!M51</f>
        <v>142.61257743956915</v>
      </c>
      <c r="J51" s="36">
        <f>'Purchased Power Model '!P51</f>
        <v>318.2</v>
      </c>
      <c r="K51" s="107">
        <f>'Purchased Power Model '!L51</f>
        <v>15</v>
      </c>
      <c r="L51" s="36">
        <f>'Purchased Power Model '!O51</f>
        <v>180</v>
      </c>
      <c r="M51" s="10">
        <f t="shared" si="0"/>
        <v>5746443.724339284</v>
      </c>
      <c r="N51" s="10"/>
      <c r="O51"/>
    </row>
    <row r="52" spans="1:15">
      <c r="A52" s="3">
        <v>40940</v>
      </c>
      <c r="B52" s="28">
        <f>'[14]Data Input'!H126+'[16]PSP less Loss factor'!G135</f>
        <v>5350179.2950633718</v>
      </c>
      <c r="C52" s="24">
        <f>'Purchased Power Model '!G52</f>
        <v>662.6</v>
      </c>
      <c r="D52" s="24">
        <f>'Purchased Power Model '!H52</f>
        <v>0</v>
      </c>
      <c r="E52" s="18">
        <f>'Purchased Power Model '!I52</f>
        <v>29</v>
      </c>
      <c r="F52" s="18">
        <f>'Purchased Power Model '!J52</f>
        <v>0</v>
      </c>
      <c r="G52" s="82">
        <f>'Purchased Power Model '!K52</f>
        <v>50</v>
      </c>
      <c r="H52" s="82">
        <f>'[14]Data Input'!J126+'[16]PSP less Loss factor'!H135</f>
        <v>2059</v>
      </c>
      <c r="I52" s="36">
        <f>'Purchased Power Model '!M52</f>
        <v>142.81305462716429</v>
      </c>
      <c r="J52" s="36">
        <f>'Purchased Power Model '!P52</f>
        <v>318.39999999999998</v>
      </c>
      <c r="K52" s="107">
        <f>'Purchased Power Model '!L52</f>
        <v>15.6</v>
      </c>
      <c r="L52" s="36">
        <f>'Purchased Power Model '!O52</f>
        <v>176.9</v>
      </c>
      <c r="M52" s="10">
        <f t="shared" si="0"/>
        <v>5500174.1204608493</v>
      </c>
      <c r="N52" s="10"/>
      <c r="O52"/>
    </row>
    <row r="53" spans="1:15">
      <c r="A53" s="3">
        <v>40969</v>
      </c>
      <c r="B53" s="28">
        <f>'[14]Data Input'!H127+'[16]PSP less Loss factor'!G136</f>
        <v>4973420.7246128218</v>
      </c>
      <c r="C53" s="24">
        <f>'Purchased Power Model '!G53</f>
        <v>457.10000000000019</v>
      </c>
      <c r="D53" s="24">
        <f>'Purchased Power Model '!H53</f>
        <v>0</v>
      </c>
      <c r="E53" s="18">
        <f>'Purchased Power Model '!I53</f>
        <v>31</v>
      </c>
      <c r="F53" s="18">
        <f>'Purchased Power Model '!J53</f>
        <v>1</v>
      </c>
      <c r="G53" s="82">
        <f>'Purchased Power Model '!K53</f>
        <v>51</v>
      </c>
      <c r="H53" s="82">
        <f>'[14]Data Input'!J127+'[16]PSP less Loss factor'!H136</f>
        <v>2062</v>
      </c>
      <c r="I53" s="36">
        <f>'Purchased Power Model '!M53</f>
        <v>143.01381363494295</v>
      </c>
      <c r="J53" s="36">
        <f>'Purchased Power Model '!P53</f>
        <v>318.60000000000002</v>
      </c>
      <c r="K53" s="107">
        <f>'Purchased Power Model '!L53</f>
        <v>16.8</v>
      </c>
      <c r="L53" s="36">
        <f>'Purchased Power Model '!O53</f>
        <v>174.9</v>
      </c>
      <c r="M53" s="10">
        <f t="shared" si="0"/>
        <v>4861705.8250950892</v>
      </c>
      <c r="N53" s="10"/>
      <c r="O53"/>
    </row>
    <row r="54" spans="1:15">
      <c r="A54" s="3">
        <v>41000</v>
      </c>
      <c r="B54" s="28">
        <f>'[14]Data Input'!H128+'[16]PSP less Loss factor'!G137</f>
        <v>4327299.1384975482</v>
      </c>
      <c r="C54" s="24">
        <f>'Purchased Power Model '!G54</f>
        <v>399.79999999999995</v>
      </c>
      <c r="D54" s="24">
        <f>'Purchased Power Model '!H54</f>
        <v>0</v>
      </c>
      <c r="E54" s="18">
        <f>'Purchased Power Model '!I54</f>
        <v>30</v>
      </c>
      <c r="F54" s="18">
        <f>'Purchased Power Model '!J54</f>
        <v>1</v>
      </c>
      <c r="G54" s="82">
        <f>'Purchased Power Model '!K54</f>
        <v>52</v>
      </c>
      <c r="H54" s="82">
        <f>'[14]Data Input'!J128+'[16]PSP less Loss factor'!H137</f>
        <v>2062</v>
      </c>
      <c r="I54" s="36">
        <f>'Purchased Power Model '!M54</f>
        <v>143.21485485907297</v>
      </c>
      <c r="J54" s="36">
        <f>'Purchased Power Model '!P54</f>
        <v>318.8</v>
      </c>
      <c r="K54" s="107">
        <f>'Purchased Power Model '!L54</f>
        <v>16.7</v>
      </c>
      <c r="L54" s="36">
        <f>'Purchased Power Model '!O54</f>
        <v>172.3</v>
      </c>
      <c r="M54" s="10">
        <f t="shared" si="0"/>
        <v>4603093.9383708751</v>
      </c>
      <c r="N54" s="10"/>
      <c r="O54"/>
    </row>
    <row r="55" spans="1:15">
      <c r="A55" s="3">
        <v>41030</v>
      </c>
      <c r="B55" s="28">
        <f>'[14]Data Input'!H129+'[16]PSP less Loss factor'!G138</f>
        <v>4239849.1111721722</v>
      </c>
      <c r="C55" s="24">
        <f>'Purchased Power Model '!G55</f>
        <v>138.90000000000003</v>
      </c>
      <c r="D55" s="24">
        <f>'Purchased Power Model '!H55</f>
        <v>7.6</v>
      </c>
      <c r="E55" s="18">
        <f>'Purchased Power Model '!I55</f>
        <v>31</v>
      </c>
      <c r="F55" s="18">
        <f>'Purchased Power Model '!J55</f>
        <v>1</v>
      </c>
      <c r="G55" s="82">
        <f>'Purchased Power Model '!K55</f>
        <v>53</v>
      </c>
      <c r="H55" s="82">
        <f>'[14]Data Input'!J129+'[16]PSP less Loss factor'!H138</f>
        <v>2071</v>
      </c>
      <c r="I55" s="36">
        <f>'Purchased Power Model '!M55</f>
        <v>143.41617869627913</v>
      </c>
      <c r="J55" s="36">
        <f>'Purchased Power Model '!P55</f>
        <v>319</v>
      </c>
      <c r="K55" s="107">
        <f>'Purchased Power Model '!L55</f>
        <v>15.6</v>
      </c>
      <c r="L55" s="36">
        <f>'Purchased Power Model '!O55</f>
        <v>174.4</v>
      </c>
      <c r="M55" s="10">
        <f t="shared" si="0"/>
        <v>4161936.0152408108</v>
      </c>
      <c r="N55" s="10"/>
      <c r="O55"/>
    </row>
    <row r="56" spans="1:15">
      <c r="A56" s="3">
        <v>41061</v>
      </c>
      <c r="B56" s="28">
        <f>'[14]Data Input'!H130+'[16]PSP less Loss factor'!G139</f>
        <v>4376693.4016310498</v>
      </c>
      <c r="C56" s="24">
        <f>'Purchased Power Model '!G56</f>
        <v>55.099999999999994</v>
      </c>
      <c r="D56" s="24">
        <f>'Purchased Power Model '!H56</f>
        <v>47.5</v>
      </c>
      <c r="E56" s="18">
        <f>'Purchased Power Model '!I56</f>
        <v>30</v>
      </c>
      <c r="F56" s="18">
        <f>'Purchased Power Model '!J56</f>
        <v>0</v>
      </c>
      <c r="G56" s="82">
        <f>'Purchased Power Model '!K56</f>
        <v>54</v>
      </c>
      <c r="H56" s="82">
        <f>'[14]Data Input'!J130+'[16]PSP less Loss factor'!H139</f>
        <v>2063</v>
      </c>
      <c r="I56" s="36">
        <f>'Purchased Power Model '!M56</f>
        <v>143.61778554384387</v>
      </c>
      <c r="J56" s="36">
        <f>'Purchased Power Model '!P56</f>
        <v>319.2</v>
      </c>
      <c r="K56" s="107">
        <f>'Purchased Power Model '!L56</f>
        <v>14.4</v>
      </c>
      <c r="L56" s="36">
        <f>'Purchased Power Model '!O56</f>
        <v>176.1</v>
      </c>
      <c r="M56" s="10">
        <f t="shared" ref="M56:M119" si="1">$P$18+C56*$P$19+D56*$P$20+E56*$P$21+F56*$P$22+G56*$P$23+H56*$P$24</f>
        <v>4661295.6800907329</v>
      </c>
      <c r="N56" s="10"/>
      <c r="O56"/>
    </row>
    <row r="57" spans="1:15">
      <c r="A57" s="3">
        <v>41091</v>
      </c>
      <c r="B57" s="28">
        <f>'[14]Data Input'!H131+'[16]PSP less Loss factor'!G140</f>
        <v>5003984.0278767701</v>
      </c>
      <c r="C57" s="24">
        <f>'Purchased Power Model '!G57</f>
        <v>1.5</v>
      </c>
      <c r="D57" s="24">
        <f>'Purchased Power Model '!H57</f>
        <v>70.5</v>
      </c>
      <c r="E57" s="18">
        <f>'Purchased Power Model '!I57</f>
        <v>31</v>
      </c>
      <c r="F57" s="18">
        <f>'Purchased Power Model '!J57</f>
        <v>0</v>
      </c>
      <c r="G57" s="82">
        <f>'Purchased Power Model '!K57</f>
        <v>55</v>
      </c>
      <c r="H57" s="82">
        <f>'[14]Data Input'!J131+'[16]PSP less Loss factor'!H140</f>
        <v>2073</v>
      </c>
      <c r="I57" s="36">
        <f>'Purchased Power Model '!M57</f>
        <v>143.81967579960809</v>
      </c>
      <c r="J57" s="36">
        <f>'Purchased Power Model '!P57</f>
        <v>319.5</v>
      </c>
      <c r="K57" s="107">
        <f>'Purchased Power Model '!L57</f>
        <v>12.1</v>
      </c>
      <c r="L57" s="36">
        <f>'Purchased Power Model '!O57</f>
        <v>179.3</v>
      </c>
      <c r="M57" s="10">
        <f t="shared" si="1"/>
        <v>4910611.6127372971</v>
      </c>
      <c r="N57" s="10"/>
      <c r="O57"/>
    </row>
    <row r="58" spans="1:15">
      <c r="A58" s="3">
        <v>41122</v>
      </c>
      <c r="B58" s="28">
        <f>'[14]Data Input'!H132+'[16]PSP less Loss factor'!G141</f>
        <v>4748467.8448894443</v>
      </c>
      <c r="C58" s="24">
        <f>'Purchased Power Model '!G58</f>
        <v>31.199999999999996</v>
      </c>
      <c r="D58" s="24">
        <f>'Purchased Power Model '!H58</f>
        <v>45.8</v>
      </c>
      <c r="E58" s="18">
        <f>'Purchased Power Model '!I58</f>
        <v>31</v>
      </c>
      <c r="F58" s="18">
        <f>'Purchased Power Model '!J58</f>
        <v>0</v>
      </c>
      <c r="G58" s="82">
        <f>'Purchased Power Model '!K58</f>
        <v>56</v>
      </c>
      <c r="H58" s="82">
        <f>'[14]Data Input'!J132+'[16]PSP less Loss factor'!H141</f>
        <v>2071</v>
      </c>
      <c r="I58" s="36">
        <f>'Purchased Power Model '!M58</f>
        <v>144.02184986197204</v>
      </c>
      <c r="J58" s="36">
        <f>'Purchased Power Model '!P58</f>
        <v>319.8</v>
      </c>
      <c r="K58" s="107">
        <f>'Purchased Power Model '!L58</f>
        <v>12.1</v>
      </c>
      <c r="L58" s="36">
        <f>'Purchased Power Model '!O58</f>
        <v>178.6</v>
      </c>
      <c r="M58" s="10">
        <f t="shared" si="1"/>
        <v>4699384.8132606903</v>
      </c>
      <c r="N58" s="10"/>
      <c r="O58"/>
    </row>
    <row r="59" spans="1:15">
      <c r="A59" s="3">
        <v>41153</v>
      </c>
      <c r="B59" s="28">
        <f>'[14]Data Input'!H133+'[16]PSP less Loss factor'!G142</f>
        <v>4037940.831122213</v>
      </c>
      <c r="C59" s="24">
        <f>'Purchased Power Model '!G59</f>
        <v>147.29999999999998</v>
      </c>
      <c r="D59" s="24">
        <f>'Purchased Power Model '!H59</f>
        <v>10.399999999999999</v>
      </c>
      <c r="E59" s="18">
        <f>'Purchased Power Model '!I59</f>
        <v>30</v>
      </c>
      <c r="F59" s="18">
        <f>'Purchased Power Model '!J59</f>
        <v>1</v>
      </c>
      <c r="G59" s="82">
        <f>'Purchased Power Model '!K59</f>
        <v>57</v>
      </c>
      <c r="H59" s="82">
        <f>'[14]Data Input'!J133+'[16]PSP less Loss factor'!H142</f>
        <v>2072</v>
      </c>
      <c r="I59" s="36">
        <f>'Purchased Power Model '!M59</f>
        <v>144.22430812989595</v>
      </c>
      <c r="J59" s="36">
        <f>'Purchased Power Model '!P59</f>
        <v>320</v>
      </c>
      <c r="K59" s="107">
        <f>'Purchased Power Model '!L59</f>
        <v>12.5</v>
      </c>
      <c r="L59" s="36">
        <f>'Purchased Power Model '!O59</f>
        <v>173.9</v>
      </c>
      <c r="M59" s="10">
        <f t="shared" si="1"/>
        <v>4098172.4091804372</v>
      </c>
      <c r="N59" s="10"/>
      <c r="O59"/>
    </row>
    <row r="60" spans="1:15">
      <c r="A60" s="3">
        <v>41183</v>
      </c>
      <c r="B60" s="28">
        <f>'[14]Data Input'!H134+'[16]PSP less Loss factor'!G143</f>
        <v>4273145.8005661964</v>
      </c>
      <c r="C60" s="24">
        <f>'Purchased Power Model '!G60</f>
        <v>305.7</v>
      </c>
      <c r="D60" s="24">
        <f>'Purchased Power Model '!H60</f>
        <v>0</v>
      </c>
      <c r="E60" s="18">
        <f>'Purchased Power Model '!I60</f>
        <v>31</v>
      </c>
      <c r="F60" s="18">
        <f>'Purchased Power Model '!J60</f>
        <v>1</v>
      </c>
      <c r="G60" s="82">
        <f>'Purchased Power Model '!K60</f>
        <v>58</v>
      </c>
      <c r="H60" s="82">
        <f>'[14]Data Input'!J134+'[16]PSP less Loss factor'!H143</f>
        <v>2077</v>
      </c>
      <c r="I60" s="36">
        <f>'Purchased Power Model '!M60</f>
        <v>144.42705100290087</v>
      </c>
      <c r="J60" s="36">
        <f>'Purchased Power Model '!P60</f>
        <v>320.2</v>
      </c>
      <c r="K60" s="107">
        <f>'Purchased Power Model '!L60</f>
        <v>13.4</v>
      </c>
      <c r="L60" s="36">
        <f>'Purchased Power Model '!O60</f>
        <v>166.3</v>
      </c>
      <c r="M60" s="10">
        <f t="shared" si="1"/>
        <v>4487071.4755709162</v>
      </c>
      <c r="N60" s="10"/>
      <c r="O60"/>
    </row>
    <row r="61" spans="1:15">
      <c r="A61" s="3">
        <v>41214</v>
      </c>
      <c r="B61" s="28">
        <f>'[14]Data Input'!H135+'[16]PSP less Loss factor'!G144</f>
        <v>4827232.9185345564</v>
      </c>
      <c r="C61" s="24">
        <f>'Purchased Power Model '!G61</f>
        <v>529</v>
      </c>
      <c r="D61" s="24">
        <f>'Purchased Power Model '!H61</f>
        <v>0</v>
      </c>
      <c r="E61" s="18">
        <f>'Purchased Power Model '!I61</f>
        <v>30</v>
      </c>
      <c r="F61" s="18">
        <f>'Purchased Power Model '!J61</f>
        <v>1</v>
      </c>
      <c r="G61" s="82">
        <f>'Purchased Power Model '!K61</f>
        <v>59</v>
      </c>
      <c r="H61" s="82">
        <f>'[14]Data Input'!J135+'[16]PSP less Loss factor'!H144</f>
        <v>2066</v>
      </c>
      <c r="I61" s="36">
        <f>'Purchased Power Model '!M61</f>
        <v>144.63007888106955</v>
      </c>
      <c r="J61" s="36">
        <f>'Purchased Power Model '!P61</f>
        <v>320.39999999999998</v>
      </c>
      <c r="K61" s="107">
        <f>'Purchased Power Model '!L61</f>
        <v>12.9</v>
      </c>
      <c r="L61" s="36">
        <f>'Purchased Power Model '!O61</f>
        <v>162.19999999999999</v>
      </c>
      <c r="M61" s="10">
        <f t="shared" si="1"/>
        <v>4922795.113790446</v>
      </c>
      <c r="N61" s="10"/>
      <c r="O61"/>
    </row>
    <row r="62" spans="1:15">
      <c r="A62" s="3">
        <v>41244</v>
      </c>
      <c r="B62" s="28">
        <f>'[14]Data Input'!H136+'[16]PSP less Loss factor'!G145</f>
        <v>5433425.0769525394</v>
      </c>
      <c r="C62" s="24">
        <f>'Purchased Power Model '!G62</f>
        <v>630</v>
      </c>
      <c r="D62" s="24">
        <f>'Purchased Power Model '!H62</f>
        <v>0</v>
      </c>
      <c r="E62" s="18">
        <f>'Purchased Power Model '!I62</f>
        <v>31</v>
      </c>
      <c r="F62" s="18">
        <f>'Purchased Power Model '!J62</f>
        <v>0</v>
      </c>
      <c r="G62" s="82">
        <f>'Purchased Power Model '!K62</f>
        <v>60</v>
      </c>
      <c r="H62" s="82">
        <f>'[14]Data Input'!J136+'[16]PSP less Loss factor'!H145</f>
        <v>2064</v>
      </c>
      <c r="I62" s="36">
        <f>'Purchased Power Model '!M62</f>
        <v>144.83339216504706</v>
      </c>
      <c r="J62" s="36">
        <f>'Purchased Power Model '!P62</f>
        <v>320.60000000000002</v>
      </c>
      <c r="K62" s="107">
        <f>'Purchased Power Model '!L62</f>
        <v>13.4</v>
      </c>
      <c r="L62" s="36">
        <f>'Purchased Power Model '!O62</f>
        <v>159</v>
      </c>
      <c r="M62" s="10">
        <f t="shared" si="1"/>
        <v>5653156.3070535427</v>
      </c>
      <c r="N62" s="10"/>
      <c r="O62"/>
    </row>
    <row r="63" spans="1:15">
      <c r="A63" s="3">
        <v>41275</v>
      </c>
      <c r="B63" s="28">
        <f>'[14]Data Input'!H137+'[16]PSP less Loss factor'!G146</f>
        <v>5990978.1830770653</v>
      </c>
      <c r="C63" s="24">
        <f>'Purchased Power Model '!G63</f>
        <v>519.5</v>
      </c>
      <c r="D63" s="24">
        <f>'Purchased Power Model '!H63</f>
        <v>0</v>
      </c>
      <c r="E63" s="18">
        <f>'Purchased Power Model '!I63</f>
        <v>31</v>
      </c>
      <c r="F63" s="18">
        <f>'Purchased Power Model '!J63</f>
        <v>0</v>
      </c>
      <c r="G63" s="82">
        <f>'Purchased Power Model '!K63</f>
        <v>61</v>
      </c>
      <c r="H63" s="82">
        <f>'[14]Data Input'!J137+'[16]PSP less Loss factor'!H146</f>
        <v>2070</v>
      </c>
      <c r="I63" s="36">
        <f>'Purchased Power Model '!M63</f>
        <v>144.98936781896037</v>
      </c>
      <c r="J63" s="36">
        <f>'Purchased Power Model '!P63</f>
        <v>320.7</v>
      </c>
      <c r="K63" s="107">
        <f>'Purchased Power Model '!L63</f>
        <v>14.5</v>
      </c>
      <c r="L63" s="36">
        <f>'Purchased Power Model '!O63</f>
        <v>157.6</v>
      </c>
      <c r="M63" s="10">
        <f t="shared" si="1"/>
        <v>5379727.6701815408</v>
      </c>
      <c r="O63"/>
    </row>
    <row r="64" spans="1:15">
      <c r="A64" s="3">
        <v>41306</v>
      </c>
      <c r="B64" s="28">
        <f>'[14]Data Input'!H138+'[16]PSP less Loss factor'!G147</f>
        <v>5456789.2348653907</v>
      </c>
      <c r="C64" s="24">
        <f>'Purchased Power Model '!G64</f>
        <v>703.19999999999982</v>
      </c>
      <c r="D64" s="24">
        <f>'Purchased Power Model '!H64</f>
        <v>0</v>
      </c>
      <c r="E64" s="18">
        <f>'Purchased Power Model '!I64</f>
        <v>28</v>
      </c>
      <c r="F64" s="18">
        <f>'Purchased Power Model '!J64</f>
        <v>0</v>
      </c>
      <c r="G64" s="82">
        <f>'Purchased Power Model '!K64</f>
        <v>62</v>
      </c>
      <c r="H64" s="82">
        <f>'[14]Data Input'!J138+'[16]PSP less Loss factor'!H147</f>
        <v>2070</v>
      </c>
      <c r="I64" s="36">
        <f>'Purchased Power Model '!M64</f>
        <v>145.14551144798114</v>
      </c>
      <c r="J64" s="36">
        <f>'Purchased Power Model '!P64</f>
        <v>320.89999999999998</v>
      </c>
      <c r="K64" s="107">
        <f>'Purchased Power Model '!L64</f>
        <v>15.5</v>
      </c>
      <c r="L64" s="36">
        <f>'Purchased Power Model '!O64</f>
        <v>157.5</v>
      </c>
      <c r="M64" s="10">
        <f t="shared" si="1"/>
        <v>5483812.5826033223</v>
      </c>
      <c r="O64"/>
    </row>
    <row r="65" spans="1:15">
      <c r="A65" s="3">
        <v>41334</v>
      </c>
      <c r="B65" s="28">
        <f>'[14]Data Input'!H139+'[16]PSP less Loss factor'!G148</f>
        <v>4995805.5885271532</v>
      </c>
      <c r="C65" s="24">
        <f>'Purchased Power Model '!G65</f>
        <v>550.30000000000018</v>
      </c>
      <c r="D65" s="24">
        <f>'Purchased Power Model '!H65</f>
        <v>0</v>
      </c>
      <c r="E65" s="18">
        <f>'Purchased Power Model '!I65</f>
        <v>31</v>
      </c>
      <c r="F65" s="18">
        <f>'Purchased Power Model '!J65</f>
        <v>1</v>
      </c>
      <c r="G65" s="82">
        <f>'Purchased Power Model '!K65</f>
        <v>63</v>
      </c>
      <c r="H65" s="82">
        <f>'[14]Data Input'!J139+'[16]PSP less Loss factor'!H148</f>
        <v>2066</v>
      </c>
      <c r="I65" s="36">
        <f>'Purchased Power Model '!M65</f>
        <v>145.30182323300707</v>
      </c>
      <c r="J65" s="36">
        <f>'Purchased Power Model '!P65</f>
        <v>321.10000000000002</v>
      </c>
      <c r="K65" s="107">
        <f>'Purchased Power Model '!L65</f>
        <v>16.7</v>
      </c>
      <c r="L65" s="36">
        <f>'Purchased Power Model '!O65</f>
        <v>155.4</v>
      </c>
      <c r="M65" s="10">
        <f t="shared" si="1"/>
        <v>5092326.1776423352</v>
      </c>
      <c r="O65"/>
    </row>
    <row r="66" spans="1:15">
      <c r="A66" s="3">
        <v>41365</v>
      </c>
      <c r="B66" s="28">
        <f>'[14]Data Input'!H140+'[16]PSP less Loss factor'!G149</f>
        <v>4656536.9262521975</v>
      </c>
      <c r="C66" s="24">
        <f>'Purchased Power Model '!G66</f>
        <v>421.9</v>
      </c>
      <c r="D66" s="24">
        <f>'Purchased Power Model '!H66</f>
        <v>0</v>
      </c>
      <c r="E66" s="18">
        <f>'Purchased Power Model '!I66</f>
        <v>30</v>
      </c>
      <c r="F66" s="18">
        <f>'Purchased Power Model '!J66</f>
        <v>1</v>
      </c>
      <c r="G66" s="82">
        <f>'Purchased Power Model '!K66</f>
        <v>64</v>
      </c>
      <c r="H66" s="82">
        <f>'[14]Data Input'!J140+'[16]PSP less Loss factor'!H149</f>
        <v>2066</v>
      </c>
      <c r="I66" s="36">
        <f>'Purchased Power Model '!M66</f>
        <v>145.45830335513068</v>
      </c>
      <c r="J66" s="36">
        <f>'Purchased Power Model '!P66</f>
        <v>321.3</v>
      </c>
      <c r="K66" s="107">
        <f>'Purchased Power Model '!L66</f>
        <v>17.3</v>
      </c>
      <c r="L66" s="36">
        <f>'Purchased Power Model '!O66</f>
        <v>159.80000000000001</v>
      </c>
      <c r="M66" s="10">
        <f t="shared" si="1"/>
        <v>4657779.6657452751</v>
      </c>
      <c r="O66"/>
    </row>
    <row r="67" spans="1:15">
      <c r="A67" s="3">
        <v>41395</v>
      </c>
      <c r="B67" s="28">
        <f>'[14]Data Input'!H141+'[16]PSP less Loss factor'!G150</f>
        <v>4246080.0921879914</v>
      </c>
      <c r="C67" s="24">
        <f>'Purchased Power Model '!G67</f>
        <v>166.3</v>
      </c>
      <c r="D67" s="24">
        <f>'Purchased Power Model '!H67</f>
        <v>11.7</v>
      </c>
      <c r="E67" s="18">
        <f>'Purchased Power Model '!I67</f>
        <v>31</v>
      </c>
      <c r="F67" s="18">
        <f>'Purchased Power Model '!J67</f>
        <v>1</v>
      </c>
      <c r="G67" s="82">
        <f>'Purchased Power Model '!K67</f>
        <v>65</v>
      </c>
      <c r="H67" s="82">
        <f>'[14]Data Input'!J141+'[16]PSP less Loss factor'!H150</f>
        <v>2069</v>
      </c>
      <c r="I67" s="36">
        <f>'Purchased Power Model '!M67</f>
        <v>145.6149519956395</v>
      </c>
      <c r="J67" s="36">
        <f>'Purchased Power Model '!P67</f>
        <v>321.5</v>
      </c>
      <c r="K67" s="107">
        <f>'Purchased Power Model '!L67</f>
        <v>18.3</v>
      </c>
      <c r="L67" s="36">
        <f>'Purchased Power Model '!O67</f>
        <v>162.69999999999999</v>
      </c>
      <c r="M67" s="10">
        <f t="shared" si="1"/>
        <v>4276997.3813085612</v>
      </c>
      <c r="O67"/>
    </row>
    <row r="68" spans="1:15">
      <c r="A68" s="3">
        <v>41426</v>
      </c>
      <c r="B68" s="28">
        <f>'[14]Data Input'!H142+'[16]PSP less Loss factor'!G151</f>
        <v>4168037.0682283281</v>
      </c>
      <c r="C68" s="24">
        <f>'Purchased Power Model '!G68</f>
        <v>82.300000000000011</v>
      </c>
      <c r="D68" s="24">
        <f>'Purchased Power Model '!H68</f>
        <v>27.200000000000003</v>
      </c>
      <c r="E68" s="18">
        <f>'Purchased Power Model '!I68</f>
        <v>30</v>
      </c>
      <c r="F68" s="18">
        <f>'Purchased Power Model '!J68</f>
        <v>0</v>
      </c>
      <c r="G68" s="82">
        <f>'Purchased Power Model '!K68</f>
        <v>66</v>
      </c>
      <c r="H68" s="82">
        <f>'[14]Data Input'!J142+'[16]PSP less Loss factor'!H151</f>
        <v>2068</v>
      </c>
      <c r="I68" s="36">
        <f>'Purchased Power Model '!M68</f>
        <v>145.77176933601632</v>
      </c>
      <c r="J68" s="36">
        <f>'Purchased Power Model '!P68</f>
        <v>321.8</v>
      </c>
      <c r="K68" s="107">
        <f>'Purchased Power Model '!L68</f>
        <v>17.399999999999999</v>
      </c>
      <c r="L68" s="36">
        <f>'Purchased Power Model '!O68</f>
        <v>171</v>
      </c>
      <c r="M68" s="10">
        <f t="shared" si="1"/>
        <v>4494601.7935220031</v>
      </c>
      <c r="O68"/>
    </row>
    <row r="69" spans="1:15">
      <c r="A69" s="3">
        <v>41456</v>
      </c>
      <c r="B69" s="28">
        <f>'[14]Data Input'!H143+'[16]PSP less Loss factor'!G152</f>
        <v>4870843.5631575538</v>
      </c>
      <c r="C69" s="24">
        <f>'Purchased Power Model '!G69</f>
        <v>20.400000000000002</v>
      </c>
      <c r="D69" s="24">
        <f>'Purchased Power Model '!H69</f>
        <v>75.900000000000006</v>
      </c>
      <c r="E69" s="18">
        <f>'Purchased Power Model '!I69</f>
        <v>31</v>
      </c>
      <c r="F69" s="18">
        <f>'Purchased Power Model '!J69</f>
        <v>0</v>
      </c>
      <c r="G69" s="82">
        <f>'Purchased Power Model '!K69</f>
        <v>67</v>
      </c>
      <c r="H69" s="82">
        <f>'[14]Data Input'!J143+'[16]PSP less Loss factor'!H152</f>
        <v>2079</v>
      </c>
      <c r="I69" s="36">
        <f>'Purchased Power Model '!M69</f>
        <v>145.92875555793933</v>
      </c>
      <c r="J69" s="36">
        <f>'Purchased Power Model '!P69</f>
        <v>322</v>
      </c>
      <c r="K69" s="107">
        <f>'Purchased Power Model '!L69</f>
        <v>16.8</v>
      </c>
      <c r="L69" s="36">
        <f>'Purchased Power Model '!O69</f>
        <v>175.8</v>
      </c>
      <c r="M69" s="10">
        <f t="shared" si="1"/>
        <v>5019625.1898088269</v>
      </c>
      <c r="O69"/>
    </row>
    <row r="70" spans="1:15">
      <c r="A70" s="3">
        <v>41487</v>
      </c>
      <c r="B70" s="28">
        <f>'[14]Data Input'!H144+'[16]PSP less Loss factor'!G153</f>
        <v>4574760.8619363485</v>
      </c>
      <c r="C70" s="24">
        <f>'Purchased Power Model '!G70</f>
        <v>37.400000000000006</v>
      </c>
      <c r="D70" s="24">
        <f>'Purchased Power Model '!H70</f>
        <v>21.6</v>
      </c>
      <c r="E70" s="18">
        <f>'Purchased Power Model '!I70</f>
        <v>31</v>
      </c>
      <c r="F70" s="18">
        <f>'Purchased Power Model '!J70</f>
        <v>0</v>
      </c>
      <c r="G70" s="82">
        <f>'Purchased Power Model '!K70</f>
        <v>68</v>
      </c>
      <c r="H70" s="82">
        <f>'[14]Data Input'!J144+'[16]PSP less Loss factor'!H153</f>
        <v>2081</v>
      </c>
      <c r="I70" s="36">
        <f>'Purchased Power Model '!M70</f>
        <v>146.08591084328242</v>
      </c>
      <c r="J70" s="36">
        <f>'Purchased Power Model '!P70</f>
        <v>322.3</v>
      </c>
      <c r="K70" s="107">
        <f>'Purchased Power Model '!L70</f>
        <v>15.8</v>
      </c>
      <c r="L70" s="36">
        <f>'Purchased Power Model '!O70</f>
        <v>179.2</v>
      </c>
      <c r="M70" s="10">
        <f t="shared" si="1"/>
        <v>4435771.5641372008</v>
      </c>
      <c r="O70"/>
    </row>
    <row r="71" spans="1:15">
      <c r="A71" s="3">
        <v>41518</v>
      </c>
      <c r="B71" s="28">
        <f>'[14]Data Input'!H145+'[16]PSP less Loss factor'!G154</f>
        <v>3943107.5841530203</v>
      </c>
      <c r="C71" s="24">
        <f>'Purchased Power Model '!G71</f>
        <v>157.79999999999998</v>
      </c>
      <c r="D71" s="24">
        <f>'Purchased Power Model '!H71</f>
        <v>7.1</v>
      </c>
      <c r="E71" s="18">
        <f>'Purchased Power Model '!I71</f>
        <v>30</v>
      </c>
      <c r="F71" s="18">
        <f>'Purchased Power Model '!J71</f>
        <v>1</v>
      </c>
      <c r="G71" s="82">
        <f>'Purchased Power Model '!K71</f>
        <v>69</v>
      </c>
      <c r="H71" s="82">
        <f>'[14]Data Input'!J145+'[16]PSP less Loss factor'!H154</f>
        <v>2082</v>
      </c>
      <c r="I71" s="36">
        <f>'Purchased Power Model '!M71</f>
        <v>146.2432353741153</v>
      </c>
      <c r="J71" s="36">
        <f>'Purchased Power Model '!P71</f>
        <v>322.60000000000002</v>
      </c>
      <c r="K71" s="107">
        <f>'Purchased Power Model '!L71</f>
        <v>13.8</v>
      </c>
      <c r="L71" s="36">
        <f>'Purchased Power Model '!O71</f>
        <v>179.7</v>
      </c>
      <c r="M71" s="10">
        <f t="shared" si="1"/>
        <v>4086115.0049793581</v>
      </c>
      <c r="O71"/>
    </row>
    <row r="72" spans="1:15">
      <c r="A72" s="3">
        <v>41548</v>
      </c>
      <c r="B72" s="28">
        <f>'[14]Data Input'!H146+'[16]PSP less Loss factor'!G155</f>
        <v>4161222.2607428995</v>
      </c>
      <c r="C72" s="24">
        <f>'Purchased Power Model '!G72</f>
        <v>301.7</v>
      </c>
      <c r="D72" s="24">
        <f>'Purchased Power Model '!H72</f>
        <v>0</v>
      </c>
      <c r="E72" s="18">
        <f>'Purchased Power Model '!I72</f>
        <v>31</v>
      </c>
      <c r="F72" s="18">
        <f>'Purchased Power Model '!J72</f>
        <v>1</v>
      </c>
      <c r="G72" s="82">
        <f>'Purchased Power Model '!K72</f>
        <v>70</v>
      </c>
      <c r="H72" s="82">
        <f>'[14]Data Input'!J146+'[16]PSP less Loss factor'!H155</f>
        <v>2079</v>
      </c>
      <c r="I72" s="36">
        <f>'Purchased Power Model '!M72</f>
        <v>146.4007293327038</v>
      </c>
      <c r="J72" s="36">
        <f>'Purchased Power Model '!P72</f>
        <v>322.8</v>
      </c>
      <c r="K72" s="107">
        <f>'Purchased Power Model '!L72</f>
        <v>12</v>
      </c>
      <c r="L72" s="36">
        <f>'Purchased Power Model '!O72</f>
        <v>176.1</v>
      </c>
      <c r="M72" s="10">
        <f t="shared" si="1"/>
        <v>4477173.6063628793</v>
      </c>
      <c r="O72"/>
    </row>
    <row r="73" spans="1:15">
      <c r="A73" s="3">
        <v>41579</v>
      </c>
      <c r="B73" s="28">
        <f>'[14]Data Input'!H147+'[16]PSP less Loss factor'!G156</f>
        <v>4901201.7341465447</v>
      </c>
      <c r="C73" s="24">
        <f>'Purchased Power Model '!G73</f>
        <v>564.70000000000005</v>
      </c>
      <c r="D73" s="24">
        <f>'Purchased Power Model '!H73</f>
        <v>0</v>
      </c>
      <c r="E73" s="18">
        <f>'Purchased Power Model '!I73</f>
        <v>30</v>
      </c>
      <c r="F73" s="18">
        <f>'Purchased Power Model '!J73</f>
        <v>1</v>
      </c>
      <c r="G73" s="82">
        <f>'Purchased Power Model '!K73</f>
        <v>71</v>
      </c>
      <c r="H73" s="82">
        <f>'[14]Data Input'!J147+'[16]PSP less Loss factor'!H156</f>
        <v>2084</v>
      </c>
      <c r="I73" s="36">
        <f>'Purchased Power Model '!M73</f>
        <v>146.55839290151005</v>
      </c>
      <c r="J73" s="36">
        <f>'Purchased Power Model '!P73</f>
        <v>322.89999999999998</v>
      </c>
      <c r="K73" s="107">
        <f>'Purchased Power Model '!L73</f>
        <v>9.6999999999999993</v>
      </c>
      <c r="L73" s="36">
        <f>'Purchased Power Model '!O73</f>
        <v>172.5</v>
      </c>
      <c r="M73" s="10">
        <f t="shared" si="1"/>
        <v>5011133.5964721702</v>
      </c>
      <c r="O73"/>
    </row>
    <row r="74" spans="1:15">
      <c r="A74" s="3">
        <v>41609</v>
      </c>
      <c r="B74" s="28">
        <f>'[14]Data Input'!H148+'[16]PSP less Loss factor'!G157</f>
        <v>5886880.7046738835</v>
      </c>
      <c r="C74" s="24">
        <f>'Purchased Power Model '!G74</f>
        <v>848.00000000000011</v>
      </c>
      <c r="D74" s="24">
        <f>'Purchased Power Model '!H74</f>
        <v>0</v>
      </c>
      <c r="E74" s="18">
        <f>'Purchased Power Model '!I74</f>
        <v>31</v>
      </c>
      <c r="F74" s="18">
        <f>'Purchased Power Model '!J74</f>
        <v>0</v>
      </c>
      <c r="G74" s="82">
        <f>'Purchased Power Model '!K74</f>
        <v>72</v>
      </c>
      <c r="H74" s="82">
        <f>'[14]Data Input'!J148+'[16]PSP less Loss factor'!H157</f>
        <v>2084</v>
      </c>
      <c r="I74" s="36">
        <f>'Purchased Power Model '!M74</f>
        <v>146.71622626319265</v>
      </c>
      <c r="J74" s="36">
        <f>'Purchased Power Model '!P74</f>
        <v>323.10000000000002</v>
      </c>
      <c r="K74" s="107">
        <f>'Purchased Power Model '!L74</f>
        <v>9.9</v>
      </c>
      <c r="L74" s="36">
        <f>'Purchased Power Model '!O74</f>
        <v>167.8</v>
      </c>
      <c r="M74" s="10">
        <f t="shared" si="1"/>
        <v>6192590.17889152</v>
      </c>
      <c r="O74"/>
    </row>
    <row r="75" spans="1:15">
      <c r="A75" s="3">
        <v>41640</v>
      </c>
      <c r="B75" s="28">
        <f>'[14]Data Input'!H149+'[16]PSP less Loss factor'!G158</f>
        <v>6383202.7170219291</v>
      </c>
      <c r="C75" s="24">
        <f>'Purchased Power Model '!G75</f>
        <v>941.79999999999984</v>
      </c>
      <c r="D75" s="24">
        <f>'Purchased Power Model '!H75</f>
        <v>0</v>
      </c>
      <c r="E75" s="18">
        <f>'Purchased Power Model '!I75</f>
        <v>31</v>
      </c>
      <c r="F75" s="18">
        <f>'Purchased Power Model '!J75</f>
        <v>0</v>
      </c>
      <c r="G75" s="82">
        <f>'Purchased Power Model '!K75</f>
        <v>73</v>
      </c>
      <c r="H75" s="82">
        <f>'[14]Data Input'!J149+'[16]PSP less Loss factor'!H158</f>
        <v>2100</v>
      </c>
      <c r="I75" s="36">
        <f>'Purchased Power Model '!M75</f>
        <v>147.04232175221028</v>
      </c>
      <c r="J75" s="36">
        <f>'Purchased Power Model '!P75</f>
        <v>323.3</v>
      </c>
      <c r="K75" s="107">
        <f>'Purchased Power Model '!L75</f>
        <v>10.5</v>
      </c>
      <c r="L75" s="36">
        <f>'Purchased Power Model '!O75</f>
        <v>168.3</v>
      </c>
      <c r="M75" s="10">
        <f t="shared" si="1"/>
        <v>6424695.21181997</v>
      </c>
      <c r="N75" s="50"/>
      <c r="O75"/>
    </row>
    <row r="76" spans="1:15">
      <c r="A76" s="3">
        <v>41671</v>
      </c>
      <c r="B76" s="28">
        <f>'[14]Data Input'!H150+'[16]PSP less Loss factor'!G159</f>
        <v>5641962.1343843099</v>
      </c>
      <c r="C76" s="24">
        <f>'Purchased Power Model '!G76</f>
        <v>857.40000000000009</v>
      </c>
      <c r="D76" s="24">
        <f>'Purchased Power Model '!H76</f>
        <v>0</v>
      </c>
      <c r="E76" s="18">
        <f>'Purchased Power Model '!I76</f>
        <v>28</v>
      </c>
      <c r="F76" s="18">
        <f>'Purchased Power Model '!J76</f>
        <v>0</v>
      </c>
      <c r="G76" s="82">
        <f>'Purchased Power Model '!K76</f>
        <v>74</v>
      </c>
      <c r="H76" s="82">
        <f>'[14]Data Input'!J150+'[16]PSP less Loss factor'!H159</f>
        <v>2099</v>
      </c>
      <c r="I76" s="36">
        <f>'Purchased Power Model '!M76</f>
        <v>147.36914202996238</v>
      </c>
      <c r="J76" s="36">
        <f>'Purchased Power Model '!P76</f>
        <v>323.39999999999998</v>
      </c>
      <c r="K76" s="107">
        <f>'Purchased Power Model '!L76</f>
        <v>13</v>
      </c>
      <c r="L76" s="36">
        <f>'Purchased Power Model '!O76</f>
        <v>168.8</v>
      </c>
      <c r="M76" s="10">
        <f t="shared" si="1"/>
        <v>5865375.4405731214</v>
      </c>
      <c r="N76" s="50"/>
      <c r="O76"/>
    </row>
    <row r="77" spans="1:15">
      <c r="A77" s="3">
        <v>41699</v>
      </c>
      <c r="B77" s="28">
        <f>'[14]Data Input'!H151+'[16]PSP less Loss factor'!G160</f>
        <v>5855163.49531224</v>
      </c>
      <c r="C77" s="24">
        <f>'Purchased Power Model '!G77</f>
        <v>806.80000000000007</v>
      </c>
      <c r="D77" s="24">
        <f>'Purchased Power Model '!H77</f>
        <v>0</v>
      </c>
      <c r="E77" s="18">
        <f>'Purchased Power Model '!I77</f>
        <v>31</v>
      </c>
      <c r="F77" s="18">
        <f>'Purchased Power Model '!J77</f>
        <v>1</v>
      </c>
      <c r="G77" s="82">
        <f>'Purchased Power Model '!K77</f>
        <v>75</v>
      </c>
      <c r="H77" s="82">
        <f>'[14]Data Input'!J151+'[16]PSP less Loss factor'!H160</f>
        <v>2098</v>
      </c>
      <c r="I77" s="36">
        <f>'Purchased Power Model '!M77</f>
        <v>147.69668870738414</v>
      </c>
      <c r="J77" s="36">
        <f>'Purchased Power Model '!P77</f>
        <v>323.5</v>
      </c>
      <c r="K77" s="107">
        <f>'Purchased Power Model '!L77</f>
        <v>14.9</v>
      </c>
      <c r="L77" s="36">
        <f>'Purchased Power Model '!O77</f>
        <v>171.7</v>
      </c>
      <c r="M77" s="10">
        <f t="shared" si="1"/>
        <v>5727027.040607661</v>
      </c>
      <c r="N77" s="50"/>
      <c r="O77"/>
    </row>
    <row r="78" spans="1:15">
      <c r="A78" s="3">
        <v>41730</v>
      </c>
      <c r="B78" s="28">
        <f>'[14]Data Input'!H152+'[16]PSP less Loss factor'!G161</f>
        <v>4702930.33585901</v>
      </c>
      <c r="C78" s="24">
        <f>'Purchased Power Model '!G78</f>
        <v>371.6</v>
      </c>
      <c r="D78" s="24">
        <f>'Purchased Power Model '!H78</f>
        <v>0</v>
      </c>
      <c r="E78" s="18">
        <f>'Purchased Power Model '!I78</f>
        <v>30</v>
      </c>
      <c r="F78" s="18">
        <f>'Purchased Power Model '!J78</f>
        <v>1</v>
      </c>
      <c r="G78" s="82">
        <f>'Purchased Power Model '!K78</f>
        <v>76</v>
      </c>
      <c r="H78" s="82">
        <f>'[14]Data Input'!J152+'[16]PSP less Loss factor'!H161</f>
        <v>2107</v>
      </c>
      <c r="I78" s="36">
        <f>'Purchased Power Model '!M78</f>
        <v>148.02496339899133</v>
      </c>
      <c r="J78" s="36">
        <f>'Purchased Power Model '!P78</f>
        <v>323.7</v>
      </c>
      <c r="K78" s="107">
        <f>'Purchased Power Model '!L78</f>
        <v>15.8</v>
      </c>
      <c r="L78" s="36">
        <f>'Purchased Power Model '!O78</f>
        <v>174.1</v>
      </c>
      <c r="M78" s="10">
        <f t="shared" si="1"/>
        <v>4533313.960454219</v>
      </c>
      <c r="N78" s="50"/>
      <c r="O78"/>
    </row>
    <row r="79" spans="1:15">
      <c r="A79" s="3">
        <v>41760</v>
      </c>
      <c r="B79" s="28">
        <f>'[14]Data Input'!H153+'[16]PSP less Loss factor'!G162</f>
        <v>4157732.5021805898</v>
      </c>
      <c r="C79" s="24">
        <f>'Purchased Power Model '!G79</f>
        <v>196.5</v>
      </c>
      <c r="D79" s="24">
        <f>'Purchased Power Model '!H79</f>
        <v>0.30000000000000004</v>
      </c>
      <c r="E79" s="18">
        <f>'Purchased Power Model '!I79</f>
        <v>31</v>
      </c>
      <c r="F79" s="18">
        <f>'Purchased Power Model '!J79</f>
        <v>1</v>
      </c>
      <c r="G79" s="82">
        <f>'Purchased Power Model '!K79</f>
        <v>77</v>
      </c>
      <c r="H79" s="82">
        <f>'[14]Data Input'!J153+'[16]PSP less Loss factor'!H162</f>
        <v>2106</v>
      </c>
      <c r="I79" s="36">
        <f>'Purchased Power Model '!M79</f>
        <v>148.35396772288814</v>
      </c>
      <c r="J79" s="36">
        <f>'Purchased Power Model '!P79</f>
        <v>323.8</v>
      </c>
      <c r="K79" s="107">
        <f>'Purchased Power Model '!L79</f>
        <v>15.1</v>
      </c>
      <c r="L79" s="36">
        <f>'Purchased Power Model '!O79</f>
        <v>179.2</v>
      </c>
      <c r="M79" s="10">
        <f t="shared" si="1"/>
        <v>4220317.7653617226</v>
      </c>
      <c r="N79" s="50"/>
      <c r="O79"/>
    </row>
    <row r="80" spans="1:15">
      <c r="A80" s="3">
        <v>41791</v>
      </c>
      <c r="B80" s="28">
        <f>'[14]Data Input'!H154+'[16]PSP less Loss factor'!G163</f>
        <v>4245293.00994357</v>
      </c>
      <c r="C80" s="24">
        <f>'Purchased Power Model '!G80</f>
        <v>42.7</v>
      </c>
      <c r="D80" s="24">
        <f>'Purchased Power Model '!H80</f>
        <v>20.200000000000003</v>
      </c>
      <c r="E80" s="18">
        <f>'Purchased Power Model '!I80</f>
        <v>30</v>
      </c>
      <c r="F80" s="18">
        <f>'Purchased Power Model '!J80</f>
        <v>0</v>
      </c>
      <c r="G80" s="82">
        <f>'Purchased Power Model '!K80</f>
        <v>78</v>
      </c>
      <c r="H80" s="82">
        <f>'[14]Data Input'!J154+'[16]PSP less Loss factor'!H163</f>
        <v>2105</v>
      </c>
      <c r="I80" s="36">
        <f>'Purchased Power Model '!M80</f>
        <v>148.68370330077519</v>
      </c>
      <c r="J80" s="36">
        <f>'Purchased Power Model '!P80</f>
        <v>324</v>
      </c>
      <c r="K80" s="107">
        <f>'Purchased Power Model '!L80</f>
        <v>12.9</v>
      </c>
      <c r="L80" s="36">
        <f>'Purchased Power Model '!O80</f>
        <v>187.9</v>
      </c>
      <c r="M80" s="10">
        <f t="shared" si="1"/>
        <v>4315923.441057832</v>
      </c>
      <c r="N80" s="50"/>
      <c r="O80"/>
    </row>
    <row r="81" spans="1:36">
      <c r="A81" s="3">
        <v>41821</v>
      </c>
      <c r="B81" s="28">
        <f>'[14]Data Input'!H155+'[16]PSP less Loss factor'!G164</f>
        <v>4441903.9089212697</v>
      </c>
      <c r="C81" s="24">
        <f>'Purchased Power Model '!G81</f>
        <v>58.599999999999987</v>
      </c>
      <c r="D81" s="24">
        <f>'Purchased Power Model '!H81</f>
        <v>18.3</v>
      </c>
      <c r="E81" s="18">
        <f>'Purchased Power Model '!I81</f>
        <v>31</v>
      </c>
      <c r="F81" s="18">
        <f>'Purchased Power Model '!J81</f>
        <v>0</v>
      </c>
      <c r="G81" s="82">
        <f>'Purchased Power Model '!K81</f>
        <v>79</v>
      </c>
      <c r="H81" s="82">
        <f>'[14]Data Input'!J155+'[16]PSP less Loss factor'!H164</f>
        <v>2110</v>
      </c>
      <c r="I81" s="36">
        <f>'Purchased Power Model '!M81</f>
        <v>149.0141717579576</v>
      </c>
      <c r="J81" s="36">
        <f>'Purchased Power Model '!P81</f>
        <v>324.3</v>
      </c>
      <c r="K81" s="107">
        <f>'Purchased Power Model '!L81</f>
        <v>12.3</v>
      </c>
      <c r="L81" s="36">
        <f>'Purchased Power Model '!O81</f>
        <v>194.1</v>
      </c>
      <c r="M81" s="10">
        <f t="shared" si="1"/>
        <v>4450190.9600676186</v>
      </c>
      <c r="N81" s="50"/>
      <c r="O81"/>
    </row>
    <row r="82" spans="1:36">
      <c r="A82" s="3">
        <v>41852</v>
      </c>
      <c r="B82" s="28">
        <f>'[14]Data Input'!H156+'[16]PSP less Loss factor'!G165</f>
        <v>4367697.4063299093</v>
      </c>
      <c r="C82" s="24">
        <f>'Purchased Power Model '!G82</f>
        <v>43.800000000000004</v>
      </c>
      <c r="D82" s="24">
        <f>'Purchased Power Model '!H82</f>
        <v>24.400000000000002</v>
      </c>
      <c r="E82" s="18">
        <f>'Purchased Power Model '!I82</f>
        <v>31</v>
      </c>
      <c r="F82" s="18">
        <f>'Purchased Power Model '!J82</f>
        <v>0</v>
      </c>
      <c r="G82" s="82">
        <f>'Purchased Power Model '!K82</f>
        <v>80</v>
      </c>
      <c r="H82" s="82">
        <f>'[14]Data Input'!J156+'[16]PSP less Loss factor'!H165</f>
        <v>2112</v>
      </c>
      <c r="I82" s="36">
        <f>'Purchased Power Model '!M82</f>
        <v>149.34537472335285</v>
      </c>
      <c r="J82" s="36">
        <f>'Purchased Power Model '!P82</f>
        <v>324.5</v>
      </c>
      <c r="K82" s="107">
        <f>'Purchased Power Model '!L82</f>
        <v>11.7</v>
      </c>
      <c r="L82" s="36">
        <f>'Purchased Power Model '!O82</f>
        <v>197.7</v>
      </c>
      <c r="M82" s="10">
        <f t="shared" si="1"/>
        <v>4483883.9337919038</v>
      </c>
      <c r="N82" s="50"/>
      <c r="O82"/>
    </row>
    <row r="83" spans="1:36">
      <c r="A83" s="3">
        <v>41883</v>
      </c>
      <c r="B83" s="28">
        <f>'[14]Data Input'!H157+'[16]PSP less Loss factor'!G166</f>
        <v>3955556.4792089928</v>
      </c>
      <c r="C83" s="24">
        <f>'Purchased Power Model '!G83</f>
        <v>133.4</v>
      </c>
      <c r="D83" s="24">
        <f>'Purchased Power Model '!H83</f>
        <v>3.5</v>
      </c>
      <c r="E83" s="18">
        <f>'Purchased Power Model '!I83</f>
        <v>30</v>
      </c>
      <c r="F83" s="18">
        <f>'Purchased Power Model '!J83</f>
        <v>1</v>
      </c>
      <c r="G83" s="82">
        <f>'Purchased Power Model '!K83</f>
        <v>81</v>
      </c>
      <c r="H83" s="82">
        <f>'[14]Data Input'!J157+'[16]PSP less Loss factor'!H166</f>
        <v>2111</v>
      </c>
      <c r="I83" s="36">
        <f>'Purchased Power Model '!M83</f>
        <v>149.67731382949896</v>
      </c>
      <c r="J83" s="36">
        <f>'Purchased Power Model '!P83</f>
        <v>324.7</v>
      </c>
      <c r="K83" s="107">
        <f>'Purchased Power Model '!L83</f>
        <v>10.9</v>
      </c>
      <c r="L83" s="36">
        <f>'Purchased Power Model '!O83</f>
        <v>195.1</v>
      </c>
      <c r="M83" s="10">
        <f t="shared" si="1"/>
        <v>3984240.5727679646</v>
      </c>
      <c r="N83" s="50"/>
      <c r="O83"/>
    </row>
    <row r="84" spans="1:36">
      <c r="A84" s="3">
        <v>41913</v>
      </c>
      <c r="B84" s="28">
        <f>'[14]Data Input'!H158+'[16]PSP less Loss factor'!G167</f>
        <v>4172827.8742048298</v>
      </c>
      <c r="C84" s="24">
        <f>'Purchased Power Model '!G84</f>
        <v>280.3</v>
      </c>
      <c r="D84" s="24">
        <f>'Purchased Power Model '!H84</f>
        <v>0.3</v>
      </c>
      <c r="E84" s="18">
        <f>'Purchased Power Model '!I84</f>
        <v>31</v>
      </c>
      <c r="F84" s="18">
        <f>'Purchased Power Model '!J84</f>
        <v>1</v>
      </c>
      <c r="G84" s="82">
        <f>'Purchased Power Model '!K84</f>
        <v>82</v>
      </c>
      <c r="H84" s="82">
        <f>'[14]Data Input'!J158+'[16]PSP less Loss factor'!H167</f>
        <v>2114</v>
      </c>
      <c r="I84" s="36">
        <f>'Purchased Power Model '!M84</f>
        <v>150.00999071256246</v>
      </c>
      <c r="J84" s="36">
        <f>'Purchased Power Model '!P84</f>
        <v>324.8</v>
      </c>
      <c r="K84" s="107">
        <f>'Purchased Power Model '!L84</f>
        <v>10.199999999999999</v>
      </c>
      <c r="L84" s="36">
        <f>'Purchased Power Model '!O84</f>
        <v>194.1</v>
      </c>
      <c r="M84" s="10">
        <f t="shared" si="1"/>
        <v>4427678.1252700826</v>
      </c>
      <c r="N84" s="50"/>
      <c r="O84"/>
    </row>
    <row r="85" spans="1:36">
      <c r="A85" s="3">
        <v>41944</v>
      </c>
      <c r="B85" s="28">
        <f>'[14]Data Input'!H159+'[16]PSP less Loss factor'!G168</f>
        <v>4964751.8762327693</v>
      </c>
      <c r="C85" s="24">
        <f>'Purchased Power Model '!G85</f>
        <v>559.80000000000007</v>
      </c>
      <c r="D85" s="24">
        <f>'Purchased Power Model '!H85</f>
        <v>0</v>
      </c>
      <c r="E85" s="18">
        <f>'Purchased Power Model '!I85</f>
        <v>30</v>
      </c>
      <c r="F85" s="18">
        <f>'Purchased Power Model '!J85</f>
        <v>1</v>
      </c>
      <c r="G85" s="82">
        <f>'Purchased Power Model '!K85</f>
        <v>83</v>
      </c>
      <c r="H85" s="82">
        <f>'[14]Data Input'!J159+'[16]PSP less Loss factor'!H168</f>
        <v>2105</v>
      </c>
      <c r="I85" s="36">
        <f>'Purchased Power Model '!M85</f>
        <v>150.34340701234646</v>
      </c>
      <c r="J85" s="36">
        <f>'Purchased Power Model '!P85</f>
        <v>325</v>
      </c>
      <c r="K85" s="107">
        <f>'Purchased Power Model '!L85</f>
        <v>9.5</v>
      </c>
      <c r="L85" s="36">
        <f>'Purchased Power Model '!O85</f>
        <v>191.1</v>
      </c>
      <c r="M85" s="10">
        <f t="shared" si="1"/>
        <v>4999008.7066923259</v>
      </c>
      <c r="N85" s="50"/>
      <c r="O85"/>
    </row>
    <row r="86" spans="1:36">
      <c r="A86" s="3">
        <v>41974</v>
      </c>
      <c r="B86" s="28">
        <f>'[14]Data Input'!H160+'[16]PSP less Loss factor'!G169</f>
        <v>5554460.3599999994</v>
      </c>
      <c r="C86" s="24">
        <f>'Purchased Power Model '!G86</f>
        <v>663.1</v>
      </c>
      <c r="D86" s="24">
        <f>'Purchased Power Model '!H86</f>
        <v>0</v>
      </c>
      <c r="E86" s="18">
        <f>'Purchased Power Model '!I86</f>
        <v>31</v>
      </c>
      <c r="F86" s="18">
        <f>'Purchased Power Model '!J86</f>
        <v>0</v>
      </c>
      <c r="G86" s="82">
        <f>'Purchased Power Model '!K86</f>
        <v>84</v>
      </c>
      <c r="H86" s="82">
        <f>'[14]Data Input'!J160+'[16]PSP less Loss factor'!H169</f>
        <v>2105</v>
      </c>
      <c r="I86" s="36">
        <f>'Purchased Power Model '!M86</f>
        <v>150.67756437229883</v>
      </c>
      <c r="J86" s="36">
        <f>'Purchased Power Model '!P86</f>
        <v>325.10000000000002</v>
      </c>
      <c r="K86" s="107">
        <f>'Purchased Power Model '!L86</f>
        <v>11.1</v>
      </c>
      <c r="L86" s="36">
        <f>'Purchased Power Model '!O86</f>
        <v>190.5</v>
      </c>
      <c r="M86" s="10">
        <f t="shared" si="1"/>
        <v>5735061.1747500431</v>
      </c>
      <c r="N86" s="50"/>
      <c r="O86"/>
    </row>
    <row r="87" spans="1:36" s="15" customFormat="1">
      <c r="A87" s="3">
        <v>42005</v>
      </c>
      <c r="B87" s="28">
        <f>'[14]Data Input'!H161+'[16]PSP less Loss factor'!G170</f>
        <v>6273396.0733333332</v>
      </c>
      <c r="C87" s="24">
        <f>'Purchased Power Model '!G87</f>
        <v>801.2</v>
      </c>
      <c r="D87" s="24">
        <f>'Purchased Power Model '!H87</f>
        <v>0</v>
      </c>
      <c r="E87" s="18">
        <f>'Purchased Power Model '!I87</f>
        <v>31</v>
      </c>
      <c r="F87" s="18">
        <f>'Purchased Power Model '!J87</f>
        <v>0</v>
      </c>
      <c r="G87" s="82">
        <f>'Purchased Power Model '!K87</f>
        <v>85</v>
      </c>
      <c r="H87" s="82">
        <f>'[14]Data Input'!J161+'[16]PSP less Loss factor'!H170</f>
        <v>2120</v>
      </c>
      <c r="I87" s="36">
        <f>'Purchased Power Model '!M87</f>
        <v>150.98793548444445</v>
      </c>
      <c r="J87" s="36">
        <f>'Purchased Power Model '!P87</f>
        <v>325.2</v>
      </c>
      <c r="K87" s="107">
        <f>'Purchased Power Model '!L87</f>
        <v>13.4</v>
      </c>
      <c r="L87" s="36">
        <f>'Purchased Power Model '!O87</f>
        <v>187.3</v>
      </c>
      <c r="M87" s="10">
        <f t="shared" si="1"/>
        <v>6076785.1091574952</v>
      </c>
      <c r="N87" s="50"/>
      <c r="O87"/>
      <c r="P87"/>
      <c r="Q87"/>
      <c r="R87"/>
      <c r="S87"/>
      <c r="T87"/>
      <c r="U87"/>
      <c r="V87"/>
      <c r="W87"/>
      <c r="X87"/>
      <c r="Y87"/>
      <c r="Z87"/>
      <c r="AA87"/>
      <c r="AB87"/>
      <c r="AC87"/>
      <c r="AD87"/>
      <c r="AE87"/>
      <c r="AF87"/>
      <c r="AG87"/>
      <c r="AH87"/>
      <c r="AI87"/>
      <c r="AJ87" s="11"/>
    </row>
    <row r="88" spans="1:36">
      <c r="A88" s="3">
        <v>42036</v>
      </c>
      <c r="B88" s="28">
        <f>'[14]Data Input'!H162+'[16]PSP less Loss factor'!G171</f>
        <v>6052263.6033333326</v>
      </c>
      <c r="C88" s="24">
        <f>'Purchased Power Model '!G88</f>
        <v>987.99999999999977</v>
      </c>
      <c r="D88" s="24">
        <f>'Purchased Power Model '!H88</f>
        <v>0</v>
      </c>
      <c r="E88" s="18">
        <f>'Purchased Power Model '!I88</f>
        <v>28</v>
      </c>
      <c r="F88" s="18">
        <f>'Purchased Power Model '!J88</f>
        <v>0</v>
      </c>
      <c r="G88" s="82">
        <f>'Purchased Power Model '!K88</f>
        <v>86</v>
      </c>
      <c r="H88" s="82">
        <f>'[14]Data Input'!J162+'[16]PSP less Loss factor'!H171</f>
        <v>2119</v>
      </c>
      <c r="I88" s="36">
        <f>'Purchased Power Model '!M88</f>
        <v>151.298945910264</v>
      </c>
      <c r="J88" s="36">
        <f>'Purchased Power Model '!P88</f>
        <v>325.3</v>
      </c>
      <c r="K88" s="107">
        <f>'Purchased Power Model '!L88</f>
        <v>15.7</v>
      </c>
      <c r="L88" s="36">
        <f>'Purchased Power Model '!O88</f>
        <v>187.9</v>
      </c>
      <c r="M88" s="10">
        <f t="shared" si="1"/>
        <v>6188540.8702155054</v>
      </c>
      <c r="N88" s="50"/>
      <c r="O88"/>
    </row>
    <row r="89" spans="1:36">
      <c r="A89" s="3">
        <v>42064</v>
      </c>
      <c r="B89" s="28">
        <f>'[14]Data Input'!H163+'[16]PSP less Loss factor'!G172</f>
        <v>5608955.3133333335</v>
      </c>
      <c r="C89" s="100">
        <f>'Purchased Power Model '!G89</f>
        <v>742.8</v>
      </c>
      <c r="D89" s="100">
        <f>'Purchased Power Model '!H89</f>
        <v>0</v>
      </c>
      <c r="E89" s="18">
        <f>'Purchased Power Model '!I89</f>
        <v>31</v>
      </c>
      <c r="F89" s="18">
        <f>'Purchased Power Model '!J89</f>
        <v>1</v>
      </c>
      <c r="G89" s="82">
        <f>'Purchased Power Model '!K89</f>
        <v>87</v>
      </c>
      <c r="H89" s="82">
        <f>'[14]Data Input'!J163+'[16]PSP less Loss factor'!H172</f>
        <v>2117</v>
      </c>
      <c r="I89" s="36">
        <f>'Purchased Power Model '!M89</f>
        <v>151.61059696663892</v>
      </c>
      <c r="J89" s="36">
        <f>'Purchased Power Model '!P89</f>
        <v>325.39999999999998</v>
      </c>
      <c r="K89" s="107">
        <f>'Purchased Power Model '!L89</f>
        <v>17.7</v>
      </c>
      <c r="L89" s="36">
        <f>'Purchased Power Model '!O89</f>
        <v>187</v>
      </c>
      <c r="M89" s="10">
        <f t="shared" si="1"/>
        <v>5568661.1332790805</v>
      </c>
      <c r="N89" s="50"/>
      <c r="O89"/>
    </row>
    <row r="90" spans="1:36">
      <c r="A90" s="3">
        <v>42095</v>
      </c>
      <c r="B90" s="28">
        <f>'[14]Data Input'!H164+'[16]PSP less Loss factor'!G173</f>
        <v>4575738.7833333332</v>
      </c>
      <c r="C90" s="100">
        <f>'Purchased Power Model '!G90</f>
        <v>404.5</v>
      </c>
      <c r="D90" s="100">
        <f>'Purchased Power Model '!H90</f>
        <v>0</v>
      </c>
      <c r="E90" s="18">
        <f>'Purchased Power Model '!I90</f>
        <v>30</v>
      </c>
      <c r="F90" s="18">
        <f>'Purchased Power Model '!J90</f>
        <v>1</v>
      </c>
      <c r="G90" s="82">
        <f>'Purchased Power Model '!K90</f>
        <v>88</v>
      </c>
      <c r="H90" s="82">
        <f>'[14]Data Input'!J164+'[16]PSP less Loss factor'!H173</f>
        <v>2135</v>
      </c>
      <c r="I90" s="36">
        <f>'Purchased Power Model '!M90</f>
        <v>151.92288997316331</v>
      </c>
      <c r="J90" s="36">
        <f>'Purchased Power Model '!P90</f>
        <v>325.5</v>
      </c>
      <c r="K90" s="107">
        <f>'Purchased Power Model '!L90</f>
        <v>19.600000000000001</v>
      </c>
      <c r="L90" s="36">
        <f>'Purchased Power Model '!O90</f>
        <v>182.1</v>
      </c>
      <c r="M90" s="10">
        <f t="shared" si="1"/>
        <v>4614723.9346903171</v>
      </c>
      <c r="N90" s="50"/>
      <c r="O90"/>
    </row>
    <row r="91" spans="1:36">
      <c r="A91" s="3">
        <v>42125</v>
      </c>
      <c r="B91" s="28">
        <f>'[14]Data Input'!H165+'[16]PSP less Loss factor'!G174</f>
        <v>4211249.7833333332</v>
      </c>
      <c r="C91" s="100">
        <f>'Purchased Power Model '!G91</f>
        <v>157.99999999999997</v>
      </c>
      <c r="D91" s="100">
        <f>'Purchased Power Model '!H91</f>
        <v>17.199999999999996</v>
      </c>
      <c r="E91" s="18">
        <f>'Purchased Power Model '!I91</f>
        <v>31</v>
      </c>
      <c r="F91" s="18">
        <f>'Purchased Power Model '!J91</f>
        <v>1</v>
      </c>
      <c r="G91" s="82">
        <f>'Purchased Power Model '!K91</f>
        <v>89</v>
      </c>
      <c r="H91" s="82">
        <f>'[14]Data Input'!J165+'[16]PSP less Loss factor'!H174</f>
        <v>2136</v>
      </c>
      <c r="I91" s="36">
        <f>'Purchased Power Model '!M91</f>
        <v>152.23582625214937</v>
      </c>
      <c r="J91" s="36">
        <f>'Purchased Power Model '!P91</f>
        <v>325.60000000000002</v>
      </c>
      <c r="K91" s="107">
        <f>'Purchased Power Model '!L91</f>
        <v>20.100000000000001</v>
      </c>
      <c r="L91" s="36">
        <f>'Purchased Power Model '!O91</f>
        <v>174.7</v>
      </c>
      <c r="M91" s="10">
        <f t="shared" si="1"/>
        <v>4319858.1541555095</v>
      </c>
      <c r="N91" s="50"/>
      <c r="O91"/>
    </row>
    <row r="92" spans="1:36">
      <c r="A92" s="3">
        <v>42156</v>
      </c>
      <c r="B92" s="28">
        <f>'[14]Data Input'!H166+'[16]PSP less Loss factor'!G175</f>
        <v>4199520.1133333333</v>
      </c>
      <c r="C92" s="100">
        <f>'Purchased Power Model '!G92</f>
        <v>72.999999999999986</v>
      </c>
      <c r="D92" s="100">
        <f>'Purchased Power Model '!H92</f>
        <v>4</v>
      </c>
      <c r="E92" s="18">
        <f>'Purchased Power Model '!I92</f>
        <v>30</v>
      </c>
      <c r="F92" s="18">
        <f>'Purchased Power Model '!J92</f>
        <v>0</v>
      </c>
      <c r="G92" s="82">
        <f>'Purchased Power Model '!K92</f>
        <v>90</v>
      </c>
      <c r="H92" s="82">
        <f>'[14]Data Input'!J166+'[16]PSP less Loss factor'!H175</f>
        <v>2138</v>
      </c>
      <c r="I92" s="36">
        <f>'Purchased Power Model '!M92</f>
        <v>152.54940712863302</v>
      </c>
      <c r="J92" s="36">
        <f>'Purchased Power Model '!P92</f>
        <v>325.8</v>
      </c>
      <c r="K92" s="107">
        <f>'Purchased Power Model '!L92</f>
        <v>16.899999999999999</v>
      </c>
      <c r="L92" s="36">
        <f>'Purchased Power Model '!O92</f>
        <v>168.7</v>
      </c>
      <c r="M92" s="10">
        <f t="shared" si="1"/>
        <v>4204161.3651180323</v>
      </c>
      <c r="N92" s="50"/>
      <c r="O92"/>
    </row>
    <row r="93" spans="1:36">
      <c r="A93" s="3">
        <v>42186</v>
      </c>
      <c r="B93" s="28">
        <f>'[14]Data Input'!H167+'[16]PSP less Loss factor'!G176</f>
        <v>4833132.0333333332</v>
      </c>
      <c r="C93" s="100">
        <f>'Purchased Power Model '!G93</f>
        <v>25.999999999999993</v>
      </c>
      <c r="D93" s="100">
        <f>'Purchased Power Model '!H93</f>
        <v>48</v>
      </c>
      <c r="E93" s="18">
        <f>'Purchased Power Model '!I93</f>
        <v>31</v>
      </c>
      <c r="F93" s="18">
        <f>'Purchased Power Model '!J93</f>
        <v>0</v>
      </c>
      <c r="G93" s="82">
        <f>'Purchased Power Model '!K93</f>
        <v>91</v>
      </c>
      <c r="H93" s="82">
        <f>'[14]Data Input'!J167+'[16]PSP less Loss factor'!H176</f>
        <v>2139</v>
      </c>
      <c r="I93" s="36">
        <f>'Purchased Power Model '!M93</f>
        <v>152.86363393037959</v>
      </c>
      <c r="J93" s="36">
        <f>'Purchased Power Model '!P93</f>
        <v>326</v>
      </c>
      <c r="K93" s="107">
        <f>'Purchased Power Model '!L93</f>
        <v>12.9</v>
      </c>
      <c r="L93" s="36">
        <f>'Purchased Power Model '!O93</f>
        <v>166</v>
      </c>
      <c r="M93" s="10">
        <f t="shared" si="1"/>
        <v>4711877.1238716934</v>
      </c>
      <c r="N93" s="50"/>
      <c r="O93"/>
    </row>
    <row r="94" spans="1:36">
      <c r="A94" s="3">
        <v>42217</v>
      </c>
      <c r="B94" s="28">
        <f>'[14]Data Input'!H168+'[16]PSP less Loss factor'!G177</f>
        <v>4639927.2533333329</v>
      </c>
      <c r="C94" s="100">
        <f>'Purchased Power Model '!G94</f>
        <v>27.3</v>
      </c>
      <c r="D94" s="100">
        <f>'Purchased Power Model '!H94</f>
        <v>33.299999999999997</v>
      </c>
      <c r="E94" s="18">
        <f>'Purchased Power Model '!I94</f>
        <v>31</v>
      </c>
      <c r="F94" s="18">
        <f>'Purchased Power Model '!J94</f>
        <v>0</v>
      </c>
      <c r="G94" s="82">
        <f>'Purchased Power Model '!K94</f>
        <v>92</v>
      </c>
      <c r="H94" s="82">
        <f>'[14]Data Input'!J168+'[16]PSP less Loss factor'!H177</f>
        <v>2139</v>
      </c>
      <c r="I94" s="36">
        <f>'Purchased Power Model '!M94</f>
        <v>153.17850798788936</v>
      </c>
      <c r="J94" s="36">
        <f>'Purchased Power Model '!P94</f>
        <v>326.2</v>
      </c>
      <c r="K94" s="107">
        <f>'Purchased Power Model '!L94</f>
        <v>11.5</v>
      </c>
      <c r="L94" s="36">
        <f>'Purchased Power Model '!O94</f>
        <v>163.1</v>
      </c>
      <c r="M94" s="10">
        <f t="shared" si="1"/>
        <v>4545646.0920246188</v>
      </c>
      <c r="N94" s="50"/>
      <c r="O94"/>
    </row>
    <row r="95" spans="1:36">
      <c r="A95" s="3">
        <v>42248</v>
      </c>
      <c r="B95" s="28">
        <f>'[14]Data Input'!H169+'[16]PSP less Loss factor'!G178</f>
        <v>4347395.4133333331</v>
      </c>
      <c r="C95" s="100">
        <f>'Purchased Power Model '!G95</f>
        <v>61.5</v>
      </c>
      <c r="D95" s="100">
        <f>'Purchased Power Model '!H95</f>
        <v>41.000000000000007</v>
      </c>
      <c r="E95" s="18">
        <f>'Purchased Power Model '!I95</f>
        <v>30</v>
      </c>
      <c r="F95" s="18">
        <f>'Purchased Power Model '!J95</f>
        <v>1</v>
      </c>
      <c r="G95" s="82">
        <f>'Purchased Power Model '!K95</f>
        <v>93</v>
      </c>
      <c r="H95" s="82">
        <f>'[14]Data Input'!J169+'[16]PSP less Loss factor'!H178</f>
        <v>2137</v>
      </c>
      <c r="I95" s="36">
        <f>'Purchased Power Model '!M95</f>
        <v>153.4940306344032</v>
      </c>
      <c r="J95" s="36">
        <f>'Purchased Power Model '!P95</f>
        <v>326.39999999999998</v>
      </c>
      <c r="K95" s="107">
        <f>'Purchased Power Model '!L95</f>
        <v>11.3</v>
      </c>
      <c r="L95" s="36">
        <f>'Purchased Power Model '!O95</f>
        <v>159.80000000000001</v>
      </c>
      <c r="M95" s="10">
        <f t="shared" si="1"/>
        <v>4238591.2700282224</v>
      </c>
      <c r="N95" s="50"/>
      <c r="O95"/>
    </row>
    <row r="96" spans="1:36">
      <c r="A96" s="3">
        <v>42278</v>
      </c>
      <c r="B96" s="28">
        <f>'[14]Data Input'!H170+'[16]PSP less Loss factor'!G179</f>
        <v>3654710.9645665651</v>
      </c>
      <c r="C96" s="100">
        <f>'Purchased Power Model '!G96</f>
        <v>346.80000000000007</v>
      </c>
      <c r="D96" s="100">
        <f>'Purchased Power Model '!H96</f>
        <v>0</v>
      </c>
      <c r="E96" s="18">
        <f>'Purchased Power Model '!I96</f>
        <v>31</v>
      </c>
      <c r="F96" s="18">
        <f>'Purchased Power Model '!J96</f>
        <v>1</v>
      </c>
      <c r="G96" s="82">
        <f>'Purchased Power Model '!K96</f>
        <v>94</v>
      </c>
      <c r="H96" s="82">
        <f>'[14]Data Input'!J170+'[16]PSP less Loss factor'!H179</f>
        <v>2135</v>
      </c>
      <c r="I96" s="36">
        <f>'Purchased Power Model '!M96</f>
        <v>153.81020320590829</v>
      </c>
      <c r="J96" s="36">
        <f>'Purchased Power Model '!P96</f>
        <v>326.60000000000002</v>
      </c>
      <c r="K96" s="107">
        <f>'Purchased Power Model '!L96</f>
        <v>12</v>
      </c>
      <c r="L96" s="36">
        <f>'Purchased Power Model '!O96</f>
        <v>157.80000000000001</v>
      </c>
      <c r="M96" s="10">
        <f t="shared" si="1"/>
        <v>4588772.0816834886</v>
      </c>
      <c r="N96" s="50"/>
      <c r="O96"/>
    </row>
    <row r="97" spans="1:36">
      <c r="A97" s="3">
        <v>42309</v>
      </c>
      <c r="B97" s="28">
        <f>'[14]Data Input'!H171+'[16]PSP less Loss factor'!G180</f>
        <v>5088671.3021001015</v>
      </c>
      <c r="C97" s="100">
        <f>'Purchased Power Model '!G97</f>
        <v>426.4</v>
      </c>
      <c r="D97" s="100">
        <f>'Purchased Power Model '!H97</f>
        <v>0</v>
      </c>
      <c r="E97" s="18">
        <f>'Purchased Power Model '!I97</f>
        <v>30</v>
      </c>
      <c r="F97" s="18">
        <f>'Purchased Power Model '!J97</f>
        <v>1</v>
      </c>
      <c r="G97" s="82">
        <f>'Purchased Power Model '!K97</f>
        <v>95</v>
      </c>
      <c r="H97" s="82">
        <f>'[14]Data Input'!J171+'[16]PSP less Loss factor'!H180</f>
        <v>2138</v>
      </c>
      <c r="I97" s="36">
        <f>'Purchased Power Model '!M97</f>
        <v>154.12702704114372</v>
      </c>
      <c r="J97" s="36">
        <f>'Purchased Power Model '!P97</f>
        <v>326.8</v>
      </c>
      <c r="K97" s="107">
        <f>'Purchased Power Model '!L97</f>
        <v>11</v>
      </c>
      <c r="L97" s="36">
        <f>'Purchased Power Model '!O97</f>
        <v>156.9</v>
      </c>
      <c r="M97" s="10">
        <f t="shared" si="1"/>
        <v>4668914.7686043158</v>
      </c>
      <c r="N97" s="50"/>
      <c r="O97"/>
    </row>
    <row r="98" spans="1:36" s="33" customFormat="1">
      <c r="A98" s="3">
        <v>42339</v>
      </c>
      <c r="B98" s="28">
        <f>'[14]Data Input'!H172+'[16]PSP less Loss factor'!G181</f>
        <v>5007150.8033333328</v>
      </c>
      <c r="C98" s="100">
        <f>'Purchased Power Model '!G98</f>
        <v>513.80000000000007</v>
      </c>
      <c r="D98" s="100">
        <f>'Purchased Power Model '!H98</f>
        <v>0</v>
      </c>
      <c r="E98" s="18">
        <f>'Purchased Power Model '!I98</f>
        <v>31</v>
      </c>
      <c r="F98" s="18">
        <f>'Purchased Power Model '!J98</f>
        <v>0</v>
      </c>
      <c r="G98" s="82">
        <f>'Purchased Power Model '!K98</f>
        <v>96</v>
      </c>
      <c r="H98" s="82">
        <f>'[14]Data Input'!J172+'[16]PSP less Loss factor'!H181</f>
        <v>2138</v>
      </c>
      <c r="I98" s="36">
        <f>'Purchased Power Model '!M98</f>
        <v>154.44450348160629</v>
      </c>
      <c r="J98" s="36">
        <f>'Purchased Power Model '!P98</f>
        <v>326.89999999999998</v>
      </c>
      <c r="K98" s="107">
        <f>'Purchased Power Model '!L98</f>
        <v>10.5</v>
      </c>
      <c r="L98" s="36">
        <f>'Purchased Power Model '!O98</f>
        <v>155.69999999999999</v>
      </c>
      <c r="M98" s="10">
        <f t="shared" si="1"/>
        <v>5365623.2065600883</v>
      </c>
      <c r="N98" s="50"/>
      <c r="O98" s="103"/>
      <c r="P98"/>
      <c r="Q98"/>
      <c r="R98"/>
      <c r="S98"/>
      <c r="T98"/>
      <c r="U98"/>
      <c r="V98"/>
      <c r="W98"/>
      <c r="X98"/>
      <c r="Y98"/>
      <c r="Z98"/>
      <c r="AA98"/>
      <c r="AB98"/>
      <c r="AC98"/>
      <c r="AD98"/>
      <c r="AE98"/>
      <c r="AF98"/>
      <c r="AG98"/>
      <c r="AH98"/>
      <c r="AI98"/>
      <c r="AJ98" s="28"/>
    </row>
    <row r="99" spans="1:36">
      <c r="A99" s="3">
        <v>42370</v>
      </c>
      <c r="B99" s="28">
        <f>'[14]Data Input'!H173+'[16]PSP less Loss factor'!G182</f>
        <v>5964120.5233333334</v>
      </c>
      <c r="C99" s="100">
        <f>'Purchased Power Model '!G99</f>
        <v>730.95238095238085</v>
      </c>
      <c r="D99" s="100">
        <f>'Purchased Power Model '!H99</f>
        <v>0</v>
      </c>
      <c r="E99" s="18">
        <f>'Purchased Power Model '!I99</f>
        <v>31</v>
      </c>
      <c r="F99" s="18">
        <f>'Purchased Power Model '!J99</f>
        <v>0</v>
      </c>
      <c r="G99" s="82">
        <f>'Purchased Power Model '!K99</f>
        <v>97</v>
      </c>
      <c r="H99" s="82">
        <f>'[14]Data Input'!J173+'[16]PSP less Loss factor'!H182</f>
        <v>2138</v>
      </c>
      <c r="I99" s="36">
        <f>'Purchased Power Model '!M99</f>
        <v>154.72483615659849</v>
      </c>
      <c r="J99" s="36">
        <f>'Purchased Power Model '!P99</f>
        <v>327.10000000000002</v>
      </c>
      <c r="K99" s="107">
        <f>'Purchased Power Model '!L99</f>
        <v>8.5</v>
      </c>
      <c r="L99" s="36">
        <f>'Purchased Power Model '!O99</f>
        <v>156.69999999999999</v>
      </c>
      <c r="M99" s="10">
        <f t="shared" si="1"/>
        <v>5902959.6727801729</v>
      </c>
      <c r="N99" s="50"/>
    </row>
    <row r="100" spans="1:36">
      <c r="A100" s="3">
        <v>42401</v>
      </c>
      <c r="B100" s="28">
        <f>'[14]Data Input'!H174+'[16]PSP less Loss factor'!G183</f>
        <v>5638710.4033333333</v>
      </c>
      <c r="C100" s="100">
        <f>'Purchased Power Model '!G100</f>
        <v>731.14285714285688</v>
      </c>
      <c r="D100" s="100">
        <f>'Purchased Power Model '!H100</f>
        <v>0</v>
      </c>
      <c r="E100" s="18">
        <f>'Purchased Power Model '!I100</f>
        <v>29</v>
      </c>
      <c r="F100" s="18">
        <f>'Purchased Power Model '!J100</f>
        <v>0</v>
      </c>
      <c r="G100" s="82">
        <f>'Purchased Power Model '!K100</f>
        <v>98</v>
      </c>
      <c r="H100" s="82">
        <f>'[14]Data Input'!J174+'[16]PSP less Loss factor'!H183</f>
        <v>2140</v>
      </c>
      <c r="I100" s="36">
        <f>'Purchased Power Model '!M100</f>
        <v>155.00567766425806</v>
      </c>
      <c r="J100" s="36">
        <f>'Purchased Power Model '!P100</f>
        <v>327.2</v>
      </c>
      <c r="K100" s="107">
        <f>'Purchased Power Model '!L100</f>
        <v>8.1999999999999993</v>
      </c>
      <c r="L100" s="36">
        <f>'Purchased Power Model '!O100</f>
        <v>158.4</v>
      </c>
      <c r="M100" s="10">
        <f t="shared" si="1"/>
        <v>5669781.1792471269</v>
      </c>
      <c r="N100" s="50"/>
    </row>
    <row r="101" spans="1:36">
      <c r="A101" s="3">
        <v>42430</v>
      </c>
      <c r="B101" s="28">
        <f>'[14]Data Input'!H175+'[16]PSP less Loss factor'!G184</f>
        <v>5280569.1133333333</v>
      </c>
      <c r="C101" s="100">
        <f>'Purchased Power Model '!G101</f>
        <v>576.47619047619025</v>
      </c>
      <c r="D101" s="100">
        <f>'Purchased Power Model '!H101</f>
        <v>0</v>
      </c>
      <c r="E101" s="18">
        <f>'Purchased Power Model '!I101</f>
        <v>31</v>
      </c>
      <c r="F101" s="18">
        <f>'Purchased Power Model '!J101</f>
        <v>1</v>
      </c>
      <c r="G101" s="82">
        <f>'Purchased Power Model '!K101</f>
        <v>99</v>
      </c>
      <c r="H101" s="82">
        <f>'[14]Data Input'!J175+'[16]PSP less Loss factor'!H184</f>
        <v>2140</v>
      </c>
      <c r="I101" s="36">
        <f>'Purchased Power Model '!M101</f>
        <v>155.2870289281687</v>
      </c>
      <c r="J101" s="36">
        <f>'Purchased Power Model '!P101</f>
        <v>327.39999999999998</v>
      </c>
      <c r="K101" s="107">
        <f>'Purchased Power Model '!L101</f>
        <v>9.6999999999999993</v>
      </c>
      <c r="L101" s="36">
        <f>'Purchased Power Model '!O101</f>
        <v>163.4</v>
      </c>
      <c r="M101" s="10">
        <f t="shared" si="1"/>
        <v>5157098.3050668286</v>
      </c>
      <c r="N101" s="50"/>
    </row>
    <row r="102" spans="1:36">
      <c r="A102" s="3">
        <v>42461</v>
      </c>
      <c r="B102" s="28">
        <f>'[14]Data Input'!H176+'[16]PSP less Loss factor'!G185</f>
        <v>4823804.2533333339</v>
      </c>
      <c r="C102" s="100">
        <f>'Purchased Power Model '!G102</f>
        <v>454.28571428571411</v>
      </c>
      <c r="D102" s="100">
        <f>'Purchased Power Model '!H102</f>
        <v>0</v>
      </c>
      <c r="E102" s="18">
        <f>'Purchased Power Model '!I102</f>
        <v>30</v>
      </c>
      <c r="F102" s="18">
        <f>'Purchased Power Model '!J102</f>
        <v>1</v>
      </c>
      <c r="G102" s="82">
        <f>'Purchased Power Model '!K102</f>
        <v>100</v>
      </c>
      <c r="H102" s="82">
        <f>'[14]Data Input'!J176+'[16]PSP less Loss factor'!H185</f>
        <v>2141</v>
      </c>
      <c r="I102" s="36">
        <f>'Purchased Power Model '!M102</f>
        <v>155.56889087359048</v>
      </c>
      <c r="J102" s="36">
        <f>'Purchased Power Model '!P102</f>
        <v>327.5</v>
      </c>
      <c r="K102" s="107">
        <f>'Purchased Power Model '!L102</f>
        <v>9.9</v>
      </c>
      <c r="L102" s="36">
        <f>'Purchased Power Model '!O102</f>
        <v>162.69999999999999</v>
      </c>
      <c r="M102" s="10">
        <f t="shared" si="1"/>
        <v>4737917.056797483</v>
      </c>
      <c r="N102" s="50"/>
    </row>
    <row r="103" spans="1:36">
      <c r="A103" s="3">
        <v>42491</v>
      </c>
      <c r="B103" s="28">
        <f>'[14]Data Input'!H177+'[16]PSP less Loss factor'!G186</f>
        <v>4243596.3433333328</v>
      </c>
      <c r="C103" s="100">
        <f>'Purchased Power Model '!G103</f>
        <v>216.28571428571428</v>
      </c>
      <c r="D103" s="100">
        <f>'Purchased Power Model '!H103</f>
        <v>12.7</v>
      </c>
      <c r="E103" s="18">
        <f>'Purchased Power Model '!I103</f>
        <v>31</v>
      </c>
      <c r="F103" s="18">
        <f>'Purchased Power Model '!J103</f>
        <v>1</v>
      </c>
      <c r="G103" s="82">
        <f>'Purchased Power Model '!K103</f>
        <v>101</v>
      </c>
      <c r="H103" s="82">
        <f>'[14]Data Input'!J177+'[16]PSP less Loss factor'!H186</f>
        <v>2140</v>
      </c>
      <c r="I103" s="36">
        <f>'Purchased Power Model '!M103</f>
        <v>155.85126442746289</v>
      </c>
      <c r="J103" s="36">
        <f>'Purchased Power Model '!P103</f>
        <v>327.7</v>
      </c>
      <c r="K103" s="107">
        <f>'Purchased Power Model '!L103</f>
        <v>10.5</v>
      </c>
      <c r="L103" s="36">
        <f>'Purchased Power Model '!O103</f>
        <v>165.7</v>
      </c>
      <c r="M103" s="10">
        <f t="shared" si="1"/>
        <v>4412212.4607767873</v>
      </c>
      <c r="N103" s="50"/>
    </row>
    <row r="104" spans="1:36">
      <c r="A104" s="3">
        <v>42522</v>
      </c>
      <c r="B104" s="28">
        <f>'[14]Data Input'!H178+'[16]PSP less Loss factor'!G187</f>
        <v>4286092.1033333335</v>
      </c>
      <c r="C104" s="100">
        <f>'Purchased Power Model '!G104</f>
        <v>75.904761904761898</v>
      </c>
      <c r="D104" s="100">
        <f>'Purchased Power Model '!H104</f>
        <v>22</v>
      </c>
      <c r="E104" s="18">
        <f>'Purchased Power Model '!I104</f>
        <v>30</v>
      </c>
      <c r="F104" s="18">
        <f>'Purchased Power Model '!J104</f>
        <v>0</v>
      </c>
      <c r="G104" s="82">
        <f>'Purchased Power Model '!K104</f>
        <v>102</v>
      </c>
      <c r="H104" s="82">
        <f>'[14]Data Input'!J178+'[16]PSP less Loss factor'!H187</f>
        <v>2137</v>
      </c>
      <c r="I104" s="36">
        <f>'Purchased Power Model '!M104</f>
        <v>156.13415051840798</v>
      </c>
      <c r="J104" s="36">
        <f>'Purchased Power Model '!P104</f>
        <v>327.9</v>
      </c>
      <c r="K104" s="107">
        <f>'Purchased Power Model '!L104</f>
        <v>11.1</v>
      </c>
      <c r="L104" s="36">
        <f>'Purchased Power Model '!O104</f>
        <v>166.1</v>
      </c>
      <c r="M104" s="10">
        <f t="shared" si="1"/>
        <v>4418836.2536833473</v>
      </c>
      <c r="N104" s="50"/>
    </row>
    <row r="105" spans="1:36">
      <c r="A105" s="3">
        <v>42552</v>
      </c>
      <c r="B105" s="28">
        <f>'[14]Data Input'!H179+'[16]PSP less Loss factor'!G188</f>
        <v>4804769.8433333337</v>
      </c>
      <c r="C105" s="100">
        <f>'Purchased Power Model '!G105</f>
        <v>28.095238095238091</v>
      </c>
      <c r="D105" s="100">
        <f>'Purchased Power Model '!H105</f>
        <v>64.800000000000011</v>
      </c>
      <c r="E105" s="18">
        <f>'Purchased Power Model '!I105</f>
        <v>31</v>
      </c>
      <c r="F105" s="18">
        <f>'Purchased Power Model '!J105</f>
        <v>0</v>
      </c>
      <c r="G105" s="82">
        <f>'Purchased Power Model '!K105</f>
        <v>103</v>
      </c>
      <c r="H105" s="82">
        <f>'[14]Data Input'!J179+'[16]PSP less Loss factor'!H188</f>
        <v>2138</v>
      </c>
      <c r="I105" s="36">
        <f>'Purchased Power Model '!M105</f>
        <v>156.41755007673331</v>
      </c>
      <c r="J105" s="36">
        <f>'Purchased Power Model '!P105</f>
        <v>328.1</v>
      </c>
      <c r="K105" s="107">
        <f>'Purchased Power Model '!L105</f>
        <v>13.7</v>
      </c>
      <c r="L105" s="36">
        <f>'Purchased Power Model '!O105</f>
        <v>165.3</v>
      </c>
      <c r="M105" s="10">
        <f t="shared" si="1"/>
        <v>4910716.3955593538</v>
      </c>
      <c r="N105" s="50"/>
    </row>
    <row r="106" spans="1:36">
      <c r="A106" s="3">
        <v>42583</v>
      </c>
      <c r="B106" s="28">
        <f>'[14]Data Input'!H180+'[16]PSP less Loss factor'!G189</f>
        <v>4934060.0233333334</v>
      </c>
      <c r="C106" s="100">
        <f>'Purchased Power Model '!G106</f>
        <v>13.428571428571429</v>
      </c>
      <c r="D106" s="100">
        <f>'Purchased Power Model '!H106</f>
        <v>77.700000000000017</v>
      </c>
      <c r="E106" s="18">
        <f>'Purchased Power Model '!I106</f>
        <v>31</v>
      </c>
      <c r="F106" s="18">
        <f>'Purchased Power Model '!J106</f>
        <v>0</v>
      </c>
      <c r="G106" s="82">
        <f>'Purchased Power Model '!K106</f>
        <v>104</v>
      </c>
      <c r="H106" s="82">
        <f>'[14]Data Input'!J180+'[16]PSP less Loss factor'!H189</f>
        <v>2139</v>
      </c>
      <c r="I106" s="36">
        <f>'Purchased Power Model '!M106</f>
        <v>156.70146403443502</v>
      </c>
      <c r="J106" s="36">
        <f>'Purchased Power Model '!P106</f>
        <v>328.3</v>
      </c>
      <c r="K106" s="107">
        <f>'Purchased Power Model '!L106</f>
        <v>14.6</v>
      </c>
      <c r="L106" s="36">
        <f>'Purchased Power Model '!O106</f>
        <v>163.30000000000001</v>
      </c>
      <c r="M106" s="10">
        <f t="shared" si="1"/>
        <v>5023123.3327817209</v>
      </c>
      <c r="N106" s="50"/>
    </row>
    <row r="107" spans="1:36">
      <c r="A107" s="3">
        <v>42614</v>
      </c>
      <c r="B107" s="28">
        <f>'[14]Data Input'!H181+'[16]PSP less Loss factor'!G190</f>
        <v>4117268.2833333332</v>
      </c>
      <c r="C107" s="100">
        <f>'Purchased Power Model '!G107</f>
        <v>76.666666666666671</v>
      </c>
      <c r="D107" s="100">
        <f>'Purchased Power Model '!H107</f>
        <v>13.4</v>
      </c>
      <c r="E107" s="18">
        <f>'Purchased Power Model '!I107</f>
        <v>30</v>
      </c>
      <c r="F107" s="18">
        <f>'Purchased Power Model '!J107</f>
        <v>1</v>
      </c>
      <c r="G107" s="82">
        <f>'Purchased Power Model '!K107</f>
        <v>105</v>
      </c>
      <c r="H107" s="82">
        <f>'[14]Data Input'!J181+'[16]PSP less Loss factor'!H190</f>
        <v>2137</v>
      </c>
      <c r="I107" s="36">
        <f>'Purchased Power Model '!M107</f>
        <v>156.98589332520095</v>
      </c>
      <c r="J107" s="36">
        <f>'Purchased Power Model '!P107</f>
        <v>328.5</v>
      </c>
      <c r="K107" s="107">
        <f>'Purchased Power Model '!L107</f>
        <v>12.7</v>
      </c>
      <c r="L107" s="36">
        <f>'Purchased Power Model '!O107</f>
        <v>164.5</v>
      </c>
      <c r="M107" s="10">
        <f t="shared" si="1"/>
        <v>3957973.7271171734</v>
      </c>
      <c r="N107" s="50"/>
    </row>
    <row r="108" spans="1:36">
      <c r="A108" s="3">
        <v>42644</v>
      </c>
      <c r="B108" s="28">
        <f>'[14]Data Input'!H182+'[16]PSP less Loss factor'!G191</f>
        <v>4141245.833333333</v>
      </c>
      <c r="C108" s="100">
        <f>'Purchased Power Model '!G108</f>
        <v>287.71428571428578</v>
      </c>
      <c r="D108" s="100">
        <f>'Purchased Power Model '!H108</f>
        <v>0</v>
      </c>
      <c r="E108" s="18">
        <f>'Purchased Power Model '!I108</f>
        <v>31</v>
      </c>
      <c r="F108" s="18">
        <f>'Purchased Power Model '!J108</f>
        <v>1</v>
      </c>
      <c r="G108" s="82">
        <f>'Purchased Power Model '!K108</f>
        <v>106</v>
      </c>
      <c r="H108" s="82">
        <f>'[14]Data Input'!J182+'[16]PSP less Loss factor'!H191</f>
        <v>2132</v>
      </c>
      <c r="I108" s="36">
        <f>'Purchased Power Model '!M108</f>
        <v>157.27083888441365</v>
      </c>
      <c r="J108" s="36">
        <f>'Purchased Power Model '!P108</f>
        <v>328.7</v>
      </c>
      <c r="K108" s="107">
        <f>'Purchased Power Model '!L108</f>
        <v>9.6999999999999993</v>
      </c>
      <c r="L108" s="36">
        <f>'Purchased Power Model '!O108</f>
        <v>175.3</v>
      </c>
      <c r="M108" s="10">
        <f t="shared" si="1"/>
        <v>4442566.4136676388</v>
      </c>
      <c r="N108" s="50"/>
    </row>
    <row r="109" spans="1:36">
      <c r="A109" s="3">
        <v>42675</v>
      </c>
      <c r="B109" s="28">
        <f>'[14]Data Input'!H183+'[16]PSP less Loss factor'!G192</f>
        <v>4464495.7733333334</v>
      </c>
      <c r="C109" s="100">
        <f>'Purchased Power Model '!G109</f>
        <v>414.47619047619054</v>
      </c>
      <c r="D109" s="100">
        <f>'Purchased Power Model '!H109</f>
        <v>0</v>
      </c>
      <c r="E109" s="18">
        <f>'Purchased Power Model '!I109</f>
        <v>30</v>
      </c>
      <c r="F109" s="18">
        <f>'Purchased Power Model '!J109</f>
        <v>1</v>
      </c>
      <c r="G109" s="82">
        <f>'Purchased Power Model '!K109</f>
        <v>107</v>
      </c>
      <c r="H109" s="82">
        <f>'[14]Data Input'!J183+'[16]PSP less Loss factor'!H192</f>
        <v>2132</v>
      </c>
      <c r="I109" s="36">
        <f>'Purchased Power Model '!M109</f>
        <v>157.55630164915351</v>
      </c>
      <c r="J109" s="36"/>
      <c r="K109" s="107">
        <f>'Purchased Power Model '!L109</f>
        <v>8</v>
      </c>
      <c r="L109" s="36"/>
      <c r="M109" s="10">
        <f t="shared" si="1"/>
        <v>4639409.6918222653</v>
      </c>
      <c r="N109" s="50"/>
    </row>
    <row r="110" spans="1:36">
      <c r="A110" s="3">
        <v>42705</v>
      </c>
      <c r="B110" s="28">
        <f>'[14]Data Input'!H184+'[16]PSP less Loss factor'!G193</f>
        <v>5469968.833333333</v>
      </c>
      <c r="C110" s="100">
        <f>'Purchased Power Model '!G110</f>
        <v>679.71428571428578</v>
      </c>
      <c r="D110" s="100">
        <f>'Purchased Power Model '!H110</f>
        <v>0</v>
      </c>
      <c r="E110" s="18">
        <f>'Purchased Power Model '!I110</f>
        <v>31</v>
      </c>
      <c r="F110" s="18">
        <f>'Purchased Power Model '!J110</f>
        <v>0</v>
      </c>
      <c r="G110" s="82">
        <f>'Purchased Power Model '!K110</f>
        <v>108</v>
      </c>
      <c r="H110" s="82">
        <f>'[14]Data Input'!J184+'[16]PSP less Loss factor'!H193</f>
        <v>2138</v>
      </c>
      <c r="I110" s="36">
        <f>'Purchased Power Model '!M110</f>
        <v>157.84228255820162</v>
      </c>
      <c r="J110" s="36"/>
      <c r="K110" s="107">
        <f>'Purchased Power Model '!L110</f>
        <v>7.7</v>
      </c>
      <c r="L110" s="36"/>
      <c r="M110" s="10">
        <f t="shared" si="1"/>
        <v>5776172.6814962793</v>
      </c>
      <c r="N110" s="50"/>
    </row>
    <row r="111" spans="1:36">
      <c r="A111" s="3">
        <v>42736</v>
      </c>
      <c r="B111" s="28">
        <f>'[14]Data Input'!H185+'[16]PSP less Loss factor'!G194</f>
        <v>5827850.75</v>
      </c>
      <c r="C111" s="100">
        <f>'Purchased Power Model '!G111</f>
        <v>708.57142857142856</v>
      </c>
      <c r="D111" s="100">
        <f>'Purchased Power Model '!H111</f>
        <v>0</v>
      </c>
      <c r="E111" s="18">
        <f>'Purchased Power Model '!I111</f>
        <v>31</v>
      </c>
      <c r="F111" s="18">
        <f>'Purchased Power Model '!J111</f>
        <v>0</v>
      </c>
      <c r="G111" s="82">
        <f>'Purchased Power Model '!K111</f>
        <v>109</v>
      </c>
      <c r="H111" s="82">
        <f>'[14]Data Input'!J185+'[16]PSP less Loss factor'!H194</f>
        <v>2137</v>
      </c>
      <c r="I111" s="36">
        <f>'Purchased Power Model '!M111</f>
        <v>158.15454692394951</v>
      </c>
      <c r="J111" s="18"/>
      <c r="K111" s="107">
        <f>'Purchased Power Model '!L111</f>
        <v>10.3</v>
      </c>
      <c r="L111" s="18"/>
      <c r="M111" s="10">
        <f t="shared" si="1"/>
        <v>5847578.7379256841</v>
      </c>
      <c r="N111" s="50"/>
    </row>
    <row r="112" spans="1:36">
      <c r="A112" s="3">
        <v>42767</v>
      </c>
      <c r="B112" s="28">
        <f>'[14]Data Input'!H186+'[16]PSP less Loss factor'!G195</f>
        <v>4978369.75</v>
      </c>
      <c r="C112" s="100">
        <f>'Purchased Power Model '!G112</f>
        <v>617.14285714285711</v>
      </c>
      <c r="D112" s="100">
        <f>'Purchased Power Model '!H112</f>
        <v>0</v>
      </c>
      <c r="E112" s="18">
        <f>'Purchased Power Model '!I112</f>
        <v>28</v>
      </c>
      <c r="F112" s="18">
        <f>'Purchased Power Model '!J112</f>
        <v>0</v>
      </c>
      <c r="G112" s="82">
        <f>'Purchased Power Model '!K112</f>
        <v>110</v>
      </c>
      <c r="H112" s="82">
        <f>'[14]Data Input'!J186+'[16]PSP less Loss factor'!H195</f>
        <v>2146</v>
      </c>
      <c r="I112" s="36">
        <f>'Purchased Power Model '!M112</f>
        <v>158.46742905214063</v>
      </c>
      <c r="J112" s="18"/>
      <c r="K112" s="107">
        <f>'Purchased Power Model '!L112</f>
        <v>11</v>
      </c>
      <c r="L112" s="18"/>
      <c r="M112" s="10">
        <f t="shared" si="1"/>
        <v>5270866.9964989992</v>
      </c>
      <c r="N112" s="50"/>
    </row>
    <row r="113" spans="1:14">
      <c r="A113" s="3">
        <v>42795</v>
      </c>
      <c r="B113" s="28">
        <f>'[14]Data Input'!H187+'[16]PSP less Loss factor'!G196</f>
        <v>5656038.75</v>
      </c>
      <c r="C113" s="100">
        <f>'Purchased Power Model '!G113</f>
        <v>681.5238095238094</v>
      </c>
      <c r="D113" s="100">
        <f>'Purchased Power Model '!H113</f>
        <v>0</v>
      </c>
      <c r="E113" s="18">
        <f>'Purchased Power Model '!I113</f>
        <v>31</v>
      </c>
      <c r="F113" s="18">
        <f>'Purchased Power Model '!J113</f>
        <v>1</v>
      </c>
      <c r="G113" s="82">
        <f>'Purchased Power Model '!K113</f>
        <v>111</v>
      </c>
      <c r="H113" s="82">
        <f>'[14]Data Input'!J187+'[16]PSP less Loss factor'!H196</f>
        <v>2145</v>
      </c>
      <c r="I113" s="36">
        <f>'Purchased Power Model '!M113</f>
        <v>158.78093016491388</v>
      </c>
      <c r="J113" s="18"/>
      <c r="K113" s="107">
        <f>'Purchased Power Model '!L113</f>
        <v>12.2</v>
      </c>
      <c r="L113" s="18"/>
      <c r="M113" s="10">
        <f t="shared" si="1"/>
        <v>5417035.2035540668</v>
      </c>
      <c r="N113" s="50"/>
    </row>
    <row r="114" spans="1:14">
      <c r="A114" s="3">
        <v>42826</v>
      </c>
      <c r="B114" s="28">
        <f>'[14]Data Input'!H188+'[16]PSP less Loss factor'!G197</f>
        <v>4265325.75</v>
      </c>
      <c r="C114" s="100">
        <f>'Purchased Power Model '!G114</f>
        <v>335.71428571428567</v>
      </c>
      <c r="D114" s="100">
        <f>'Purchased Power Model '!H114</f>
        <v>0.1</v>
      </c>
      <c r="E114" s="18">
        <f>'Purchased Power Model '!I114</f>
        <v>30</v>
      </c>
      <c r="F114" s="18">
        <f>'Purchased Power Model '!J114</f>
        <v>1</v>
      </c>
      <c r="G114" s="82">
        <f>'Purchased Power Model '!K114</f>
        <v>112</v>
      </c>
      <c r="H114" s="82">
        <f>'[14]Data Input'!J188+'[16]PSP less Loss factor'!H197</f>
        <v>2145</v>
      </c>
      <c r="I114" s="36">
        <f>'Purchased Power Model '!M114</f>
        <v>159.09505148682601</v>
      </c>
      <c r="J114" s="18"/>
      <c r="K114" s="107">
        <f>'Purchased Power Model '!L114</f>
        <v>12</v>
      </c>
      <c r="L114" s="18"/>
      <c r="M114" s="10">
        <f t="shared" si="1"/>
        <v>4445668.640235045</v>
      </c>
      <c r="N114" s="50"/>
    </row>
    <row r="115" spans="1:14">
      <c r="A115" s="3">
        <v>42856</v>
      </c>
      <c r="B115" s="28">
        <f>'[14]Data Input'!H189+'[16]PSP less Loss factor'!G198</f>
        <v>4208776.75</v>
      </c>
      <c r="C115" s="100">
        <f>'Purchased Power Model '!G115</f>
        <v>226.7619047619047</v>
      </c>
      <c r="D115" s="100">
        <f>'Purchased Power Model '!H115</f>
        <v>5.1999999999999993</v>
      </c>
      <c r="E115" s="18">
        <f>'Purchased Power Model '!I115</f>
        <v>31</v>
      </c>
      <c r="F115" s="18">
        <f>'Purchased Power Model '!J115</f>
        <v>1</v>
      </c>
      <c r="G115" s="82">
        <f>'Purchased Power Model '!K115</f>
        <v>113</v>
      </c>
      <c r="H115" s="82">
        <f>'[14]Data Input'!J189+'[16]PSP less Loss factor'!H198</f>
        <v>2147</v>
      </c>
      <c r="I115" s="36">
        <f>'Purchased Power Model '!M115</f>
        <v>159.4097942448563</v>
      </c>
      <c r="J115" s="18"/>
      <c r="K115" s="107">
        <f>'Purchased Power Model '!L115</f>
        <v>12.5</v>
      </c>
      <c r="L115" s="18"/>
      <c r="M115" s="10">
        <f t="shared" si="1"/>
        <v>4351682.4723047977</v>
      </c>
      <c r="N115" s="50"/>
    </row>
    <row r="116" spans="1:14">
      <c r="A116" s="3">
        <v>42887</v>
      </c>
      <c r="B116" s="28">
        <f>'[14]Data Input'!H190+'[16]PSP less Loss factor'!G199</f>
        <v>4161453.75</v>
      </c>
      <c r="C116" s="100">
        <f>'Purchased Power Model '!G116</f>
        <v>84.571428571428584</v>
      </c>
      <c r="D116" s="100">
        <f>'Purchased Power Model '!H116</f>
        <v>19.7</v>
      </c>
      <c r="E116" s="18">
        <f>'Purchased Power Model '!I116</f>
        <v>30</v>
      </c>
      <c r="F116" s="18">
        <f>'Purchased Power Model '!J116</f>
        <v>0</v>
      </c>
      <c r="G116" s="82">
        <f>'Purchased Power Model '!K116</f>
        <v>114</v>
      </c>
      <c r="H116" s="82">
        <f>'[14]Data Input'!J190+'[16]PSP less Loss factor'!H199</f>
        <v>2149</v>
      </c>
      <c r="I116" s="36">
        <f>'Purchased Power Model '!M116</f>
        <v>159.72515966841141</v>
      </c>
      <c r="J116" s="18"/>
      <c r="K116" s="107">
        <f>'Purchased Power Model '!L116</f>
        <v>13.2</v>
      </c>
      <c r="L116" s="18"/>
      <c r="M116" s="10">
        <f t="shared" si="1"/>
        <v>4413769.3899959102</v>
      </c>
      <c r="N116" s="50"/>
    </row>
    <row r="117" spans="1:14">
      <c r="A117" s="3">
        <v>42917</v>
      </c>
      <c r="B117" s="28">
        <f>'[14]Data Input'!H191+'[16]PSP less Loss factor'!G200</f>
        <v>4603116.75</v>
      </c>
      <c r="C117" s="100">
        <f>'Purchased Power Model '!G117</f>
        <v>20.857142857142851</v>
      </c>
      <c r="D117" s="100">
        <f>'Purchased Power Model '!H117</f>
        <v>20.299999999999997</v>
      </c>
      <c r="E117" s="18">
        <f>'Purchased Power Model '!I117</f>
        <v>31</v>
      </c>
      <c r="F117" s="18">
        <f>'Purchased Power Model '!J117</f>
        <v>0</v>
      </c>
      <c r="G117" s="82">
        <f>'Purchased Power Model '!K117</f>
        <v>115</v>
      </c>
      <c r="H117" s="82">
        <f>'[14]Data Input'!J191+'[16]PSP less Loss factor'!H200</f>
        <v>2145</v>
      </c>
      <c r="I117" s="36">
        <f>'Purchased Power Model '!M117</f>
        <v>160.0411489893302</v>
      </c>
      <c r="J117" s="18"/>
      <c r="K117" s="107">
        <f>'Purchased Power Model '!L117</f>
        <v>11.3</v>
      </c>
      <c r="L117" s="18"/>
      <c r="M117" s="10">
        <f t="shared" si="1"/>
        <v>4379851.6219845368</v>
      </c>
      <c r="N117" s="50"/>
    </row>
    <row r="118" spans="1:14">
      <c r="A118" s="3">
        <v>42948</v>
      </c>
      <c r="B118" s="28">
        <f>'[14]Data Input'!H192+'[16]PSP less Loss factor'!G201</f>
        <v>4686232.75</v>
      </c>
      <c r="C118" s="100">
        <f>'Purchased Power Model '!G118</f>
        <v>59.619047619047613</v>
      </c>
      <c r="D118" s="100">
        <f>'Purchased Power Model '!H118</f>
        <v>19.399999999999999</v>
      </c>
      <c r="E118" s="18">
        <f>'Purchased Power Model '!I118</f>
        <v>31</v>
      </c>
      <c r="F118" s="18">
        <f>'Purchased Power Model '!J118</f>
        <v>0</v>
      </c>
      <c r="G118" s="82">
        <f>'Purchased Power Model '!K118</f>
        <v>116</v>
      </c>
      <c r="H118" s="82">
        <f>'[14]Data Input'!J192+'[16]PSP less Loss factor'!H201</f>
        <v>2143</v>
      </c>
      <c r="I118" s="36">
        <f>'Purchased Power Model '!M118</f>
        <v>160.35776344188849</v>
      </c>
      <c r="J118" s="18"/>
      <c r="K118" s="107">
        <f>'Purchased Power Model '!L118</f>
        <v>12.3</v>
      </c>
      <c r="L118" s="18"/>
      <c r="M118" s="10">
        <f t="shared" si="1"/>
        <v>4465392.3303708667</v>
      </c>
      <c r="N118" s="50"/>
    </row>
    <row r="119" spans="1:14">
      <c r="A119" s="3">
        <v>42979</v>
      </c>
      <c r="B119" s="28">
        <f>'[14]Data Input'!H193+'[16]PSP less Loss factor'!G202</f>
        <v>4189598.75</v>
      </c>
      <c r="C119" s="100">
        <f>'Purchased Power Model '!G119</f>
        <v>116.0952380952381</v>
      </c>
      <c r="D119" s="100">
        <f>'Purchased Power Model '!H119</f>
        <v>30</v>
      </c>
      <c r="E119" s="18">
        <f>'Purchased Power Model '!I119</f>
        <v>30</v>
      </c>
      <c r="F119" s="18">
        <f>'Purchased Power Model '!J119</f>
        <v>1</v>
      </c>
      <c r="G119" s="82">
        <f>'Purchased Power Model '!K119</f>
        <v>117</v>
      </c>
      <c r="H119" s="82">
        <f>'[14]Data Input'!J193+'[16]PSP less Loss factor'!H202</f>
        <v>2138</v>
      </c>
      <c r="I119" s="36">
        <f>'Purchased Power Model '!M119</f>
        <v>160.67500426280395</v>
      </c>
      <c r="J119" s="18"/>
      <c r="K119" s="107">
        <f>'Purchased Power Model '!L119</f>
        <v>10.8</v>
      </c>
      <c r="L119" s="18"/>
      <c r="M119" s="10">
        <f t="shared" si="1"/>
        <v>4246887.6986330403</v>
      </c>
      <c r="N119" s="50"/>
    </row>
    <row r="120" spans="1:14">
      <c r="A120" s="3">
        <v>43009</v>
      </c>
      <c r="B120" s="28">
        <f>'[14]Data Input'!H194+'[16]PSP less Loss factor'!G203</f>
        <v>4067231.75</v>
      </c>
      <c r="C120" s="100">
        <f>'Purchased Power Model '!G120</f>
        <v>232.19047619047618</v>
      </c>
      <c r="D120" s="100">
        <f>'Purchased Power Model '!H120</f>
        <v>0</v>
      </c>
      <c r="E120" s="18">
        <f>'Purchased Power Model '!I120</f>
        <v>31</v>
      </c>
      <c r="F120" s="18">
        <f>'Purchased Power Model '!J120</f>
        <v>1</v>
      </c>
      <c r="G120" s="82">
        <f>'Purchased Power Model '!K120</f>
        <v>118</v>
      </c>
      <c r="H120" s="82">
        <f>'[14]Data Input'!J194+'[16]PSP less Loss factor'!H203</f>
        <v>2146</v>
      </c>
      <c r="I120" s="36">
        <f>'Purchased Power Model '!M120</f>
        <v>160.99287269124085</v>
      </c>
      <c r="J120" s="18"/>
      <c r="K120" s="107">
        <f>'Purchased Power Model '!L120</f>
        <v>10.7</v>
      </c>
      <c r="L120" s="18"/>
      <c r="M120" s="10">
        <f t="shared" ref="M120:M146" si="2">$P$18+C120*$P$19+D120*$P$20+E120*$P$21+F120*$P$22+G120*$P$23+H120*$P$24</f>
        <v>4305174.5625179922</v>
      </c>
      <c r="N120" s="50"/>
    </row>
    <row r="121" spans="1:14">
      <c r="A121" s="3">
        <v>43040</v>
      </c>
      <c r="B121" s="28">
        <f>'[14]Data Input'!H195+'[16]PSP less Loss factor'!G204</f>
        <v>4953100.75</v>
      </c>
      <c r="C121" s="100">
        <f>'Purchased Power Model '!G121</f>
        <v>356</v>
      </c>
      <c r="D121" s="100">
        <f>'Purchased Power Model '!H121</f>
        <v>0</v>
      </c>
      <c r="E121" s="18">
        <f>'Purchased Power Model '!I121</f>
        <v>30</v>
      </c>
      <c r="F121" s="18">
        <f>'Purchased Power Model '!J121</f>
        <v>1</v>
      </c>
      <c r="G121" s="82">
        <f>'Purchased Power Model '!K121</f>
        <v>119</v>
      </c>
      <c r="H121" s="82">
        <f>'[14]Data Input'!J195+'[16]PSP less Loss factor'!H204</f>
        <v>2146</v>
      </c>
      <c r="I121" s="36">
        <f>'Purchased Power Model '!M121</f>
        <v>161.31136996881492</v>
      </c>
      <c r="J121" s="18"/>
      <c r="K121" s="107">
        <f>'Purchased Power Model '!L121</f>
        <v>9.4</v>
      </c>
      <c r="L121" s="18"/>
      <c r="M121" s="10">
        <f t="shared" si="2"/>
        <v>4494712.2705428777</v>
      </c>
      <c r="N121" s="50"/>
    </row>
    <row r="122" spans="1:14">
      <c r="A122" s="3">
        <v>43070</v>
      </c>
      <c r="B122" s="28">
        <f>'[14]Data Input'!H196+'[16]PSP less Loss factor'!G205</f>
        <v>5988255.75</v>
      </c>
      <c r="C122" s="100">
        <f>'Purchased Power Model '!G122</f>
        <v>843.04761904761892</v>
      </c>
      <c r="D122" s="100">
        <f>'Purchased Power Model '!H122</f>
        <v>0</v>
      </c>
      <c r="E122" s="18">
        <f>'Purchased Power Model '!I122</f>
        <v>31</v>
      </c>
      <c r="F122" s="18">
        <f>'Purchased Power Model '!J122</f>
        <v>0</v>
      </c>
      <c r="G122" s="82">
        <f>'Purchased Power Model '!K122</f>
        <v>120</v>
      </c>
      <c r="H122" s="82">
        <f>'[14]Data Input'!J196+'[16]PSP less Loss factor'!H205</f>
        <v>2146</v>
      </c>
      <c r="I122" s="36">
        <f>'Purchased Power Model '!M122</f>
        <v>161.63049733959846</v>
      </c>
      <c r="J122" s="18"/>
      <c r="K122" s="107">
        <f>'Purchased Power Model '!L122</f>
        <v>9.6</v>
      </c>
      <c r="L122" s="18"/>
      <c r="M122" s="10">
        <f t="shared" si="2"/>
        <v>6180335.674157761</v>
      </c>
      <c r="N122" s="50"/>
    </row>
    <row r="123" spans="1:14">
      <c r="A123" s="3">
        <v>43101</v>
      </c>
      <c r="C123" s="100">
        <f>'Purchased Power Model '!G123</f>
        <v>784.93238095238098</v>
      </c>
      <c r="D123" s="100">
        <f>'Purchased Power Model '!H123</f>
        <v>0</v>
      </c>
      <c r="E123" s="18">
        <f>'Purchased Power Model '!I123</f>
        <v>31</v>
      </c>
      <c r="F123" s="18">
        <f>'Purchased Power Model '!J123</f>
        <v>0</v>
      </c>
      <c r="G123" s="82">
        <f>'Purchased Power Model '!K123</f>
        <v>121</v>
      </c>
      <c r="H123" s="82">
        <f>H122+1</f>
        <v>2147</v>
      </c>
      <c r="I123" s="36">
        <f>'Purchased Power Model '!M123</f>
        <v>161.95025605012432</v>
      </c>
      <c r="J123" s="18"/>
      <c r="K123" s="107">
        <f>'Purchased Power Model '!L123</f>
        <v>0</v>
      </c>
      <c r="L123" s="18"/>
      <c r="M123" s="10">
        <f t="shared" si="2"/>
        <v>6036531.4177426221</v>
      </c>
      <c r="N123" s="50"/>
    </row>
    <row r="124" spans="1:14">
      <c r="A124" s="3">
        <v>43132</v>
      </c>
      <c r="C124" s="100">
        <f>'Purchased Power Model '!G124</f>
        <v>739.71857142857129</v>
      </c>
      <c r="D124" s="100">
        <f>'Purchased Power Model '!H124</f>
        <v>0</v>
      </c>
      <c r="E124" s="18">
        <f>'Purchased Power Model '!I124</f>
        <v>28</v>
      </c>
      <c r="F124" s="18">
        <f>'Purchased Power Model '!J124</f>
        <v>0</v>
      </c>
      <c r="G124" s="82">
        <f>'Purchased Power Model '!K124</f>
        <v>122</v>
      </c>
      <c r="H124" s="82">
        <f t="shared" ref="H124:H146" si="3">H123+1</f>
        <v>2148</v>
      </c>
      <c r="I124" s="36">
        <f>'Purchased Power Model '!M124</f>
        <v>162.27064734939202</v>
      </c>
      <c r="J124" s="18"/>
      <c r="K124" s="107">
        <f>'Purchased Power Model '!L124</f>
        <v>0</v>
      </c>
      <c r="L124" s="18"/>
      <c r="M124" s="10">
        <f t="shared" si="2"/>
        <v>5574176.5935194045</v>
      </c>
      <c r="N124" s="50"/>
    </row>
    <row r="125" spans="1:14">
      <c r="A125" s="3">
        <v>43160</v>
      </c>
      <c r="C125" s="100">
        <f>'Purchased Power Model '!G125</f>
        <v>622.95999999999992</v>
      </c>
      <c r="D125" s="100">
        <f>'Purchased Power Model '!H125</f>
        <v>0</v>
      </c>
      <c r="E125" s="18">
        <f>'Purchased Power Model '!I125</f>
        <v>31</v>
      </c>
      <c r="F125" s="18">
        <f>'Purchased Power Model '!J125</f>
        <v>1</v>
      </c>
      <c r="G125" s="82">
        <f>'Purchased Power Model '!K125</f>
        <v>123</v>
      </c>
      <c r="H125" s="82">
        <f t="shared" si="3"/>
        <v>2149</v>
      </c>
      <c r="I125" s="36">
        <f>'Purchased Power Model '!M125</f>
        <v>162.59167248887184</v>
      </c>
      <c r="J125" s="18"/>
      <c r="K125" s="107">
        <f>'Purchased Power Model '!L125</f>
        <v>0</v>
      </c>
      <c r="L125" s="18"/>
      <c r="M125" s="10">
        <f t="shared" si="2"/>
        <v>5272120.9718063129</v>
      </c>
      <c r="N125" s="50"/>
    </row>
    <row r="126" spans="1:14">
      <c r="A126" s="3">
        <v>43191</v>
      </c>
      <c r="C126" s="100">
        <f>'Purchased Power Model '!G126</f>
        <v>379.45</v>
      </c>
      <c r="D126" s="100">
        <f>'Purchased Power Model '!H126</f>
        <v>0.01</v>
      </c>
      <c r="E126" s="18">
        <f>'Purchased Power Model '!I126</f>
        <v>30</v>
      </c>
      <c r="F126" s="18">
        <f>'Purchased Power Model '!J126</f>
        <v>1</v>
      </c>
      <c r="G126" s="82">
        <f>'Purchased Power Model '!K126</f>
        <v>124</v>
      </c>
      <c r="H126" s="82">
        <f t="shared" si="3"/>
        <v>2150</v>
      </c>
      <c r="I126" s="36">
        <f>'Purchased Power Model '!M126</f>
        <v>162.91333272250986</v>
      </c>
      <c r="J126" s="18"/>
      <c r="K126" s="107">
        <f>'Purchased Power Model '!L126</f>
        <v>0</v>
      </c>
      <c r="L126" s="18"/>
      <c r="M126" s="10">
        <f t="shared" si="2"/>
        <v>4552853.7994139967</v>
      </c>
      <c r="N126" s="50"/>
    </row>
    <row r="127" spans="1:14">
      <c r="A127" s="3">
        <v>43221</v>
      </c>
      <c r="C127" s="100">
        <f>'Purchased Power Model '!G127</f>
        <v>190.97476190476192</v>
      </c>
      <c r="D127" s="100">
        <f>'Purchased Power Model '!H127</f>
        <v>8.77</v>
      </c>
      <c r="E127" s="18">
        <f>'Purchased Power Model '!I127</f>
        <v>31</v>
      </c>
      <c r="F127" s="18">
        <f>'Purchased Power Model '!J127</f>
        <v>1</v>
      </c>
      <c r="G127" s="82">
        <f>'Purchased Power Model '!K127</f>
        <v>125</v>
      </c>
      <c r="H127" s="82">
        <f t="shared" si="3"/>
        <v>2151</v>
      </c>
      <c r="I127" s="36">
        <f>'Purchased Power Model '!M127</f>
        <v>163.23562930673287</v>
      </c>
      <c r="J127" s="18"/>
      <c r="K127" s="107">
        <f>'Purchased Power Model '!L127</f>
        <v>0</v>
      </c>
      <c r="L127" s="18"/>
      <c r="M127" s="10">
        <f t="shared" si="2"/>
        <v>4304279.9755978221</v>
      </c>
      <c r="N127" s="50"/>
    </row>
    <row r="128" spans="1:14">
      <c r="A128" s="3">
        <v>43252</v>
      </c>
      <c r="C128" s="100">
        <f>'Purchased Power Model '!G128</f>
        <v>69.127619047619049</v>
      </c>
      <c r="D128" s="100">
        <f>'Purchased Power Model '!H128</f>
        <v>22.15</v>
      </c>
      <c r="E128" s="18">
        <f>'Purchased Power Model '!I128</f>
        <v>30</v>
      </c>
      <c r="F128" s="18">
        <f>'Purchased Power Model '!J128</f>
        <v>0</v>
      </c>
      <c r="G128" s="82">
        <f>'Purchased Power Model '!K128</f>
        <v>126</v>
      </c>
      <c r="H128" s="82">
        <f t="shared" si="3"/>
        <v>2152</v>
      </c>
      <c r="I128" s="36">
        <f>'Purchased Power Model '!M128</f>
        <v>163.55856350045332</v>
      </c>
      <c r="J128" s="18"/>
      <c r="K128" s="107">
        <f>'Purchased Power Model '!L128</f>
        <v>0</v>
      </c>
      <c r="L128" s="18"/>
      <c r="M128" s="10">
        <f t="shared" si="2"/>
        <v>4403795.4948674021</v>
      </c>
      <c r="N128" s="50"/>
    </row>
    <row r="129" spans="1:36">
      <c r="A129" s="3">
        <v>43282</v>
      </c>
      <c r="C129" s="100">
        <f>'Purchased Power Model '!G129</f>
        <v>22.305238095238096</v>
      </c>
      <c r="D129" s="100">
        <f>'Purchased Power Model '!H129</f>
        <v>53.85</v>
      </c>
      <c r="E129" s="18">
        <f>'Purchased Power Model '!I129</f>
        <v>31</v>
      </c>
      <c r="F129" s="18">
        <f>'Purchased Power Model '!J129</f>
        <v>0</v>
      </c>
      <c r="G129" s="82">
        <f>'Purchased Power Model '!K129</f>
        <v>127</v>
      </c>
      <c r="H129" s="82">
        <f t="shared" si="3"/>
        <v>2153</v>
      </c>
      <c r="I129" s="36">
        <f>'Purchased Power Model '!M129</f>
        <v>163.88213656507418</v>
      </c>
      <c r="J129" s="18"/>
      <c r="K129" s="107">
        <f>'Purchased Power Model '!L129</f>
        <v>0</v>
      </c>
      <c r="L129" s="18"/>
      <c r="M129" s="10">
        <f t="shared" si="2"/>
        <v>4770167.8801685059</v>
      </c>
      <c r="N129" s="50"/>
    </row>
    <row r="130" spans="1:36">
      <c r="A130" s="3">
        <v>43313</v>
      </c>
      <c r="C130" s="100">
        <f>'Purchased Power Model '!G130</f>
        <v>35.084761904761905</v>
      </c>
      <c r="D130" s="100">
        <f>'Purchased Power Model '!H130</f>
        <v>38.71</v>
      </c>
      <c r="E130" s="18">
        <f>'Purchased Power Model '!I130</f>
        <v>31</v>
      </c>
      <c r="F130" s="18">
        <f>'Purchased Power Model '!J130</f>
        <v>0</v>
      </c>
      <c r="G130" s="82">
        <f>'Purchased Power Model '!K130</f>
        <v>128</v>
      </c>
      <c r="H130" s="82">
        <f t="shared" si="3"/>
        <v>2154</v>
      </c>
      <c r="I130" s="36">
        <f>'Purchased Power Model '!M130</f>
        <v>164.20634976449389</v>
      </c>
      <c r="J130" s="18"/>
      <c r="K130" s="107">
        <f>'Purchased Power Model '!L130</f>
        <v>0</v>
      </c>
      <c r="L130" s="18"/>
      <c r="M130" s="10">
        <f t="shared" si="2"/>
        <v>4627270.6465144427</v>
      </c>
      <c r="N130" s="50"/>
    </row>
    <row r="131" spans="1:36">
      <c r="A131" s="3">
        <v>43344</v>
      </c>
      <c r="C131" s="100">
        <f>'Purchased Power Model '!G131</f>
        <v>119.32619047619046</v>
      </c>
      <c r="D131" s="100">
        <f>'Purchased Power Model '!H131</f>
        <v>14.820000000000002</v>
      </c>
      <c r="E131" s="18">
        <f>'Purchased Power Model '!I131</f>
        <v>30</v>
      </c>
      <c r="F131" s="18">
        <f>'Purchased Power Model '!J131</f>
        <v>1</v>
      </c>
      <c r="G131" s="82">
        <f>'Purchased Power Model '!K131</f>
        <v>129</v>
      </c>
      <c r="H131" s="82">
        <f t="shared" si="3"/>
        <v>2155</v>
      </c>
      <c r="I131" s="36">
        <f>'Purchased Power Model '!M131</f>
        <v>164.53120436511134</v>
      </c>
      <c r="J131" s="18"/>
      <c r="K131" s="107">
        <f>'Purchased Power Model '!L131</f>
        <v>0</v>
      </c>
      <c r="L131" s="18"/>
      <c r="M131" s="10">
        <f t="shared" si="2"/>
        <v>4079901.7546420535</v>
      </c>
      <c r="N131" s="50"/>
    </row>
    <row r="132" spans="1:36">
      <c r="A132" s="3">
        <v>43374</v>
      </c>
      <c r="C132" s="100">
        <f>'Purchased Power Model '!G132</f>
        <v>307.71047619047624</v>
      </c>
      <c r="D132" s="100">
        <f>'Purchased Power Model '!H132</f>
        <v>0.03</v>
      </c>
      <c r="E132" s="18">
        <f>'Purchased Power Model '!I132</f>
        <v>31</v>
      </c>
      <c r="F132" s="18">
        <f>'Purchased Power Model '!J132</f>
        <v>1</v>
      </c>
      <c r="G132" s="82">
        <f>'Purchased Power Model '!K132</f>
        <v>130</v>
      </c>
      <c r="H132" s="82">
        <f t="shared" si="3"/>
        <v>2156</v>
      </c>
      <c r="I132" s="36">
        <f>'Purchased Power Model '!M132</f>
        <v>164.85670163583072</v>
      </c>
      <c r="J132" s="18"/>
      <c r="K132" s="107">
        <f>'Purchased Power Model '!L132</f>
        <v>0</v>
      </c>
      <c r="L132" s="18"/>
      <c r="M132" s="10">
        <f t="shared" si="2"/>
        <v>4492392.1450827373</v>
      </c>
      <c r="N132" s="50"/>
    </row>
    <row r="133" spans="1:36">
      <c r="A133" s="3">
        <v>43405</v>
      </c>
      <c r="C133" s="100">
        <f>'Purchased Power Model '!G133</f>
        <v>465.15761904761905</v>
      </c>
      <c r="D133" s="100">
        <f>'Purchased Power Model '!H133</f>
        <v>0</v>
      </c>
      <c r="E133" s="18">
        <f>'Purchased Power Model '!I133</f>
        <v>30</v>
      </c>
      <c r="F133" s="18">
        <f>'Purchased Power Model '!J133</f>
        <v>1</v>
      </c>
      <c r="G133" s="82">
        <f>'Purchased Power Model '!K133</f>
        <v>131</v>
      </c>
      <c r="H133" s="82">
        <f t="shared" si="3"/>
        <v>2157</v>
      </c>
      <c r="I133" s="36">
        <f>'Purchased Power Model '!M133</f>
        <v>165.18284284806657</v>
      </c>
      <c r="J133" s="18"/>
      <c r="K133" s="107">
        <f>'Purchased Power Model '!L133</f>
        <v>0</v>
      </c>
      <c r="L133" s="18"/>
      <c r="M133" s="10">
        <f t="shared" si="2"/>
        <v>4764819.2296413733</v>
      </c>
      <c r="N133" s="50"/>
    </row>
    <row r="134" spans="1:36">
      <c r="A134" s="3">
        <v>43435</v>
      </c>
      <c r="C134" s="100">
        <f>'Purchased Power Model '!G134</f>
        <v>710.40619047619066</v>
      </c>
      <c r="D134" s="100">
        <f>'Purchased Power Model '!H134</f>
        <v>0</v>
      </c>
      <c r="E134" s="18">
        <f>'Purchased Power Model '!I134</f>
        <v>31</v>
      </c>
      <c r="F134" s="18">
        <f>'Purchased Power Model '!J134</f>
        <v>0</v>
      </c>
      <c r="G134" s="82">
        <f>'Purchased Power Model '!K134</f>
        <v>132</v>
      </c>
      <c r="H134" s="82">
        <f t="shared" si="3"/>
        <v>2158</v>
      </c>
      <c r="I134" s="36">
        <f>'Purchased Power Model '!M134</f>
        <v>165.18636828106963</v>
      </c>
      <c r="J134" s="18"/>
      <c r="K134" s="107">
        <f>'Purchased Power Model '!L134</f>
        <v>0</v>
      </c>
      <c r="L134" s="18"/>
      <c r="M134" s="10">
        <f t="shared" si="2"/>
        <v>5852118.7962659895</v>
      </c>
      <c r="N134" s="50"/>
    </row>
    <row r="135" spans="1:36">
      <c r="A135" s="3">
        <v>43466</v>
      </c>
      <c r="C135" s="100">
        <f>'Purchased Power Model '!G135</f>
        <v>784.93238095238098</v>
      </c>
      <c r="D135" s="100">
        <f>'Purchased Power Model '!H135</f>
        <v>0</v>
      </c>
      <c r="E135" s="18">
        <f>'Purchased Power Model '!I135</f>
        <v>31</v>
      </c>
      <c r="F135" s="18">
        <f>'Purchased Power Model '!J135</f>
        <v>0</v>
      </c>
      <c r="G135" s="82">
        <f>'Purchased Power Model '!K135</f>
        <v>133</v>
      </c>
      <c r="H135" s="82">
        <f t="shared" si="3"/>
        <v>2159</v>
      </c>
      <c r="I135" s="36"/>
      <c r="J135" s="18"/>
      <c r="K135" s="107"/>
      <c r="L135" s="18"/>
      <c r="M135" s="10">
        <f t="shared" si="2"/>
        <v>6036531.4177426221</v>
      </c>
      <c r="N135" s="50"/>
    </row>
    <row r="136" spans="1:36">
      <c r="A136" s="3">
        <v>43497</v>
      </c>
      <c r="C136" s="100">
        <f>'Purchased Power Model '!G136</f>
        <v>739.71857142857129</v>
      </c>
      <c r="D136" s="100">
        <f>'Purchased Power Model '!H136</f>
        <v>0</v>
      </c>
      <c r="E136" s="18">
        <f>'Purchased Power Model '!I136</f>
        <v>28</v>
      </c>
      <c r="F136" s="18">
        <f>'Purchased Power Model '!J136</f>
        <v>0</v>
      </c>
      <c r="G136" s="82">
        <f>'Purchased Power Model '!K136</f>
        <v>134</v>
      </c>
      <c r="H136" s="82">
        <f t="shared" si="3"/>
        <v>2160</v>
      </c>
      <c r="I136" s="36"/>
      <c r="J136" s="18"/>
      <c r="K136" s="107"/>
      <c r="L136" s="18"/>
      <c r="M136" s="10">
        <f t="shared" si="2"/>
        <v>5574176.5935194045</v>
      </c>
      <c r="N136" s="50"/>
      <c r="O136" s="176"/>
      <c r="AJ136" s="175"/>
    </row>
    <row r="137" spans="1:36">
      <c r="A137" s="3">
        <v>43525</v>
      </c>
      <c r="C137" s="100">
        <f>'Purchased Power Model '!G137</f>
        <v>622.95999999999992</v>
      </c>
      <c r="D137" s="100">
        <f>'Purchased Power Model '!H137</f>
        <v>0</v>
      </c>
      <c r="E137" s="18">
        <f>'Purchased Power Model '!I137</f>
        <v>31</v>
      </c>
      <c r="F137" s="18">
        <f>'Purchased Power Model '!J137</f>
        <v>1</v>
      </c>
      <c r="G137" s="82">
        <f>'Purchased Power Model '!K137</f>
        <v>135</v>
      </c>
      <c r="H137" s="82">
        <f t="shared" si="3"/>
        <v>2161</v>
      </c>
      <c r="I137" s="36"/>
      <c r="J137" s="18"/>
      <c r="K137" s="107"/>
      <c r="L137" s="18"/>
      <c r="M137" s="10">
        <f t="shared" si="2"/>
        <v>5272120.9718063129</v>
      </c>
      <c r="N137" s="50"/>
      <c r="O137" s="176"/>
      <c r="AJ137" s="175"/>
    </row>
    <row r="138" spans="1:36">
      <c r="A138" s="3">
        <v>43556</v>
      </c>
      <c r="C138" s="100">
        <f>'Purchased Power Model '!G138</f>
        <v>379.45</v>
      </c>
      <c r="D138" s="100">
        <f>'Purchased Power Model '!H138</f>
        <v>0.01</v>
      </c>
      <c r="E138" s="18">
        <f>'Purchased Power Model '!I138</f>
        <v>30</v>
      </c>
      <c r="F138" s="18">
        <f>'Purchased Power Model '!J138</f>
        <v>1</v>
      </c>
      <c r="G138" s="82">
        <f>'Purchased Power Model '!K138</f>
        <v>136</v>
      </c>
      <c r="H138" s="82">
        <f t="shared" si="3"/>
        <v>2162</v>
      </c>
      <c r="I138" s="36"/>
      <c r="J138" s="18"/>
      <c r="K138" s="107"/>
      <c r="L138" s="18"/>
      <c r="M138" s="10">
        <f t="shared" si="2"/>
        <v>4552853.7994139967</v>
      </c>
      <c r="N138" s="50"/>
      <c r="O138" s="176"/>
      <c r="AJ138" s="175"/>
    </row>
    <row r="139" spans="1:36">
      <c r="A139" s="3">
        <v>43586</v>
      </c>
      <c r="C139" s="100">
        <f>'Purchased Power Model '!G139</f>
        <v>190.97476190476192</v>
      </c>
      <c r="D139" s="100">
        <f>'Purchased Power Model '!H139</f>
        <v>8.77</v>
      </c>
      <c r="E139" s="18">
        <f>'Purchased Power Model '!I139</f>
        <v>31</v>
      </c>
      <c r="F139" s="18">
        <f>'Purchased Power Model '!J139</f>
        <v>1</v>
      </c>
      <c r="G139" s="82">
        <f>'Purchased Power Model '!K139</f>
        <v>137</v>
      </c>
      <c r="H139" s="82">
        <f t="shared" si="3"/>
        <v>2163</v>
      </c>
      <c r="I139" s="36"/>
      <c r="J139" s="18"/>
      <c r="K139" s="107"/>
      <c r="L139" s="18"/>
      <c r="M139" s="10">
        <f t="shared" si="2"/>
        <v>4304279.9755978221</v>
      </c>
      <c r="N139" s="50"/>
      <c r="O139" s="176"/>
      <c r="AJ139" s="175"/>
    </row>
    <row r="140" spans="1:36">
      <c r="A140" s="3">
        <v>43617</v>
      </c>
      <c r="C140" s="100">
        <f>'Purchased Power Model '!G140</f>
        <v>69.127619047619049</v>
      </c>
      <c r="D140" s="100">
        <f>'Purchased Power Model '!H140</f>
        <v>22.15</v>
      </c>
      <c r="E140" s="18">
        <f>'Purchased Power Model '!I140</f>
        <v>30</v>
      </c>
      <c r="F140" s="18">
        <f>'Purchased Power Model '!J140</f>
        <v>0</v>
      </c>
      <c r="G140" s="82">
        <f>'Purchased Power Model '!K140</f>
        <v>138</v>
      </c>
      <c r="H140" s="82">
        <f t="shared" si="3"/>
        <v>2164</v>
      </c>
      <c r="I140" s="36"/>
      <c r="J140" s="18"/>
      <c r="K140" s="107"/>
      <c r="L140" s="18"/>
      <c r="M140" s="10">
        <f t="shared" si="2"/>
        <v>4403795.4948674021</v>
      </c>
      <c r="N140" s="50"/>
      <c r="O140" s="176"/>
      <c r="AJ140" s="175"/>
    </row>
    <row r="141" spans="1:36">
      <c r="A141" s="3">
        <v>43647</v>
      </c>
      <c r="C141" s="100">
        <f>'Purchased Power Model '!G141</f>
        <v>22.305238095238096</v>
      </c>
      <c r="D141" s="100">
        <f>'Purchased Power Model '!H141</f>
        <v>53.85</v>
      </c>
      <c r="E141" s="18">
        <f>'Purchased Power Model '!I141</f>
        <v>31</v>
      </c>
      <c r="F141" s="18">
        <f>'Purchased Power Model '!J141</f>
        <v>0</v>
      </c>
      <c r="G141" s="82">
        <f>'Purchased Power Model '!K141</f>
        <v>139</v>
      </c>
      <c r="H141" s="82">
        <f t="shared" si="3"/>
        <v>2165</v>
      </c>
      <c r="I141" s="36"/>
      <c r="J141" s="18"/>
      <c r="K141" s="107"/>
      <c r="L141" s="18"/>
      <c r="M141" s="10">
        <f t="shared" si="2"/>
        <v>4770167.8801685059</v>
      </c>
      <c r="N141" s="50"/>
      <c r="O141" s="176"/>
      <c r="AJ141" s="175"/>
    </row>
    <row r="142" spans="1:36">
      <c r="A142" s="3">
        <v>43678</v>
      </c>
      <c r="C142" s="100">
        <f>'Purchased Power Model '!G142</f>
        <v>35.084761904761905</v>
      </c>
      <c r="D142" s="100">
        <f>'Purchased Power Model '!H142</f>
        <v>38.71</v>
      </c>
      <c r="E142" s="18">
        <f>'Purchased Power Model '!I142</f>
        <v>31</v>
      </c>
      <c r="F142" s="18">
        <f>'Purchased Power Model '!J142</f>
        <v>0</v>
      </c>
      <c r="G142" s="82">
        <f>'Purchased Power Model '!K142</f>
        <v>140</v>
      </c>
      <c r="H142" s="82">
        <f t="shared" si="3"/>
        <v>2166</v>
      </c>
      <c r="I142" s="36"/>
      <c r="J142" s="18"/>
      <c r="K142" s="107"/>
      <c r="L142" s="18"/>
      <c r="M142" s="10">
        <f t="shared" si="2"/>
        <v>4627270.6465144427</v>
      </c>
      <c r="N142" s="50"/>
      <c r="O142" s="176"/>
      <c r="AJ142" s="175"/>
    </row>
    <row r="143" spans="1:36">
      <c r="A143" s="3">
        <v>43709</v>
      </c>
      <c r="C143" s="100">
        <f>'Purchased Power Model '!G143</f>
        <v>119.32619047619046</v>
      </c>
      <c r="D143" s="100">
        <f>'Purchased Power Model '!H143</f>
        <v>14.820000000000002</v>
      </c>
      <c r="E143" s="18">
        <f>'Purchased Power Model '!I143</f>
        <v>30</v>
      </c>
      <c r="F143" s="18">
        <f>'Purchased Power Model '!J143</f>
        <v>1</v>
      </c>
      <c r="G143" s="82">
        <f>'Purchased Power Model '!K143</f>
        <v>141</v>
      </c>
      <c r="H143" s="82">
        <f t="shared" si="3"/>
        <v>2167</v>
      </c>
      <c r="I143" s="36"/>
      <c r="J143" s="18"/>
      <c r="K143" s="107"/>
      <c r="L143" s="18"/>
      <c r="M143" s="10">
        <f t="shared" si="2"/>
        <v>4079901.7546420535</v>
      </c>
      <c r="N143" s="50"/>
      <c r="O143" s="176"/>
      <c r="AJ143" s="175"/>
    </row>
    <row r="144" spans="1:36">
      <c r="A144" s="3">
        <v>43739</v>
      </c>
      <c r="C144" s="100">
        <f>'Purchased Power Model '!G144</f>
        <v>307.71047619047624</v>
      </c>
      <c r="D144" s="100">
        <f>'Purchased Power Model '!H144</f>
        <v>0.03</v>
      </c>
      <c r="E144" s="18">
        <f>'Purchased Power Model '!I144</f>
        <v>31</v>
      </c>
      <c r="F144" s="18">
        <f>'Purchased Power Model '!J144</f>
        <v>1</v>
      </c>
      <c r="G144" s="82">
        <f>'Purchased Power Model '!K144</f>
        <v>142</v>
      </c>
      <c r="H144" s="82">
        <f t="shared" si="3"/>
        <v>2168</v>
      </c>
      <c r="I144" s="36"/>
      <c r="J144" s="18"/>
      <c r="K144" s="107"/>
      <c r="L144" s="18"/>
      <c r="M144" s="10">
        <f t="shared" si="2"/>
        <v>4492392.1450827373</v>
      </c>
      <c r="N144" s="50"/>
      <c r="O144" s="176"/>
      <c r="AJ144" s="175"/>
    </row>
    <row r="145" spans="1:36">
      <c r="A145" s="3">
        <v>43770</v>
      </c>
      <c r="C145" s="100">
        <f>'Purchased Power Model '!G145</f>
        <v>465.15761904761905</v>
      </c>
      <c r="D145" s="100">
        <f>'Purchased Power Model '!H145</f>
        <v>0</v>
      </c>
      <c r="E145" s="18">
        <f>'Purchased Power Model '!I145</f>
        <v>30</v>
      </c>
      <c r="F145" s="18">
        <f>'Purchased Power Model '!J145</f>
        <v>1</v>
      </c>
      <c r="G145" s="82">
        <f>'Purchased Power Model '!K145</f>
        <v>143</v>
      </c>
      <c r="H145" s="82">
        <f t="shared" si="3"/>
        <v>2169</v>
      </c>
      <c r="I145" s="36"/>
      <c r="J145" s="18"/>
      <c r="K145" s="107"/>
      <c r="L145" s="18"/>
      <c r="M145" s="10">
        <f t="shared" si="2"/>
        <v>4764819.2296413733</v>
      </c>
      <c r="N145" s="50"/>
      <c r="O145" s="176"/>
      <c r="AJ145" s="175"/>
    </row>
    <row r="146" spans="1:36">
      <c r="A146" s="3">
        <v>43800</v>
      </c>
      <c r="C146" s="100">
        <f>'Purchased Power Model '!G146</f>
        <v>710.40619047619066</v>
      </c>
      <c r="D146" s="100">
        <f>'Purchased Power Model '!H146</f>
        <v>0</v>
      </c>
      <c r="E146" s="18">
        <f>'Purchased Power Model '!I146</f>
        <v>31</v>
      </c>
      <c r="F146" s="18">
        <f>'Purchased Power Model '!J146</f>
        <v>0</v>
      </c>
      <c r="G146" s="82">
        <f>'Purchased Power Model '!K146</f>
        <v>144</v>
      </c>
      <c r="H146" s="82">
        <f t="shared" si="3"/>
        <v>2170</v>
      </c>
      <c r="I146" s="36"/>
      <c r="J146" s="18"/>
      <c r="K146" s="107"/>
      <c r="L146" s="18"/>
      <c r="M146" s="10">
        <f t="shared" si="2"/>
        <v>5852118.7962659895</v>
      </c>
      <c r="N146" s="50"/>
      <c r="O146" s="176"/>
      <c r="AJ146" s="175"/>
    </row>
    <row r="147" spans="1:36">
      <c r="A147" s="3"/>
      <c r="N147" s="50"/>
      <c r="O147" s="176"/>
      <c r="AJ147" s="175"/>
    </row>
    <row r="148" spans="1:36">
      <c r="A148" s="3"/>
      <c r="D148" s="24" t="s">
        <v>13</v>
      </c>
      <c r="M148" s="50">
        <f>SUM(M3:M147)</f>
        <v>705115619.19410932</v>
      </c>
      <c r="N148" s="50"/>
      <c r="O148" s="5"/>
    </row>
    <row r="149" spans="1:36">
      <c r="A149" s="3"/>
      <c r="N149" s="50"/>
      <c r="O149" s="5"/>
    </row>
    <row r="150" spans="1:36">
      <c r="A150">
        <v>2008</v>
      </c>
      <c r="B150" s="28">
        <f>SUM(B3:B14)</f>
        <v>62516619.849234834</v>
      </c>
      <c r="M150" s="28">
        <f>SUM(M3:M14)</f>
        <v>59776080.890708432</v>
      </c>
      <c r="N150" s="38">
        <f t="shared" ref="N150:N159" si="4">M150-B150</f>
        <v>-2740538.9585264027</v>
      </c>
      <c r="O150" s="5">
        <f t="shared" ref="O150:O159" si="5">N150/B150</f>
        <v>-4.3836966316085073E-2</v>
      </c>
    </row>
    <row r="151" spans="1:36">
      <c r="A151" s="17">
        <v>2009</v>
      </c>
      <c r="B151" s="28">
        <f>SUM(B15:B26)</f>
        <v>59701648.212038539</v>
      </c>
      <c r="M151" s="28">
        <f>SUM(M15:M26)</f>
        <v>58849306.93699412</v>
      </c>
      <c r="N151" s="38">
        <f t="shared" si="4"/>
        <v>-852341.27504441887</v>
      </c>
      <c r="O151" s="5">
        <f t="shared" si="5"/>
        <v>-1.4276679129815858E-2</v>
      </c>
    </row>
    <row r="152" spans="1:36">
      <c r="A152">
        <v>2010</v>
      </c>
      <c r="B152" s="28">
        <f>SUM(B27:B38)</f>
        <v>58565208.650670692</v>
      </c>
      <c r="M152" s="28">
        <f>SUM(M27:M38)</f>
        <v>58674358.685937561</v>
      </c>
      <c r="N152" s="38">
        <f t="shared" si="4"/>
        <v>109150.03526686877</v>
      </c>
      <c r="O152" s="5">
        <f t="shared" si="5"/>
        <v>1.8637351045383628E-3</v>
      </c>
    </row>
    <row r="153" spans="1:36">
      <c r="A153">
        <v>2011</v>
      </c>
      <c r="B153" s="28">
        <f>SUM(B39:B50)</f>
        <v>58834929.519793175</v>
      </c>
      <c r="M153" s="28">
        <f>SUM(M39:M50)</f>
        <v>58314925.610977247</v>
      </c>
      <c r="N153" s="38">
        <f t="shared" si="4"/>
        <v>-520003.9088159278</v>
      </c>
      <c r="O153" s="5">
        <f t="shared" si="5"/>
        <v>-8.8383535607192108E-3</v>
      </c>
    </row>
    <row r="154" spans="1:36">
      <c r="A154">
        <v>2012</v>
      </c>
      <c r="B154" s="28">
        <f>SUM(B51:B62)</f>
        <v>57494464.880298831</v>
      </c>
      <c r="M154" s="28">
        <f>SUM(M51:M62)</f>
        <v>58305841.03519097</v>
      </c>
      <c r="N154" s="38">
        <f t="shared" si="4"/>
        <v>811376.15489213914</v>
      </c>
      <c r="O154" s="5">
        <f t="shared" si="5"/>
        <v>1.4112248136953562E-2</v>
      </c>
    </row>
    <row r="155" spans="1:36">
      <c r="A155">
        <v>2013</v>
      </c>
      <c r="B155" s="28">
        <f>SUM(B63:B74)</f>
        <v>57852243.801948376</v>
      </c>
      <c r="M155" s="28">
        <f>SUM(M63:M74)</f>
        <v>58607654.411654986</v>
      </c>
      <c r="N155" s="38">
        <f t="shared" si="4"/>
        <v>755410.60970661044</v>
      </c>
      <c r="O155" s="5">
        <f t="shared" si="5"/>
        <v>1.305758532534514E-2</v>
      </c>
      <c r="AJ155"/>
    </row>
    <row r="156" spans="1:36">
      <c r="A156">
        <v>2014</v>
      </c>
      <c r="B156" s="28">
        <f>SUM(B75:B86)</f>
        <v>58443482.099599421</v>
      </c>
      <c r="M156" s="28">
        <f>SUM(M75:M86)</f>
        <v>59166716.333214469</v>
      </c>
      <c r="N156" s="38">
        <f t="shared" si="4"/>
        <v>723234.23361504823</v>
      </c>
      <c r="O156" s="5">
        <f t="shared" si="5"/>
        <v>1.2374933998328709E-2</v>
      </c>
      <c r="AJ156"/>
    </row>
    <row r="157" spans="1:36">
      <c r="A157" s="17">
        <v>2015</v>
      </c>
      <c r="B157" s="28">
        <f>SUM(B87:B98)</f>
        <v>58492111.439999998</v>
      </c>
      <c r="M157" s="28">
        <f>SUM(M87:M98)</f>
        <v>59092155.109388359</v>
      </c>
      <c r="N157" s="38">
        <f t="shared" si="4"/>
        <v>600043.66938836128</v>
      </c>
      <c r="O157" s="5">
        <f t="shared" si="5"/>
        <v>1.0258540076876413E-2</v>
      </c>
      <c r="AJ157"/>
    </row>
    <row r="158" spans="1:36">
      <c r="A158" s="17">
        <v>2016</v>
      </c>
      <c r="B158" s="28">
        <f>SUM(B99:B110)</f>
        <v>58168701.330000006</v>
      </c>
      <c r="M158" s="28">
        <f>SUM(M99:M110)</f>
        <v>59048767.170796178</v>
      </c>
      <c r="N158" s="38">
        <f t="shared" si="4"/>
        <v>880065.84079617262</v>
      </c>
      <c r="O158" s="5">
        <f t="shared" si="5"/>
        <v>1.5129542531875062E-2</v>
      </c>
      <c r="AJ158"/>
    </row>
    <row r="159" spans="1:36">
      <c r="A159" s="17">
        <v>2017</v>
      </c>
      <c r="B159" s="28">
        <f>SUM(B111:B122)</f>
        <v>57585352</v>
      </c>
      <c r="M159" s="6">
        <f>SUM(M111:M122)</f>
        <v>57818955.598721571</v>
      </c>
      <c r="N159" s="38">
        <f t="shared" si="4"/>
        <v>233603.59872157127</v>
      </c>
      <c r="O159" s="5">
        <f t="shared" si="5"/>
        <v>4.056649661906578E-3</v>
      </c>
      <c r="AJ159"/>
    </row>
    <row r="160" spans="1:36">
      <c r="A160">
        <v>2018</v>
      </c>
      <c r="M160" s="6">
        <f>SUM(M123:M134)</f>
        <v>58730428.705262661</v>
      </c>
      <c r="N160" s="50"/>
      <c r="AJ160"/>
    </row>
    <row r="161" spans="1:36">
      <c r="A161">
        <v>2019</v>
      </c>
      <c r="M161" s="175">
        <f>SUM(M135:M146)</f>
        <v>58730428.705262661</v>
      </c>
      <c r="N161" s="50"/>
      <c r="AJ161"/>
    </row>
    <row r="162" spans="1:36">
      <c r="M162" s="6"/>
      <c r="N162" s="50"/>
      <c r="AJ162"/>
    </row>
    <row r="163" spans="1:36">
      <c r="A163" s="105" t="s">
        <v>164</v>
      </c>
      <c r="B163" s="28">
        <f>SUM(B150:B159)</f>
        <v>587654761.78358388</v>
      </c>
      <c r="M163" s="28">
        <f>SUM(M150:M159)</f>
        <v>587654761.78358388</v>
      </c>
      <c r="N163" s="6">
        <f>M163-B163</f>
        <v>0</v>
      </c>
      <c r="AJ163"/>
    </row>
    <row r="164" spans="1:36">
      <c r="N164" s="110"/>
      <c r="AJ164"/>
    </row>
    <row r="165" spans="1:36">
      <c r="M165" s="6">
        <f>SUM(M150:M161)</f>
        <v>705115619.1941092</v>
      </c>
      <c r="N165" s="50">
        <f>M165-M148</f>
        <v>0</v>
      </c>
      <c r="AJ165"/>
    </row>
    <row r="166" spans="1:36">
      <c r="M166" s="102"/>
      <c r="N166" s="109" t="s">
        <v>58</v>
      </c>
      <c r="O166" s="109"/>
      <c r="AJ166"/>
    </row>
    <row r="167" spans="1:36">
      <c r="AJ167"/>
    </row>
    <row r="168" spans="1:36">
      <c r="N168" s="50"/>
      <c r="AJ168"/>
    </row>
    <row r="169" spans="1:36">
      <c r="N169" s="50"/>
      <c r="AJ169"/>
    </row>
    <row r="170" spans="1:36">
      <c r="N170" s="50"/>
      <c r="AJ170"/>
    </row>
    <row r="171" spans="1:36">
      <c r="N171" s="50"/>
      <c r="AJ171"/>
    </row>
    <row r="172" spans="1:36">
      <c r="N172" s="50"/>
      <c r="AJ172"/>
    </row>
    <row r="173" spans="1:36">
      <c r="N173" s="50"/>
      <c r="AJ173"/>
    </row>
    <row r="174" spans="1:36">
      <c r="N174" s="50"/>
      <c r="O174" s="110"/>
      <c r="AJ174"/>
    </row>
    <row r="175" spans="1:36">
      <c r="N175" s="50"/>
      <c r="O175" s="110"/>
      <c r="AJ175"/>
    </row>
    <row r="176" spans="1:36">
      <c r="N176" s="50"/>
      <c r="O176" s="110"/>
      <c r="AJ176"/>
    </row>
    <row r="177" spans="2:36">
      <c r="N177" s="50"/>
      <c r="O177" s="110"/>
      <c r="AJ177"/>
    </row>
    <row r="178" spans="2:36">
      <c r="N178" s="50"/>
      <c r="O178"/>
      <c r="AJ178"/>
    </row>
    <row r="179" spans="2:36">
      <c r="N179" s="50"/>
      <c r="AJ179"/>
    </row>
    <row r="180" spans="2:36">
      <c r="B180"/>
      <c r="C180"/>
      <c r="D180"/>
      <c r="N180" s="50"/>
      <c r="AJ180"/>
    </row>
    <row r="181" spans="2:36">
      <c r="N181" s="50"/>
      <c r="AJ181"/>
    </row>
    <row r="182" spans="2:36">
      <c r="B182"/>
      <c r="C182"/>
      <c r="D182"/>
      <c r="E182" s="28"/>
      <c r="F182" s="28"/>
      <c r="N182" s="50"/>
      <c r="AJ182"/>
    </row>
    <row r="183" spans="2:36">
      <c r="N183" s="50"/>
      <c r="AJ183"/>
    </row>
    <row r="184" spans="2:36">
      <c r="N184" s="50"/>
      <c r="AJ184"/>
    </row>
    <row r="185" spans="2:36">
      <c r="N185" s="50"/>
      <c r="AJ185"/>
    </row>
    <row r="186" spans="2:36">
      <c r="N186" s="50"/>
      <c r="AJ186"/>
    </row>
    <row r="187" spans="2:36">
      <c r="N187" s="50"/>
      <c r="AJ187"/>
    </row>
    <row r="188" spans="2:36">
      <c r="N188" s="50"/>
      <c r="AJ188"/>
    </row>
    <row r="189" spans="2:36">
      <c r="N189" s="50"/>
      <c r="AJ189"/>
    </row>
    <row r="190" spans="2:36">
      <c r="N190" s="50"/>
      <c r="AJ190"/>
    </row>
    <row r="191" spans="2:36">
      <c r="N191" s="50"/>
      <c r="AJ191"/>
    </row>
    <row r="192" spans="2:36">
      <c r="N192" s="50"/>
      <c r="AJ192"/>
    </row>
    <row r="193" spans="14:36">
      <c r="N193" s="50"/>
      <c r="AJ193"/>
    </row>
    <row r="194" spans="14:36">
      <c r="N194" s="50"/>
      <c r="AJ194"/>
    </row>
    <row r="195" spans="14:36">
      <c r="N195" s="50"/>
      <c r="AJ195"/>
    </row>
    <row r="196" spans="14:36">
      <c r="N196" s="50"/>
      <c r="AJ196"/>
    </row>
    <row r="197" spans="14:36">
      <c r="N197" s="50"/>
      <c r="AJ197"/>
    </row>
    <row r="198" spans="14:36">
      <c r="N198" s="50"/>
      <c r="AJ198"/>
    </row>
    <row r="199" spans="14:36">
      <c r="AJ199"/>
    </row>
    <row r="200" spans="14:36">
      <c r="AJ200"/>
    </row>
    <row r="201" spans="14:36">
      <c r="AJ201"/>
    </row>
    <row r="202" spans="14:36">
      <c r="AJ202"/>
    </row>
    <row r="203" spans="14:36">
      <c r="AJ203"/>
    </row>
    <row r="204" spans="14:36">
      <c r="N204" s="38" t="e">
        <f>#REF!-#REF!</f>
        <v>#REF!</v>
      </c>
      <c r="AJ204"/>
    </row>
    <row r="205" spans="14:36">
      <c r="N205" s="38" t="e">
        <f>#REF!-#REF!</f>
        <v>#REF!</v>
      </c>
      <c r="AJ205"/>
    </row>
    <row r="206" spans="14:36">
      <c r="N206" s="38" t="e">
        <f>#REF!-#REF!</f>
        <v>#REF!</v>
      </c>
      <c r="AJ206"/>
    </row>
    <row r="207" spans="14:36">
      <c r="N207" s="38" t="e">
        <f>#REF!-#REF!</f>
        <v>#REF!</v>
      </c>
      <c r="AJ207"/>
    </row>
    <row r="208" spans="14:36">
      <c r="N208" s="38" t="e">
        <f>#REF!-#REF!</f>
        <v>#REF!</v>
      </c>
      <c r="AJ208"/>
    </row>
    <row r="209" spans="14:36">
      <c r="N209" s="38" t="e">
        <f>#REF!-#REF!</f>
        <v>#REF!</v>
      </c>
      <c r="AJ209"/>
    </row>
    <row r="210" spans="14:36">
      <c r="N210" s="38">
        <f t="shared" ref="N210:N218" si="6">M150-B150</f>
        <v>-2740538.9585264027</v>
      </c>
      <c r="AJ210"/>
    </row>
    <row r="211" spans="14:36">
      <c r="N211" s="38">
        <f t="shared" si="6"/>
        <v>-852341.27504441887</v>
      </c>
      <c r="AJ211"/>
    </row>
    <row r="212" spans="14:36">
      <c r="N212" s="38">
        <f t="shared" si="6"/>
        <v>109150.03526686877</v>
      </c>
      <c r="AJ212"/>
    </row>
    <row r="213" spans="14:36">
      <c r="N213" s="38">
        <f t="shared" si="6"/>
        <v>-520003.9088159278</v>
      </c>
      <c r="AJ213"/>
    </row>
    <row r="214" spans="14:36">
      <c r="N214" s="38">
        <f t="shared" si="6"/>
        <v>811376.15489213914</v>
      </c>
      <c r="AJ214"/>
    </row>
    <row r="215" spans="14:36">
      <c r="N215" s="38">
        <f t="shared" si="6"/>
        <v>755410.60970661044</v>
      </c>
      <c r="AJ215"/>
    </row>
    <row r="216" spans="14:36">
      <c r="N216" s="38">
        <f t="shared" si="6"/>
        <v>723234.23361504823</v>
      </c>
      <c r="O216" s="5" t="e">
        <f>N204/#REF!</f>
        <v>#REF!</v>
      </c>
      <c r="AJ216"/>
    </row>
    <row r="217" spans="14:36">
      <c r="N217" s="38">
        <f t="shared" si="6"/>
        <v>600043.66938836128</v>
      </c>
      <c r="O217" s="5" t="e">
        <f>N205/#REF!</f>
        <v>#REF!</v>
      </c>
      <c r="AJ217"/>
    </row>
    <row r="218" spans="14:36">
      <c r="N218" s="38">
        <f t="shared" si="6"/>
        <v>880065.84079617262</v>
      </c>
      <c r="O218" s="5" t="e">
        <f>N206/#REF!</f>
        <v>#REF!</v>
      </c>
      <c r="AJ218"/>
    </row>
    <row r="219" spans="14:36">
      <c r="N219" s="38"/>
      <c r="O219" s="5" t="e">
        <f>N207/#REF!</f>
        <v>#REF!</v>
      </c>
      <c r="AJ219"/>
    </row>
    <row r="220" spans="14:36">
      <c r="N220" s="38"/>
      <c r="O220" s="5" t="e">
        <f>N208/#REF!</f>
        <v>#REF!</v>
      </c>
      <c r="AJ220"/>
    </row>
    <row r="221" spans="14:36">
      <c r="N221" s="38"/>
      <c r="O221" s="5" t="e">
        <f>N209/#REF!</f>
        <v>#REF!</v>
      </c>
      <c r="AJ221"/>
    </row>
    <row r="222" spans="14:36">
      <c r="O222" s="5">
        <f t="shared" ref="O222:O230" si="7">N210/B150</f>
        <v>-4.3836966316085073E-2</v>
      </c>
      <c r="AJ222"/>
    </row>
    <row r="223" spans="14:36">
      <c r="N223" s="6">
        <f>M163-B163</f>
        <v>0</v>
      </c>
      <c r="O223" s="5">
        <f t="shared" si="7"/>
        <v>-1.4276679129815858E-2</v>
      </c>
      <c r="AJ223"/>
    </row>
    <row r="224" spans="14:36">
      <c r="O224" s="5">
        <f t="shared" si="7"/>
        <v>1.8637351045383628E-3</v>
      </c>
      <c r="AJ224"/>
    </row>
    <row r="225" spans="14:36">
      <c r="N225" s="50">
        <f>M148-M165</f>
        <v>0</v>
      </c>
      <c r="O225" s="5">
        <f t="shared" si="7"/>
        <v>-8.8383535607192108E-3</v>
      </c>
      <c r="AJ225"/>
    </row>
    <row r="226" spans="14:36">
      <c r="N226" s="102" t="s">
        <v>58</v>
      </c>
      <c r="O226" s="5">
        <f t="shared" si="7"/>
        <v>1.4112248136953562E-2</v>
      </c>
      <c r="AJ226"/>
    </row>
    <row r="227" spans="14:36">
      <c r="O227" s="5">
        <f t="shared" si="7"/>
        <v>1.305758532534514E-2</v>
      </c>
      <c r="AJ227"/>
    </row>
    <row r="228" spans="14:36">
      <c r="O228" s="5">
        <f t="shared" si="7"/>
        <v>1.2374933998328709E-2</v>
      </c>
      <c r="AJ228"/>
    </row>
    <row r="229" spans="14:36">
      <c r="O229" s="5">
        <f t="shared" si="7"/>
        <v>1.0258540076876413E-2</v>
      </c>
      <c r="AJ229"/>
    </row>
    <row r="230" spans="14:36">
      <c r="O230" s="5">
        <f t="shared" si="7"/>
        <v>1.5129542531875062E-2</v>
      </c>
      <c r="AJ230"/>
    </row>
    <row r="231" spans="14:36">
      <c r="O231" s="5"/>
      <c r="AJ231"/>
    </row>
    <row r="232" spans="14:36">
      <c r="O232" s="5"/>
      <c r="AJ232"/>
    </row>
    <row r="233" spans="14:36">
      <c r="O233" s="5"/>
      <c r="AJ233"/>
    </row>
    <row r="234" spans="14:36">
      <c r="AJ234"/>
    </row>
    <row r="235" spans="14:36">
      <c r="AJ235"/>
    </row>
    <row r="237" spans="14:36">
      <c r="AJ237"/>
    </row>
    <row r="238" spans="14:36">
      <c r="O238" s="102"/>
      <c r="AJ238"/>
    </row>
    <row r="240" spans="14:36">
      <c r="AJ240"/>
    </row>
    <row r="252" spans="36:36">
      <c r="AJ252"/>
    </row>
    <row r="254" spans="36:36">
      <c r="AJ254"/>
    </row>
  </sheetData>
  <pageMargins left="0.38" right="0.75" top="0.73" bottom="0.74" header="0.5" footer="0.5"/>
  <pageSetup orientation="landscape"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255"/>
  <sheetViews>
    <sheetView zoomScaleNormal="100" workbookViewId="0">
      <pane xSplit="1" ySplit="2" topLeftCell="E3" activePane="bottomRight" state="frozen"/>
      <selection pane="topRight" activeCell="B1" sqref="B1"/>
      <selection pane="bottomLeft" activeCell="A3" sqref="A3"/>
      <selection pane="bottomRight" activeCell="B176" sqref="B176"/>
    </sheetView>
  </sheetViews>
  <sheetFormatPr defaultRowHeight="12.5"/>
  <cols>
    <col min="1" max="1" width="15.81640625" bestFit="1" customWidth="1"/>
    <col min="2" max="2" width="18" style="28" customWidth="1"/>
    <col min="3" max="3" width="11.81640625" style="24" customWidth="1"/>
    <col min="4" max="4" width="13.453125" style="24" customWidth="1"/>
    <col min="5" max="6" width="12.453125" style="24" customWidth="1"/>
    <col min="7" max="7" width="14.81640625" style="24" customWidth="1"/>
    <col min="8" max="8" width="12.453125" style="24" customWidth="1"/>
    <col min="9" max="11" width="12.453125" style="24" hidden="1" customWidth="1"/>
    <col min="12" max="12" width="10.1796875" style="24" hidden="1" customWidth="1"/>
    <col min="13" max="13" width="15.453125" style="103" bestFit="1" customWidth="1"/>
    <col min="14" max="14" width="17" style="103" customWidth="1"/>
    <col min="15" max="15" width="25.81640625" style="103" bestFit="1" customWidth="1"/>
    <col min="16" max="16" width="25.81640625" bestFit="1" customWidth="1"/>
    <col min="17" max="19" width="18" customWidth="1"/>
    <col min="20" max="20" width="17.1796875" customWidth="1"/>
    <col min="21" max="22" width="15.81640625" customWidth="1"/>
    <col min="23" max="23" width="15" customWidth="1"/>
    <col min="24" max="25" width="14.1796875" bestFit="1" customWidth="1"/>
    <col min="26" max="27" width="11.81640625" bestFit="1" customWidth="1"/>
    <col min="28" max="28" width="12.54296875" customWidth="1"/>
    <col min="29" max="29" width="11.1796875" customWidth="1"/>
    <col min="30" max="30" width="11.54296875" customWidth="1"/>
    <col min="31" max="31" width="9.1796875" customWidth="1"/>
    <col min="33" max="33" width="11.81640625" bestFit="1" customWidth="1"/>
    <col min="34" max="34" width="10.81640625" bestFit="1" customWidth="1"/>
    <col min="36" max="36" width="9.1796875" style="6"/>
  </cols>
  <sheetData>
    <row r="1" spans="1:20">
      <c r="I1" s="108"/>
      <c r="J1" s="108"/>
      <c r="K1" s="108" t="s">
        <v>91</v>
      </c>
      <c r="L1" s="108"/>
    </row>
    <row r="2" spans="1:20" ht="37.5">
      <c r="B2" s="80" t="s">
        <v>68</v>
      </c>
      <c r="C2" s="81" t="s">
        <v>3</v>
      </c>
      <c r="D2" s="81" t="s">
        <v>4</v>
      </c>
      <c r="E2" s="81" t="str">
        <f>'Purchased Power Model '!I2</f>
        <v>Number of Days in Month</v>
      </c>
      <c r="F2" s="81" t="str">
        <f>'Purchased Power Model '!K2</f>
        <v>Trend</v>
      </c>
      <c r="G2" s="81" t="str">
        <f>'Purchased Power Model '!L2</f>
        <v>Unemployment (x 1,000)</v>
      </c>
      <c r="H2" s="81" t="str">
        <f>'Purchased Power Model '!M2</f>
        <v>Ontario Real GDP Monthly %</v>
      </c>
      <c r="I2" s="81" t="str">
        <f>'Purchased Power Model '!O2</f>
        <v>Employment (x 1,000)</v>
      </c>
      <c r="J2" s="81" t="str">
        <f>'Purchased Power Model '!P2</f>
        <v>Population (x 1,000)</v>
      </c>
      <c r="K2" s="81" t="s">
        <v>60</v>
      </c>
      <c r="L2" s="81" t="str">
        <f>'Purchased Power Model '!J2</f>
        <v>Spring Fall Flag</v>
      </c>
      <c r="M2" s="12" t="s">
        <v>111</v>
      </c>
      <c r="N2" s="12" t="s">
        <v>12</v>
      </c>
      <c r="O2" t="s">
        <v>120</v>
      </c>
    </row>
    <row r="3" spans="1:20" ht="13" thickBot="1">
      <c r="A3" s="3">
        <v>39448</v>
      </c>
      <c r="B3" s="28">
        <f>'[14]Data Input'!L77+'[16]PSP less Loss factor'!J86</f>
        <v>11111526.245985264</v>
      </c>
      <c r="C3" s="24">
        <f>'Purchased Power Model '!G3</f>
        <v>753.1</v>
      </c>
      <c r="D3" s="24">
        <f>'Purchased Power Model '!H3</f>
        <v>0</v>
      </c>
      <c r="E3" s="18">
        <f>'Purchased Power Model '!I3</f>
        <v>31</v>
      </c>
      <c r="F3" s="82">
        <f>'Purchased Power Model '!K3</f>
        <v>1</v>
      </c>
      <c r="G3" s="107">
        <f>'Purchased Power Model '!L3</f>
        <v>14.1</v>
      </c>
      <c r="H3" s="36">
        <f>'Purchased Power Model '!M3</f>
        <v>139.96642175819056</v>
      </c>
      <c r="I3" s="36">
        <f>'Purchased Power Model '!O3</f>
        <v>172.6</v>
      </c>
      <c r="J3" s="36">
        <f>'Purchased Power Model '!P3</f>
        <v>311.2</v>
      </c>
      <c r="K3" s="82">
        <f>'[14]Data Input'!O77+'[16]PSP less Loss factor'!L86</f>
        <v>163</v>
      </c>
      <c r="L3" s="18">
        <f>'Purchased Power Model '!J3</f>
        <v>0</v>
      </c>
      <c r="M3" s="10">
        <f t="shared" ref="M3:M59" si="0">$P$18+C3*$P$19+D3*$P$20+E3*$P$21+F3*$P$22+G3*$P$23+H3*$P$24</f>
        <v>10868877.881017033</v>
      </c>
      <c r="N3" s="10"/>
      <c r="O3"/>
    </row>
    <row r="4" spans="1:20" ht="13">
      <c r="A4" s="3">
        <v>39479</v>
      </c>
      <c r="B4" s="28">
        <f>'[14]Data Input'!L78+'[16]PSP less Loss factor'!J87</f>
        <v>10542047.073871151</v>
      </c>
      <c r="C4" s="24">
        <f>'Purchased Power Model '!G4</f>
        <v>815.6</v>
      </c>
      <c r="D4" s="24">
        <f>'Purchased Power Model '!H4</f>
        <v>0</v>
      </c>
      <c r="E4" s="18">
        <f>'Purchased Power Model '!I4</f>
        <v>29</v>
      </c>
      <c r="F4" s="82">
        <f>'Purchased Power Model '!K4</f>
        <v>2</v>
      </c>
      <c r="G4" s="107">
        <f>'Purchased Power Model '!L4</f>
        <v>15.2</v>
      </c>
      <c r="H4" s="36">
        <f>'Purchased Power Model '!M4</f>
        <v>139.86101141442734</v>
      </c>
      <c r="I4" s="36">
        <f>'Purchased Power Model '!O4</f>
        <v>171.6</v>
      </c>
      <c r="J4" s="36">
        <f>'Purchased Power Model '!P4</f>
        <v>311.3</v>
      </c>
      <c r="K4" s="82">
        <f>'[14]Data Input'!O78+'[16]PSP less Loss factor'!L87</f>
        <v>161</v>
      </c>
      <c r="L4" s="18">
        <f>'Purchased Power Model '!J4</f>
        <v>0</v>
      </c>
      <c r="M4" s="10">
        <f t="shared" si="0"/>
        <v>10562748.507657137</v>
      </c>
      <c r="N4" s="10"/>
      <c r="O4" s="112" t="s">
        <v>20</v>
      </c>
      <c r="P4" s="112"/>
      <c r="Q4" s="111"/>
      <c r="R4" s="111"/>
      <c r="S4" s="111"/>
      <c r="T4" s="111"/>
    </row>
    <row r="5" spans="1:20">
      <c r="A5" s="3">
        <v>39508</v>
      </c>
      <c r="B5" s="28">
        <f>'[14]Data Input'!L79+'[16]PSP less Loss factor'!J88</f>
        <v>10957983.587379558</v>
      </c>
      <c r="C5" s="24">
        <f>'Purchased Power Model '!G5</f>
        <v>760.5</v>
      </c>
      <c r="D5" s="24">
        <f>'Purchased Power Model '!H5</f>
        <v>0</v>
      </c>
      <c r="E5" s="18">
        <f>'Purchased Power Model '!I5</f>
        <v>31</v>
      </c>
      <c r="F5" s="82">
        <f>'Purchased Power Model '!K5</f>
        <v>3</v>
      </c>
      <c r="G5" s="107">
        <f>'Purchased Power Model '!L5</f>
        <v>17.3</v>
      </c>
      <c r="H5" s="36">
        <f>'Purchased Power Model '!M5</f>
        <v>139.75568045642274</v>
      </c>
      <c r="I5" s="36">
        <f>'Purchased Power Model '!O5</f>
        <v>170.6</v>
      </c>
      <c r="J5" s="36">
        <f>'Purchased Power Model '!P5</f>
        <v>311.39999999999998</v>
      </c>
      <c r="K5" s="82">
        <f>'[14]Data Input'!O79+'[16]PSP less Loss factor'!L88</f>
        <v>162</v>
      </c>
      <c r="L5" s="18">
        <f>'Purchased Power Model '!J5</f>
        <v>1</v>
      </c>
      <c r="M5" s="10">
        <f t="shared" si="0"/>
        <v>10727946.392042896</v>
      </c>
      <c r="N5" s="10"/>
      <c r="O5" s="113" t="s">
        <v>21</v>
      </c>
      <c r="P5" s="91">
        <v>0.74258033652850508</v>
      </c>
      <c r="Q5" s="111"/>
      <c r="R5" s="111"/>
      <c r="S5" s="111"/>
      <c r="T5" s="111"/>
    </row>
    <row r="6" spans="1:20">
      <c r="A6" s="3">
        <v>39539</v>
      </c>
      <c r="B6" s="28">
        <f>'[14]Data Input'!L80+'[16]PSP less Loss factor'!J89</f>
        <v>9951572.1849612705</v>
      </c>
      <c r="C6" s="24">
        <f>'Purchased Power Model '!G6</f>
        <v>348.6</v>
      </c>
      <c r="D6" s="24">
        <f>'Purchased Power Model '!H6</f>
        <v>0</v>
      </c>
      <c r="E6" s="18">
        <f>'Purchased Power Model '!I6</f>
        <v>30</v>
      </c>
      <c r="F6" s="82">
        <f>'Purchased Power Model '!K6</f>
        <v>4</v>
      </c>
      <c r="G6" s="107">
        <f>'Purchased Power Model '!L6</f>
        <v>17.100000000000001</v>
      </c>
      <c r="H6" s="36">
        <f>'Purchased Power Model '!M6</f>
        <v>139.65042882439042</v>
      </c>
      <c r="I6" s="36">
        <f>'Purchased Power Model '!O6</f>
        <v>170.4</v>
      </c>
      <c r="J6" s="36">
        <f>'Purchased Power Model '!P6</f>
        <v>311.5</v>
      </c>
      <c r="K6" s="82">
        <f>'[14]Data Input'!O80+'[16]PSP less Loss factor'!L89</f>
        <v>163</v>
      </c>
      <c r="L6" s="18">
        <f>'Purchased Power Model '!J6</f>
        <v>1</v>
      </c>
      <c r="M6" s="10">
        <f t="shared" si="0"/>
        <v>10185249.67325009</v>
      </c>
      <c r="N6" s="10"/>
      <c r="O6" s="113" t="s">
        <v>22</v>
      </c>
      <c r="P6" s="91">
        <v>0.55142555619878786</v>
      </c>
      <c r="Q6" s="111"/>
      <c r="R6" s="111"/>
      <c r="S6" s="111"/>
      <c r="T6" s="111"/>
    </row>
    <row r="7" spans="1:20">
      <c r="A7" s="3">
        <v>39569</v>
      </c>
      <c r="B7" s="28">
        <f>'[14]Data Input'!L81+'[16]PSP less Loss factor'!J90</f>
        <v>9946452.2106555831</v>
      </c>
      <c r="C7" s="24">
        <f>'Purchased Power Model '!G7</f>
        <v>277.3</v>
      </c>
      <c r="D7" s="24">
        <f>'Purchased Power Model '!H7</f>
        <v>0</v>
      </c>
      <c r="E7" s="18">
        <f>'Purchased Power Model '!I7</f>
        <v>31</v>
      </c>
      <c r="F7" s="82">
        <f>'Purchased Power Model '!K7</f>
        <v>5</v>
      </c>
      <c r="G7" s="107">
        <f>'Purchased Power Model '!L7</f>
        <v>15.9</v>
      </c>
      <c r="H7" s="36">
        <f>'Purchased Power Model '!M7</f>
        <v>139.54525645858905</v>
      </c>
      <c r="I7" s="36">
        <f>'Purchased Power Model '!O7</f>
        <v>175.5</v>
      </c>
      <c r="J7" s="36">
        <f>'Purchased Power Model '!P7</f>
        <v>311.60000000000002</v>
      </c>
      <c r="K7" s="82">
        <f>'[14]Data Input'!O81+'[16]PSP less Loss factor'!L90</f>
        <v>163</v>
      </c>
      <c r="L7" s="18">
        <f>'Purchased Power Model '!J7</f>
        <v>1</v>
      </c>
      <c r="M7" s="10">
        <f t="shared" si="0"/>
        <v>10321065.100297047</v>
      </c>
      <c r="N7" s="10"/>
      <c r="O7" s="113" t="s">
        <v>23</v>
      </c>
      <c r="P7" s="91">
        <v>0.52760744413854654</v>
      </c>
      <c r="Q7" s="111"/>
      <c r="R7" s="111"/>
      <c r="S7" s="111"/>
      <c r="T7" s="111"/>
    </row>
    <row r="8" spans="1:20">
      <c r="A8" s="3">
        <v>39600</v>
      </c>
      <c r="B8" s="28">
        <f>'[14]Data Input'!L82+'[16]PSP less Loss factor'!J91</f>
        <v>10145384.30833176</v>
      </c>
      <c r="C8" s="24">
        <f>'Purchased Power Model '!G8</f>
        <v>48.4</v>
      </c>
      <c r="D8" s="24">
        <f>'Purchased Power Model '!H8</f>
        <v>36.4</v>
      </c>
      <c r="E8" s="18">
        <f>'Purchased Power Model '!I8</f>
        <v>30</v>
      </c>
      <c r="F8" s="82">
        <f>'Purchased Power Model '!K8</f>
        <v>6</v>
      </c>
      <c r="G8" s="107">
        <f>'Purchased Power Model '!L8</f>
        <v>13.4</v>
      </c>
      <c r="H8" s="36">
        <f>'Purchased Power Model '!M8</f>
        <v>139.44016329932234</v>
      </c>
      <c r="I8" s="36">
        <f>'Purchased Power Model '!O8</f>
        <v>184.4</v>
      </c>
      <c r="J8" s="36">
        <f>'Purchased Power Model '!P8</f>
        <v>311.8</v>
      </c>
      <c r="K8" s="82">
        <f>'[14]Data Input'!O82+'[16]PSP less Loss factor'!L91</f>
        <v>165</v>
      </c>
      <c r="L8" s="18">
        <f>'Purchased Power Model '!J8</f>
        <v>0</v>
      </c>
      <c r="M8" s="10">
        <f t="shared" si="0"/>
        <v>10646293.388571337</v>
      </c>
      <c r="N8" s="10"/>
      <c r="O8" s="113" t="s">
        <v>24</v>
      </c>
      <c r="P8" s="118">
        <v>354016.06705496769</v>
      </c>
      <c r="Q8" s="111"/>
      <c r="R8" s="111"/>
      <c r="S8" s="111"/>
      <c r="T8" s="111"/>
    </row>
    <row r="9" spans="1:20" ht="13" thickBot="1">
      <c r="A9" s="3">
        <v>39630</v>
      </c>
      <c r="B9" s="28">
        <f>'[14]Data Input'!L83+'[16]PSP less Loss factor'!J92</f>
        <v>10984548.866616284</v>
      </c>
      <c r="C9" s="24">
        <f>'Purchased Power Model '!G9</f>
        <v>13.9</v>
      </c>
      <c r="D9" s="24">
        <f>'Purchased Power Model '!H9</f>
        <v>54.1</v>
      </c>
      <c r="E9" s="18">
        <f>'Purchased Power Model '!I9</f>
        <v>31</v>
      </c>
      <c r="F9" s="82">
        <f>'Purchased Power Model '!K9</f>
        <v>7</v>
      </c>
      <c r="G9" s="107">
        <f>'Purchased Power Model '!L9</f>
        <v>11.1</v>
      </c>
      <c r="H9" s="36">
        <f>'Purchased Power Model '!M9</f>
        <v>139.3351492869389</v>
      </c>
      <c r="I9" s="36">
        <f>'Purchased Power Model '!O9</f>
        <v>190.4</v>
      </c>
      <c r="J9" s="36">
        <f>'Purchased Power Model '!P9</f>
        <v>312</v>
      </c>
      <c r="K9" s="82">
        <f>'[14]Data Input'!O83+'[16]PSP less Loss factor'!L92</f>
        <v>166</v>
      </c>
      <c r="L9" s="18">
        <f>'Purchased Power Model '!J9</f>
        <v>0</v>
      </c>
      <c r="M9" s="10">
        <f t="shared" si="0"/>
        <v>11153953.054213807</v>
      </c>
      <c r="N9" s="10"/>
      <c r="O9" s="114" t="s">
        <v>25</v>
      </c>
      <c r="P9" s="114">
        <v>120</v>
      </c>
      <c r="Q9" s="111"/>
      <c r="R9" s="111"/>
      <c r="S9" s="111"/>
      <c r="T9" s="111"/>
    </row>
    <row r="10" spans="1:20">
      <c r="A10" s="3">
        <v>39661</v>
      </c>
      <c r="B10" s="28">
        <f>'[14]Data Input'!L84+'[16]PSP less Loss factor'!J93</f>
        <v>10969830.828830531</v>
      </c>
      <c r="C10" s="24">
        <f>'Purchased Power Model '!G10</f>
        <v>39.4</v>
      </c>
      <c r="D10" s="24">
        <f>'Purchased Power Model '!H10</f>
        <v>26</v>
      </c>
      <c r="E10" s="18">
        <f>'Purchased Power Model '!I10</f>
        <v>31</v>
      </c>
      <c r="F10" s="82">
        <f>'Purchased Power Model '!K10</f>
        <v>8</v>
      </c>
      <c r="G10" s="107">
        <f>'Purchased Power Model '!L10</f>
        <v>11.2</v>
      </c>
      <c r="H10" s="36">
        <f>'Purchased Power Model '!M10</f>
        <v>139.23021436183228</v>
      </c>
      <c r="I10" s="36">
        <f>'Purchased Power Model '!O10</f>
        <v>190.6</v>
      </c>
      <c r="J10" s="36">
        <f>'Purchased Power Model '!P10</f>
        <v>312.2</v>
      </c>
      <c r="K10" s="82">
        <f>'[14]Data Input'!O84+'[16]PSP less Loss factor'!L93</f>
        <v>166</v>
      </c>
      <c r="L10" s="18">
        <f>'Purchased Power Model '!J10</f>
        <v>0</v>
      </c>
      <c r="M10" s="10">
        <f t="shared" si="0"/>
        <v>10709221.943790207</v>
      </c>
      <c r="N10" s="10"/>
      <c r="O10" s="111"/>
      <c r="P10" s="111"/>
      <c r="Q10" s="111"/>
      <c r="R10" s="111"/>
      <c r="S10" s="111"/>
      <c r="T10" s="111"/>
    </row>
    <row r="11" spans="1:20" ht="13" thickBot="1">
      <c r="A11" s="3">
        <v>39692</v>
      </c>
      <c r="B11" s="28">
        <f>'[14]Data Input'!L85+'[16]PSP less Loss factor'!J94</f>
        <v>10482815.880785944</v>
      </c>
      <c r="C11" s="24">
        <f>'Purchased Power Model '!G11</f>
        <v>132.69999999999999</v>
      </c>
      <c r="D11" s="24">
        <f>'Purchased Power Model '!H11</f>
        <v>5.0999999999999996</v>
      </c>
      <c r="E11" s="18">
        <f>'Purchased Power Model '!I11</f>
        <v>30</v>
      </c>
      <c r="F11" s="82">
        <f>'Purchased Power Model '!K11</f>
        <v>9</v>
      </c>
      <c r="G11" s="107">
        <f>'Purchased Power Model '!L11</f>
        <v>9.6999999999999993</v>
      </c>
      <c r="H11" s="36">
        <f>'Purchased Power Model '!M11</f>
        <v>139.12535846444095</v>
      </c>
      <c r="I11" s="36">
        <f>'Purchased Power Model '!O11</f>
        <v>188.3</v>
      </c>
      <c r="J11" s="36">
        <f>'Purchased Power Model '!P11</f>
        <v>312.3</v>
      </c>
      <c r="K11" s="82">
        <f>'[14]Data Input'!O85+'[16]PSP less Loss factor'!L94</f>
        <v>166</v>
      </c>
      <c r="L11" s="18">
        <f>'Purchased Power Model '!J11</f>
        <v>1</v>
      </c>
      <c r="M11" s="10">
        <f t="shared" si="0"/>
        <v>10359047.284548618</v>
      </c>
      <c r="N11" s="10"/>
      <c r="O11" s="111" t="s">
        <v>26</v>
      </c>
      <c r="P11" s="111"/>
      <c r="Q11" s="111"/>
      <c r="R11" s="111"/>
      <c r="S11" s="111"/>
      <c r="T11" s="111"/>
    </row>
    <row r="12" spans="1:20" ht="13">
      <c r="A12" s="3">
        <v>39722</v>
      </c>
      <c r="B12" s="28">
        <f>'[14]Data Input'!L86+'[16]PSP less Loss factor'!J95</f>
        <v>10786324.396372568</v>
      </c>
      <c r="C12" s="24">
        <f>'Purchased Power Model '!G12</f>
        <v>372.5</v>
      </c>
      <c r="D12" s="24">
        <f>'Purchased Power Model '!H12</f>
        <v>0</v>
      </c>
      <c r="E12" s="18">
        <f>'Purchased Power Model '!I12</f>
        <v>31</v>
      </c>
      <c r="F12" s="82">
        <f>'Purchased Power Model '!K12</f>
        <v>10</v>
      </c>
      <c r="G12" s="107">
        <f>'Purchased Power Model '!L12</f>
        <v>10.199999999999999</v>
      </c>
      <c r="H12" s="36">
        <f>'Purchased Power Model '!M12</f>
        <v>139.02058153524823</v>
      </c>
      <c r="I12" s="36">
        <f>'Purchased Power Model '!O12</f>
        <v>187.3</v>
      </c>
      <c r="J12" s="36">
        <f>'Purchased Power Model '!P12</f>
        <v>312.39999999999998</v>
      </c>
      <c r="K12" s="82">
        <f>'[14]Data Input'!O86+'[16]PSP less Loss factor'!L95</f>
        <v>166</v>
      </c>
      <c r="L12" s="18">
        <f>'Purchased Power Model '!J12</f>
        <v>1</v>
      </c>
      <c r="M12" s="10">
        <f t="shared" si="0"/>
        <v>10632624.191445444</v>
      </c>
      <c r="N12" s="10"/>
      <c r="O12" s="115"/>
      <c r="P12" s="115" t="s">
        <v>30</v>
      </c>
      <c r="Q12" s="115" t="s">
        <v>31</v>
      </c>
      <c r="R12" s="115" t="s">
        <v>32</v>
      </c>
      <c r="S12" s="115" t="s">
        <v>33</v>
      </c>
      <c r="T12" s="115" t="s">
        <v>34</v>
      </c>
    </row>
    <row r="13" spans="1:20">
      <c r="A13" s="3">
        <v>39753</v>
      </c>
      <c r="B13" s="28">
        <f>'[14]Data Input'!L87+'[16]PSP less Loss factor'!J96</f>
        <v>10603283.320234273</v>
      </c>
      <c r="C13" s="24">
        <f>'Purchased Power Model '!G13</f>
        <v>555.9</v>
      </c>
      <c r="D13" s="24">
        <f>'Purchased Power Model '!H13</f>
        <v>0</v>
      </c>
      <c r="E13" s="18">
        <f>'Purchased Power Model '!I13</f>
        <v>30</v>
      </c>
      <c r="F13" s="82">
        <f>'Purchased Power Model '!K13</f>
        <v>11</v>
      </c>
      <c r="G13" s="107">
        <f>'Purchased Power Model '!L13</f>
        <v>9.4</v>
      </c>
      <c r="H13" s="36">
        <f>'Purchased Power Model '!M13</f>
        <v>138.91588351478222</v>
      </c>
      <c r="I13" s="36">
        <f>'Purchased Power Model '!O13</f>
        <v>183.5</v>
      </c>
      <c r="J13" s="36">
        <f>'Purchased Power Model '!P13</f>
        <v>312.5</v>
      </c>
      <c r="K13" s="82">
        <f>'[14]Data Input'!O87+'[16]PSP less Loss factor'!L96</f>
        <v>168</v>
      </c>
      <c r="L13" s="18">
        <f>'Purchased Power Model '!J13</f>
        <v>1</v>
      </c>
      <c r="M13" s="10">
        <f t="shared" si="0"/>
        <v>10679426.193041595</v>
      </c>
      <c r="N13" s="10"/>
      <c r="O13" s="113" t="s">
        <v>27</v>
      </c>
      <c r="P13" s="113">
        <v>6</v>
      </c>
      <c r="Q13" s="113">
        <v>17417128325348.5</v>
      </c>
      <c r="R13" s="113">
        <v>2902854720891.4165</v>
      </c>
      <c r="S13" s="113">
        <v>23.184310135367756</v>
      </c>
      <c r="T13" s="113">
        <v>1.0741898066087389E-17</v>
      </c>
    </row>
    <row r="14" spans="1:20">
      <c r="A14" s="3">
        <v>39783</v>
      </c>
      <c r="B14" s="28">
        <f>'[14]Data Input'!L88+'[16]PSP less Loss factor'!J97</f>
        <v>10733888.941054221</v>
      </c>
      <c r="C14" s="24">
        <f>'Purchased Power Model '!G14</f>
        <v>782.6</v>
      </c>
      <c r="D14" s="24">
        <f>'Purchased Power Model '!H14</f>
        <v>0</v>
      </c>
      <c r="E14" s="18">
        <f>'Purchased Power Model '!I14</f>
        <v>31</v>
      </c>
      <c r="F14" s="82">
        <f>'Purchased Power Model '!K14</f>
        <v>12</v>
      </c>
      <c r="G14" s="107">
        <f>'Purchased Power Model '!L14</f>
        <v>10.1</v>
      </c>
      <c r="H14" s="36">
        <f>'Purchased Power Model '!M14</f>
        <v>138.8112643436159</v>
      </c>
      <c r="I14" s="36">
        <f>'Purchased Power Model '!O14</f>
        <v>177.7</v>
      </c>
      <c r="J14" s="36">
        <f>'Purchased Power Model '!P14</f>
        <v>312.60000000000002</v>
      </c>
      <c r="K14" s="82">
        <f>'[14]Data Input'!O88+'[16]PSP less Loss factor'!L97</f>
        <v>166</v>
      </c>
      <c r="L14" s="18">
        <f>'Purchased Power Model '!J14</f>
        <v>0</v>
      </c>
      <c r="M14" s="10">
        <f t="shared" si="0"/>
        <v>11015402.420725066</v>
      </c>
      <c r="N14" s="10"/>
      <c r="O14" s="113" t="s">
        <v>28</v>
      </c>
      <c r="P14" s="113">
        <v>113</v>
      </c>
      <c r="Q14" s="113">
        <v>14148472891601.391</v>
      </c>
      <c r="R14" s="113">
        <v>125207724704.43709</v>
      </c>
      <c r="S14" s="113"/>
      <c r="T14" s="113"/>
    </row>
    <row r="15" spans="1:20" ht="13" thickBot="1">
      <c r="A15" s="3">
        <v>39814</v>
      </c>
      <c r="B15" s="28">
        <f>'[14]Data Input'!L89+'[16]PSP less Loss factor'!J98</f>
        <v>11358728.211789155</v>
      </c>
      <c r="C15" s="24">
        <f>'Purchased Power Model '!G15</f>
        <v>995.4</v>
      </c>
      <c r="D15" s="24">
        <f>'Purchased Power Model '!H15</f>
        <v>0</v>
      </c>
      <c r="E15" s="18">
        <f>'Purchased Power Model '!I15</f>
        <v>31</v>
      </c>
      <c r="F15" s="82">
        <f>'Purchased Power Model '!K15</f>
        <v>13</v>
      </c>
      <c r="G15" s="107">
        <f>'Purchased Power Model '!L15</f>
        <v>10.9</v>
      </c>
      <c r="H15" s="36">
        <f>'Purchased Power Model '!M15</f>
        <v>138.43555825854429</v>
      </c>
      <c r="I15" s="36">
        <f>'Purchased Power Model '!O15</f>
        <v>169.7</v>
      </c>
      <c r="J15" s="36">
        <f>'Purchased Power Model '!P15</f>
        <v>312.60000000000002</v>
      </c>
      <c r="K15" s="82">
        <f>'[14]Data Input'!O89+'[16]PSP less Loss factor'!L98</f>
        <v>167</v>
      </c>
      <c r="L15" s="18">
        <f>'Purchased Power Model '!J15</f>
        <v>0</v>
      </c>
      <c r="M15" s="10">
        <f t="shared" si="0"/>
        <v>11164781.481928179</v>
      </c>
      <c r="N15" s="10"/>
      <c r="O15" s="114" t="s">
        <v>10</v>
      </c>
      <c r="P15" s="114">
        <v>119</v>
      </c>
      <c r="Q15" s="114">
        <v>31565601216949.891</v>
      </c>
      <c r="R15" s="114"/>
      <c r="S15" s="114"/>
      <c r="T15" s="114"/>
    </row>
    <row r="16" spans="1:20" ht="13" thickBot="1">
      <c r="A16" s="3">
        <v>39845</v>
      </c>
      <c r="B16" s="28">
        <f>'[14]Data Input'!L90+'[16]PSP less Loss factor'!J99</f>
        <v>10179726.84904591</v>
      </c>
      <c r="C16" s="24">
        <f>'Purchased Power Model '!G16</f>
        <v>723.7</v>
      </c>
      <c r="D16" s="24">
        <f>'Purchased Power Model '!H16</f>
        <v>0</v>
      </c>
      <c r="E16" s="18">
        <f>'Purchased Power Model '!I16</f>
        <v>28</v>
      </c>
      <c r="F16" s="82">
        <f>'Purchased Power Model '!K16</f>
        <v>14</v>
      </c>
      <c r="G16" s="107">
        <f>'Purchased Power Model '!L16</f>
        <v>12.4</v>
      </c>
      <c r="H16" s="36">
        <f>'Purchased Power Model '!M16</f>
        <v>138.06086905825526</v>
      </c>
      <c r="I16" s="36">
        <f>'Purchased Power Model '!O16</f>
        <v>167.8</v>
      </c>
      <c r="J16" s="36">
        <f>'Purchased Power Model '!P16</f>
        <v>312.60000000000002</v>
      </c>
      <c r="K16" s="82">
        <f>'[14]Data Input'!O90+'[16]PSP less Loss factor'!L99</f>
        <v>167</v>
      </c>
      <c r="L16" s="18">
        <f>'Purchased Power Model '!J16</f>
        <v>0</v>
      </c>
      <c r="M16" s="10">
        <f t="shared" si="0"/>
        <v>10355959.831712658</v>
      </c>
      <c r="N16" s="10"/>
      <c r="O16" s="111"/>
      <c r="P16" s="111"/>
      <c r="Q16" s="111"/>
      <c r="R16" s="111"/>
      <c r="S16" s="111"/>
      <c r="T16" s="111"/>
    </row>
    <row r="17" spans="1:21" ht="13">
      <c r="A17" s="3">
        <v>39873</v>
      </c>
      <c r="B17" s="28">
        <f>'[14]Data Input'!L91+'[16]PSP less Loss factor'!J100</f>
        <v>10687930.565652749</v>
      </c>
      <c r="C17" s="24">
        <f>'Purchased Power Model '!G17</f>
        <v>652.29999999999995</v>
      </c>
      <c r="D17" s="24">
        <f>'Purchased Power Model '!H17</f>
        <v>0</v>
      </c>
      <c r="E17" s="18">
        <f>'Purchased Power Model '!I17</f>
        <v>31</v>
      </c>
      <c r="F17" s="82">
        <f>'Purchased Power Model '!K17</f>
        <v>15</v>
      </c>
      <c r="G17" s="107">
        <f>'Purchased Power Model '!L17</f>
        <v>15.6</v>
      </c>
      <c r="H17" s="36">
        <f>'Purchased Power Model '!M17</f>
        <v>137.68719399045199</v>
      </c>
      <c r="I17" s="36">
        <f>'Purchased Power Model '!O17</f>
        <v>165.6</v>
      </c>
      <c r="J17" s="36">
        <f>'Purchased Power Model '!P17</f>
        <v>312.7</v>
      </c>
      <c r="K17" s="82">
        <f>'[14]Data Input'!O91+'[16]PSP less Loss factor'!L100</f>
        <v>167</v>
      </c>
      <c r="L17" s="18">
        <f>'Purchased Power Model '!J17</f>
        <v>1</v>
      </c>
      <c r="M17" s="10">
        <f t="shared" si="0"/>
        <v>10602169.852135129</v>
      </c>
      <c r="N17" s="10"/>
      <c r="O17" s="115"/>
      <c r="P17" s="115" t="s">
        <v>35</v>
      </c>
      <c r="Q17" s="115" t="s">
        <v>24</v>
      </c>
      <c r="R17" s="115" t="s">
        <v>36</v>
      </c>
      <c r="S17" s="115" t="s">
        <v>37</v>
      </c>
      <c r="T17" s="115" t="s">
        <v>38</v>
      </c>
      <c r="U17" s="115" t="s">
        <v>39</v>
      </c>
    </row>
    <row r="18" spans="1:21">
      <c r="A18" s="3">
        <v>39904</v>
      </c>
      <c r="B18" s="28">
        <f>'[14]Data Input'!L92+'[16]PSP less Loss factor'!J101</f>
        <v>9571594.1900623459</v>
      </c>
      <c r="C18" s="24">
        <f>'Purchased Power Model '!G18</f>
        <v>379.9</v>
      </c>
      <c r="D18" s="24">
        <f>'Purchased Power Model '!H18</f>
        <v>0</v>
      </c>
      <c r="E18" s="18">
        <f>'Purchased Power Model '!I18</f>
        <v>30</v>
      </c>
      <c r="F18" s="82">
        <f>'Purchased Power Model '!K18</f>
        <v>16</v>
      </c>
      <c r="G18" s="107">
        <f>'Purchased Power Model '!L18</f>
        <v>17.899999999999999</v>
      </c>
      <c r="H18" s="36">
        <f>'Purchased Power Model '!M18</f>
        <v>137.31453031028698</v>
      </c>
      <c r="I18" s="36">
        <f>'Purchased Power Model '!O18</f>
        <v>165.9</v>
      </c>
      <c r="J18" s="36">
        <f>'Purchased Power Model '!P18</f>
        <v>312.7</v>
      </c>
      <c r="K18" s="82">
        <f>'[14]Data Input'!O92+'[16]PSP less Loss factor'!L101</f>
        <v>166</v>
      </c>
      <c r="L18" s="18">
        <f>'Purchased Power Model '!J18</f>
        <v>1</v>
      </c>
      <c r="M18" s="10">
        <f t="shared" si="0"/>
        <v>10071163.659428537</v>
      </c>
      <c r="N18" s="10"/>
      <c r="O18" s="113" t="s">
        <v>29</v>
      </c>
      <c r="P18" s="63">
        <v>-627596.74496388156</v>
      </c>
      <c r="Q18" s="63">
        <v>2465623.8845239673</v>
      </c>
      <c r="R18" s="61">
        <v>-0.25453871894376556</v>
      </c>
      <c r="S18" s="113">
        <v>0.79954203305675675</v>
      </c>
      <c r="T18" s="63">
        <v>-5512442.3586864509</v>
      </c>
      <c r="U18" s="63">
        <v>4257248.8687586877</v>
      </c>
    </row>
    <row r="19" spans="1:21">
      <c r="A19" s="3">
        <v>39934</v>
      </c>
      <c r="B19" s="28">
        <f>'[14]Data Input'!L93+'[16]PSP less Loss factor'!J102</f>
        <v>9641103.7727186847</v>
      </c>
      <c r="C19" s="24">
        <f>'Purchased Power Model '!G19</f>
        <v>231</v>
      </c>
      <c r="D19" s="24">
        <f>'Purchased Power Model '!H19</f>
        <v>0</v>
      </c>
      <c r="E19" s="18">
        <f>'Purchased Power Model '!I19</f>
        <v>31</v>
      </c>
      <c r="F19" s="82">
        <f>'Purchased Power Model '!K19</f>
        <v>17</v>
      </c>
      <c r="G19" s="107">
        <f>'Purchased Power Model '!L19</f>
        <v>18.100000000000001</v>
      </c>
      <c r="H19" s="36">
        <f>'Purchased Power Model '!M19</f>
        <v>136.94287528034204</v>
      </c>
      <c r="I19" s="36">
        <f>'Purchased Power Model '!O19</f>
        <v>168.3</v>
      </c>
      <c r="J19" s="36">
        <f>'Purchased Power Model '!P19</f>
        <v>312.8</v>
      </c>
      <c r="K19" s="82">
        <f>'[14]Data Input'!O93+'[16]PSP less Loss factor'!L102</f>
        <v>168</v>
      </c>
      <c r="L19" s="18">
        <f>'Purchased Power Model '!J19</f>
        <v>1</v>
      </c>
      <c r="M19" s="10">
        <f t="shared" si="0"/>
        <v>10060646.678934934</v>
      </c>
      <c r="N19" s="10"/>
      <c r="O19" s="113" t="s">
        <v>3</v>
      </c>
      <c r="P19" s="63">
        <v>946.71942440465398</v>
      </c>
      <c r="Q19" s="63">
        <v>147.13730684681721</v>
      </c>
      <c r="R19" s="61">
        <v>6.4342582088325946</v>
      </c>
      <c r="S19" s="113">
        <v>3.0967660509077156E-9</v>
      </c>
      <c r="T19" s="63">
        <v>655.21388194257122</v>
      </c>
      <c r="U19" s="63">
        <v>1238.2249668667368</v>
      </c>
    </row>
    <row r="20" spans="1:21">
      <c r="A20" s="3">
        <v>39965</v>
      </c>
      <c r="B20" s="28">
        <f>'[14]Data Input'!L94+'[16]PSP less Loss factor'!J103</f>
        <v>9767976.1114679761</v>
      </c>
      <c r="C20" s="24">
        <f>'Purchased Power Model '!G20</f>
        <v>105.4</v>
      </c>
      <c r="D20" s="24">
        <f>'Purchased Power Model '!H20</f>
        <v>19.100000000000001</v>
      </c>
      <c r="E20" s="18">
        <f>'Purchased Power Model '!I20</f>
        <v>30</v>
      </c>
      <c r="F20" s="82">
        <f>'Purchased Power Model '!K20</f>
        <v>18</v>
      </c>
      <c r="G20" s="107">
        <f>'Purchased Power Model '!L20</f>
        <v>15.8</v>
      </c>
      <c r="H20" s="36">
        <f>'Purchased Power Model '!M20</f>
        <v>136.57222617060793</v>
      </c>
      <c r="I20" s="36">
        <f>'Purchased Power Model '!O20</f>
        <v>173.4</v>
      </c>
      <c r="J20" s="36">
        <f>'Purchased Power Model '!P20</f>
        <v>312.89999999999998</v>
      </c>
      <c r="K20" s="82">
        <f>'[14]Data Input'!O94+'[16]PSP less Loss factor'!L103</f>
        <v>166</v>
      </c>
      <c r="L20" s="18">
        <f>'Purchased Power Model '!J20</f>
        <v>0</v>
      </c>
      <c r="M20" s="10">
        <f t="shared" si="0"/>
        <v>10179640.889848538</v>
      </c>
      <c r="N20" s="10"/>
      <c r="O20" s="113" t="s">
        <v>4</v>
      </c>
      <c r="P20" s="63">
        <v>16357.69196033425</v>
      </c>
      <c r="Q20" s="63">
        <v>2063.1072832329305</v>
      </c>
      <c r="R20" s="61">
        <v>7.9286676428680041</v>
      </c>
      <c r="S20" s="113">
        <v>1.7288151222345067E-12</v>
      </c>
      <c r="T20" s="63">
        <v>12270.304331427826</v>
      </c>
      <c r="U20" s="63">
        <v>20445.079589240675</v>
      </c>
    </row>
    <row r="21" spans="1:21">
      <c r="A21" s="3">
        <v>39995</v>
      </c>
      <c r="B21" s="28">
        <f>'[14]Data Input'!L95+'[16]PSP less Loss factor'!J104</f>
        <v>10430893.331947856</v>
      </c>
      <c r="C21" s="24">
        <f>'Purchased Power Model '!G21</f>
        <v>38.6</v>
      </c>
      <c r="D21" s="24">
        <f>'Purchased Power Model '!H21</f>
        <v>10.3</v>
      </c>
      <c r="E21" s="18">
        <f>'Purchased Power Model '!I21</f>
        <v>31</v>
      </c>
      <c r="F21" s="82">
        <f>'Purchased Power Model '!K21</f>
        <v>19</v>
      </c>
      <c r="G21" s="107">
        <f>'Purchased Power Model '!L21</f>
        <v>13.2</v>
      </c>
      <c r="H21" s="36">
        <f>'Purchased Power Model '!M21</f>
        <v>136.20258025846454</v>
      </c>
      <c r="I21" s="36">
        <f>'Purchased Power Model '!O21</f>
        <v>176.8</v>
      </c>
      <c r="J21" s="36">
        <f>'Purchased Power Model '!P21</f>
        <v>313.10000000000002</v>
      </c>
      <c r="K21" s="82">
        <f>'[14]Data Input'!O95+'[16]PSP less Loss factor'!L104</f>
        <v>166</v>
      </c>
      <c r="L21" s="18">
        <f>'Purchased Power Model '!J21</f>
        <v>0</v>
      </c>
      <c r="M21" s="10">
        <f t="shared" si="0"/>
        <v>10223819.390590688</v>
      </c>
      <c r="N21" s="10"/>
      <c r="O21" s="113" t="s">
        <v>5</v>
      </c>
      <c r="P21" s="63">
        <v>156452.259446707</v>
      </c>
      <c r="Q21" s="63">
        <v>41328.401352353183</v>
      </c>
      <c r="R21" s="61">
        <v>3.7855870134642609</v>
      </c>
      <c r="S21" s="113">
        <v>2.4721283726415689E-4</v>
      </c>
      <c r="T21" s="63">
        <v>74573.242401418509</v>
      </c>
      <c r="U21" s="63">
        <v>238331.27649199549</v>
      </c>
    </row>
    <row r="22" spans="1:21">
      <c r="A22" s="3">
        <v>40026</v>
      </c>
      <c r="B22" s="28">
        <f>'[14]Data Input'!L96+'[16]PSP less Loss factor'!J105</f>
        <v>10539578.601360288</v>
      </c>
      <c r="C22" s="24">
        <f>'Purchased Power Model '!G22</f>
        <v>56.9</v>
      </c>
      <c r="D22" s="24">
        <f>'Purchased Power Model '!H22</f>
        <v>39.799999999999997</v>
      </c>
      <c r="E22" s="18">
        <f>'Purchased Power Model '!I22</f>
        <v>31</v>
      </c>
      <c r="F22" s="82">
        <f>'Purchased Power Model '!K22</f>
        <v>20</v>
      </c>
      <c r="G22" s="107">
        <f>'Purchased Power Model '!L22</f>
        <v>12.9</v>
      </c>
      <c r="H22" s="36">
        <f>'Purchased Power Model '!M22</f>
        <v>135.83393482866074</v>
      </c>
      <c r="I22" s="36">
        <f>'Purchased Power Model '!O22</f>
        <v>175.1</v>
      </c>
      <c r="J22" s="36">
        <f>'Purchased Power Model '!P22</f>
        <v>313.3</v>
      </c>
      <c r="K22" s="82">
        <f>'[14]Data Input'!O96+'[16]PSP less Loss factor'!L105</f>
        <v>166</v>
      </c>
      <c r="L22" s="18">
        <f>'Purchased Power Model '!J22</f>
        <v>0</v>
      </c>
      <c r="M22" s="10">
        <f t="shared" si="0"/>
        <v>10719409.860543132</v>
      </c>
      <c r="N22" s="10"/>
      <c r="O22" s="113" t="s">
        <v>70</v>
      </c>
      <c r="P22" s="63">
        <v>-1.6113291696015466</v>
      </c>
      <c r="Q22" s="63">
        <v>0.34017727675391912</v>
      </c>
      <c r="R22" s="61">
        <v>-4.73673369655189</v>
      </c>
      <c r="S22" s="113">
        <v>6.3585007598679039E-6</v>
      </c>
      <c r="T22" s="63">
        <v>-2.2852817090255773</v>
      </c>
      <c r="U22" s="63">
        <v>-0.93737663017751605</v>
      </c>
    </row>
    <row r="23" spans="1:21">
      <c r="A23" s="3">
        <v>40057</v>
      </c>
      <c r="B23" s="28">
        <f>'[14]Data Input'!L97+'[16]PSP less Loss factor'!J106</f>
        <v>9898905.1369733624</v>
      </c>
      <c r="C23" s="24">
        <f>'Purchased Power Model '!G23</f>
        <v>115.6</v>
      </c>
      <c r="D23" s="24">
        <f>'Purchased Power Model '!H23</f>
        <v>2.7</v>
      </c>
      <c r="E23" s="18">
        <f>'Purchased Power Model '!I23</f>
        <v>30</v>
      </c>
      <c r="F23" s="82">
        <f>'Purchased Power Model '!K23</f>
        <v>21</v>
      </c>
      <c r="G23" s="107">
        <f>'Purchased Power Model '!L23</f>
        <v>12.9</v>
      </c>
      <c r="H23" s="36">
        <f>'Purchased Power Model '!M23</f>
        <v>135.46628717329455</v>
      </c>
      <c r="I23" s="36">
        <f>'Purchased Power Model '!O23</f>
        <v>172.6</v>
      </c>
      <c r="J23" s="36">
        <f>'Purchased Power Model '!P23</f>
        <v>313.5</v>
      </c>
      <c r="K23" s="82">
        <f>'[14]Data Input'!O97+'[16]PSP less Loss factor'!L106</f>
        <v>166</v>
      </c>
      <c r="L23" s="18">
        <f>'Purchased Power Model '!J23</f>
        <v>1</v>
      </c>
      <c r="M23" s="10">
        <f t="shared" si="0"/>
        <v>9994474.5005427487</v>
      </c>
      <c r="N23" s="10"/>
      <c r="O23" s="113" t="s">
        <v>117</v>
      </c>
      <c r="P23" s="90">
        <v>-43151.286155966118</v>
      </c>
      <c r="Q23" s="90">
        <v>12140.201841331946</v>
      </c>
      <c r="R23" s="61">
        <v>-3.5544125806092719</v>
      </c>
      <c r="S23" s="113">
        <v>5.542208984628779E-4</v>
      </c>
      <c r="T23" s="90">
        <v>-67203.215603342687</v>
      </c>
      <c r="U23" s="90">
        <v>-19099.356708589548</v>
      </c>
    </row>
    <row r="24" spans="1:21" ht="13" thickBot="1">
      <c r="A24" s="3">
        <v>40087</v>
      </c>
      <c r="B24" s="28">
        <f>'[14]Data Input'!L98+'[16]PSP less Loss factor'!J107</f>
        <v>9798831.6081617232</v>
      </c>
      <c r="C24" s="24">
        <f>'Purchased Power Model '!G24</f>
        <v>341.6</v>
      </c>
      <c r="D24" s="24">
        <f>'Purchased Power Model '!H24</f>
        <v>0</v>
      </c>
      <c r="E24" s="18">
        <f>'Purchased Power Model '!I24</f>
        <v>31</v>
      </c>
      <c r="F24" s="82">
        <f>'Purchased Power Model '!K24</f>
        <v>22</v>
      </c>
      <c r="G24" s="107">
        <f>'Purchased Power Model '!L24</f>
        <v>14.2</v>
      </c>
      <c r="H24" s="36">
        <f>'Purchased Power Model '!M24</f>
        <v>135.09963459179312</v>
      </c>
      <c r="I24" s="36">
        <f>'Purchased Power Model '!O24</f>
        <v>170.5</v>
      </c>
      <c r="J24" s="36">
        <f>'Purchased Power Model '!P24</f>
        <v>313.7</v>
      </c>
      <c r="K24" s="82">
        <f>'[14]Data Input'!O98+'[16]PSP less Loss factor'!L107</f>
        <v>166</v>
      </c>
      <c r="L24" s="18">
        <f>'Purchased Power Model '!J24</f>
        <v>1</v>
      </c>
      <c r="M24" s="10">
        <f t="shared" si="0"/>
        <v>10247484.259501856</v>
      </c>
      <c r="N24" s="10"/>
      <c r="O24" s="114" t="s">
        <v>6</v>
      </c>
      <c r="P24" s="64">
        <v>46739.173928759257</v>
      </c>
      <c r="Q24" s="64">
        <v>15514.077397641679</v>
      </c>
      <c r="R24" s="62">
        <v>3.0126943891529225</v>
      </c>
      <c r="S24" s="114">
        <v>3.1962123527440557E-3</v>
      </c>
      <c r="T24" s="64">
        <v>16002.988494112629</v>
      </c>
      <c r="U24" s="64">
        <v>77475.359363405878</v>
      </c>
    </row>
    <row r="25" spans="1:21">
      <c r="A25" s="3">
        <v>40118</v>
      </c>
      <c r="B25" s="28">
        <f>'[14]Data Input'!L99+'[16]PSP less Loss factor'!J108</f>
        <v>9660082.6125070844</v>
      </c>
      <c r="C25" s="24">
        <f>'Purchased Power Model '!G25</f>
        <v>414.1</v>
      </c>
      <c r="D25" s="24">
        <f>'Purchased Power Model '!H25</f>
        <v>0</v>
      </c>
      <c r="E25" s="18">
        <f>'Purchased Power Model '!I25</f>
        <v>30</v>
      </c>
      <c r="F25" s="82">
        <f>'Purchased Power Model '!K25</f>
        <v>23</v>
      </c>
      <c r="G25" s="107">
        <f>'Purchased Power Model '!L25</f>
        <v>15.4</v>
      </c>
      <c r="H25" s="36">
        <f>'Purchased Power Model '!M25</f>
        <v>134.733974390893</v>
      </c>
      <c r="I25" s="36">
        <f>'Purchased Power Model '!O25</f>
        <v>171.9</v>
      </c>
      <c r="J25" s="36">
        <f>'Purchased Power Model '!P25</f>
        <v>313.8</v>
      </c>
      <c r="K25" s="82">
        <f>'[14]Data Input'!O99+'[16]PSP less Loss factor'!L108</f>
        <v>166</v>
      </c>
      <c r="L25" s="18">
        <f>'Purchased Power Model '!J25</f>
        <v>1</v>
      </c>
      <c r="M25" s="10">
        <f t="shared" si="0"/>
        <v>10090795.34787946</v>
      </c>
      <c r="N25" s="10"/>
      <c r="O25"/>
    </row>
    <row r="26" spans="1:21">
      <c r="A26" s="3">
        <v>40148</v>
      </c>
      <c r="B26" s="28">
        <f>'[14]Data Input'!L100+'[16]PSP less Loss factor'!J109</f>
        <v>9723263.7243529186</v>
      </c>
      <c r="C26" s="24">
        <f>'Purchased Power Model '!G26</f>
        <v>750.2</v>
      </c>
      <c r="D26" s="24">
        <f>'Purchased Power Model '!H26</f>
        <v>0</v>
      </c>
      <c r="E26" s="18">
        <f>'Purchased Power Model '!I26</f>
        <v>31</v>
      </c>
      <c r="F26" s="82">
        <f>'Purchased Power Model '!K26</f>
        <v>24</v>
      </c>
      <c r="G26" s="107">
        <f>'Purchased Power Model '!L26</f>
        <v>16.600000000000001</v>
      </c>
      <c r="H26" s="36">
        <f>'Purchased Power Model '!M26</f>
        <v>134.36930388462019</v>
      </c>
      <c r="I26" s="36">
        <f>'Purchased Power Model '!O26</f>
        <v>172.5</v>
      </c>
      <c r="J26" s="36">
        <f>'Purchased Power Model '!P26</f>
        <v>313.89999999999998</v>
      </c>
      <c r="K26" s="82">
        <f>'[14]Data Input'!O100+'[16]PSP less Loss factor'!L109</f>
        <v>165</v>
      </c>
      <c r="L26" s="18">
        <f>'Purchased Power Model '!J26</f>
        <v>0</v>
      </c>
      <c r="M26" s="10">
        <f t="shared" si="0"/>
        <v>10496612.45293287</v>
      </c>
      <c r="N26" s="10"/>
      <c r="O26"/>
    </row>
    <row r="27" spans="1:21">
      <c r="A27" s="3">
        <v>40179</v>
      </c>
      <c r="B27" s="28">
        <f>'[14]Data Input'!L101+'[16]PSP less Loss factor'!J110</f>
        <v>11139359.421689022</v>
      </c>
      <c r="C27" s="24">
        <f>'Purchased Power Model '!G27</f>
        <v>839.2</v>
      </c>
      <c r="D27" s="24">
        <f>'Purchased Power Model '!H27</f>
        <v>0</v>
      </c>
      <c r="E27" s="18">
        <f>'Purchased Power Model '!I27</f>
        <v>31</v>
      </c>
      <c r="F27" s="82">
        <f>'Purchased Power Model '!K27</f>
        <v>25</v>
      </c>
      <c r="G27" s="107">
        <f>'Purchased Power Model '!L27</f>
        <v>19</v>
      </c>
      <c r="H27" s="36">
        <f>'Purchased Power Model '!M27</f>
        <v>134.73334561620703</v>
      </c>
      <c r="I27" s="36">
        <f>'Purchased Power Model '!O27</f>
        <v>172.6</v>
      </c>
      <c r="J27" s="36">
        <f>'Purchased Power Model '!P27</f>
        <v>314</v>
      </c>
      <c r="K27" s="82">
        <f>'[14]Data Input'!O101+'[16]PSP less Loss factor'!L110</f>
        <v>166</v>
      </c>
      <c r="L27" s="18">
        <f>'Purchased Power Model '!J27</f>
        <v>0</v>
      </c>
      <c r="M27" s="10">
        <f t="shared" si="0"/>
        <v>10494320.793411359</v>
      </c>
      <c r="N27" s="10"/>
      <c r="O27"/>
    </row>
    <row r="28" spans="1:21">
      <c r="A28" s="3">
        <v>40210</v>
      </c>
      <c r="B28" s="28">
        <f>'[14]Data Input'!L102+'[16]PSP less Loss factor'!J111</f>
        <v>9246649.9901757035</v>
      </c>
      <c r="C28" s="24">
        <f>'Purchased Power Model '!G28</f>
        <v>647.5</v>
      </c>
      <c r="D28" s="24">
        <f>'Purchased Power Model '!H28</f>
        <v>0</v>
      </c>
      <c r="E28" s="18">
        <f>'Purchased Power Model '!I28</f>
        <v>28</v>
      </c>
      <c r="F28" s="82">
        <f>'Purchased Power Model '!K28</f>
        <v>26</v>
      </c>
      <c r="G28" s="107">
        <f>'Purchased Power Model '!L28</f>
        <v>19.3</v>
      </c>
      <c r="H28" s="36">
        <f>'Purchased Power Model '!M28</f>
        <v>135.09837363244745</v>
      </c>
      <c r="I28" s="36">
        <f>'Purchased Power Model '!O28</f>
        <v>172.7</v>
      </c>
      <c r="J28" s="36">
        <f>'Purchased Power Model '!P28</f>
        <v>314.10000000000002</v>
      </c>
      <c r="K28" s="82">
        <f>'[14]Data Input'!O102+'[16]PSP less Loss factor'!L111</f>
        <v>165</v>
      </c>
      <c r="L28" s="18">
        <f>'Purchased Power Model '!J28</f>
        <v>0</v>
      </c>
      <c r="M28" s="10">
        <f t="shared" si="0"/>
        <v>9847592.0121768378</v>
      </c>
      <c r="N28" s="10"/>
      <c r="O28"/>
    </row>
    <row r="29" spans="1:21">
      <c r="A29" s="3">
        <v>40238</v>
      </c>
      <c r="B29" s="28">
        <f>'[14]Data Input'!L103+'[16]PSP less Loss factor'!J112</f>
        <v>9488697.2010202147</v>
      </c>
      <c r="C29" s="24">
        <f>'Purchased Power Model '!G29</f>
        <v>427</v>
      </c>
      <c r="D29" s="24">
        <f>'Purchased Power Model '!H29</f>
        <v>0</v>
      </c>
      <c r="E29" s="18">
        <f>'Purchased Power Model '!I29</f>
        <v>31</v>
      </c>
      <c r="F29" s="82">
        <f>'Purchased Power Model '!K29</f>
        <v>27</v>
      </c>
      <c r="G29" s="107">
        <f>'Purchased Power Model '!L29</f>
        <v>20.9</v>
      </c>
      <c r="H29" s="36">
        <f>'Purchased Power Model '!M29</f>
        <v>135.46439060544563</v>
      </c>
      <c r="I29" s="36">
        <f>'Purchased Power Model '!O29</f>
        <v>173.5</v>
      </c>
      <c r="J29" s="36">
        <f>'Purchased Power Model '!P29</f>
        <v>314.3</v>
      </c>
      <c r="K29" s="82">
        <f>'[14]Data Input'!O103+'[16]PSP less Loss factor'!L112</f>
        <v>166</v>
      </c>
      <c r="L29" s="18">
        <f>'Purchased Power Model '!J29</f>
        <v>1</v>
      </c>
      <c r="M29" s="10">
        <f t="shared" si="0"/>
        <v>10056260.819218855</v>
      </c>
      <c r="N29" s="10"/>
      <c r="O29"/>
    </row>
    <row r="30" spans="1:21">
      <c r="A30" s="3">
        <v>40269</v>
      </c>
      <c r="B30" s="28">
        <f>'[14]Data Input'!L104+'[16]PSP less Loss factor'!J113</f>
        <v>8693809.9497449454</v>
      </c>
      <c r="C30" s="24">
        <f>'Purchased Power Model '!G30</f>
        <v>287.3</v>
      </c>
      <c r="D30" s="24">
        <f>'Purchased Power Model '!H30</f>
        <v>0</v>
      </c>
      <c r="E30" s="18">
        <f>'Purchased Power Model '!I30</f>
        <v>30</v>
      </c>
      <c r="F30" s="82">
        <f>'Purchased Power Model '!K30</f>
        <v>28</v>
      </c>
      <c r="G30" s="107">
        <f>'Purchased Power Model '!L30</f>
        <v>18.2</v>
      </c>
      <c r="H30" s="36">
        <f>'Purchased Power Model '!M30</f>
        <v>135.83139921454512</v>
      </c>
      <c r="I30" s="36">
        <f>'Purchased Power Model '!O30</f>
        <v>176.2</v>
      </c>
      <c r="J30" s="36">
        <f>'Purchased Power Model '!P30</f>
        <v>314.39999999999998</v>
      </c>
      <c r="K30" s="82">
        <f>'[14]Data Input'!O104+'[16]PSP less Loss factor'!L113</f>
        <v>165</v>
      </c>
      <c r="L30" s="18">
        <f>'Purchased Power Model '!J30</f>
        <v>1</v>
      </c>
      <c r="M30" s="10">
        <f t="shared" si="0"/>
        <v>9901212.3966888115</v>
      </c>
      <c r="N30" s="10"/>
      <c r="O30"/>
    </row>
    <row r="31" spans="1:21">
      <c r="A31" s="3">
        <v>40299</v>
      </c>
      <c r="B31" s="28">
        <f>'[14]Data Input'!L105+'[16]PSP less Loss factor'!J114</f>
        <v>9786918.7022482529</v>
      </c>
      <c r="C31" s="24">
        <f>'Purchased Power Model '!G31</f>
        <v>151.6</v>
      </c>
      <c r="D31" s="24">
        <f>'Purchased Power Model '!H31</f>
        <v>22.9</v>
      </c>
      <c r="E31" s="18">
        <f>'Purchased Power Model '!I31</f>
        <v>31</v>
      </c>
      <c r="F31" s="82">
        <f>'Purchased Power Model '!K31</f>
        <v>29</v>
      </c>
      <c r="G31" s="107">
        <f>'Purchased Power Model '!L31</f>
        <v>16.7</v>
      </c>
      <c r="H31" s="36">
        <f>'Purchased Power Model '!M31</f>
        <v>136.19940214634852</v>
      </c>
      <c r="I31" s="36">
        <f>'Purchased Power Model '!O31</f>
        <v>178.7</v>
      </c>
      <c r="J31" s="36">
        <f>'Purchased Power Model '!P31</f>
        <v>314.60000000000002</v>
      </c>
      <c r="K31" s="82">
        <f>'[14]Data Input'!O105+'[16]PSP less Loss factor'!L114</f>
        <v>166</v>
      </c>
      <c r="L31" s="18">
        <f>'Purchased Power Model '!J31</f>
        <v>1</v>
      </c>
      <c r="M31" s="10">
        <f t="shared" si="0"/>
        <v>10385711.447076093</v>
      </c>
      <c r="N31" s="10"/>
      <c r="O31"/>
    </row>
    <row r="32" spans="1:21">
      <c r="A32" s="3">
        <v>40330</v>
      </c>
      <c r="B32" s="28">
        <f>'[14]Data Input'!L106+'[16]PSP less Loss factor'!J115</f>
        <v>9535052.9665596075</v>
      </c>
      <c r="C32" s="24">
        <f>'Purchased Power Model '!G32</f>
        <v>66.2</v>
      </c>
      <c r="D32" s="24">
        <f>'Purchased Power Model '!H32</f>
        <v>12</v>
      </c>
      <c r="E32" s="18">
        <f>'Purchased Power Model '!I32</f>
        <v>30</v>
      </c>
      <c r="F32" s="82">
        <f>'Purchased Power Model '!K32</f>
        <v>30</v>
      </c>
      <c r="G32" s="107">
        <f>'Purchased Power Model '!L32</f>
        <v>13.3</v>
      </c>
      <c r="H32" s="36">
        <f>'Purchased Power Model '!M32</f>
        <v>136.56840209473719</v>
      </c>
      <c r="I32" s="36">
        <f>'Purchased Power Model '!O32</f>
        <v>179</v>
      </c>
      <c r="J32" s="36">
        <f>'Purchased Power Model '!P32</f>
        <v>314.8</v>
      </c>
      <c r="K32" s="82">
        <f>'[14]Data Input'!O106+'[16]PSP less Loss factor'!L115</f>
        <v>167</v>
      </c>
      <c r="L32" s="18">
        <f>'Purchased Power Model '!J32</f>
        <v>0</v>
      </c>
      <c r="M32" s="10">
        <f t="shared" si="0"/>
        <v>10134070.02078614</v>
      </c>
      <c r="N32" s="10"/>
      <c r="O32"/>
    </row>
    <row r="33" spans="1:15">
      <c r="A33" s="3">
        <v>40360</v>
      </c>
      <c r="B33" s="28">
        <f>'[14]Data Input'!L107+'[16]PSP less Loss factor'!J116</f>
        <v>10728605.686567165</v>
      </c>
      <c r="C33" s="24">
        <f>'Purchased Power Model '!G33</f>
        <v>13.1</v>
      </c>
      <c r="D33" s="24">
        <f>'Purchased Power Model '!H33</f>
        <v>95.7</v>
      </c>
      <c r="E33" s="18">
        <f>'Purchased Power Model '!I33</f>
        <v>31</v>
      </c>
      <c r="F33" s="82">
        <f>'Purchased Power Model '!K33</f>
        <v>31</v>
      </c>
      <c r="G33" s="107">
        <f>'Purchased Power Model '!L33</f>
        <v>14.3</v>
      </c>
      <c r="H33" s="36">
        <f>'Purchased Power Model '!M33</f>
        <v>136.93840176089088</v>
      </c>
      <c r="I33" s="36">
        <f>'Purchased Power Model '!O33</f>
        <v>176.8</v>
      </c>
      <c r="J33" s="36">
        <f>'Purchased Power Model '!P33</f>
        <v>315.10000000000002</v>
      </c>
      <c r="K33" s="82">
        <f>'[14]Data Input'!O107+'[16]PSP less Loss factor'!L116</f>
        <v>166</v>
      </c>
      <c r="L33" s="18">
        <f>'Purchased Power Model '!J33</f>
        <v>0</v>
      </c>
      <c r="M33" s="10">
        <f t="shared" si="0"/>
        <v>11583530.877141744</v>
      </c>
      <c r="N33" s="10"/>
      <c r="O33"/>
    </row>
    <row r="34" spans="1:15">
      <c r="A34" s="3">
        <v>40391</v>
      </c>
      <c r="B34" s="28">
        <f>'[14]Data Input'!L108+'[16]PSP less Loss factor'!J117</f>
        <v>10578341.846967693</v>
      </c>
      <c r="C34" s="24">
        <f>'Purchased Power Model '!G34</f>
        <v>25.9</v>
      </c>
      <c r="D34" s="24">
        <f>'Purchased Power Model '!H34</f>
        <v>61.1</v>
      </c>
      <c r="E34" s="18">
        <f>'Purchased Power Model '!I34</f>
        <v>31</v>
      </c>
      <c r="F34" s="82">
        <f>'Purchased Power Model '!K34</f>
        <v>32</v>
      </c>
      <c r="G34" s="107">
        <f>'Purchased Power Model '!L34</f>
        <v>15.9</v>
      </c>
      <c r="H34" s="36">
        <f>'Purchased Power Model '!M34</f>
        <v>137.30940385330757</v>
      </c>
      <c r="I34" s="36">
        <f>'Purchased Power Model '!O34</f>
        <v>174</v>
      </c>
      <c r="J34" s="36">
        <f>'Purchased Power Model '!P34</f>
        <v>315.3</v>
      </c>
      <c r="K34" s="82">
        <f>'[14]Data Input'!O108+'[16]PSP less Loss factor'!L117</f>
        <v>166</v>
      </c>
      <c r="L34" s="18">
        <f>'Purchased Power Model '!J34</f>
        <v>0</v>
      </c>
      <c r="M34" s="10">
        <f t="shared" si="0"/>
        <v>10977969.40609324</v>
      </c>
      <c r="N34" s="10"/>
      <c r="O34"/>
    </row>
    <row r="35" spans="1:15">
      <c r="A35" s="3">
        <v>40422</v>
      </c>
      <c r="B35" s="28">
        <f>'[14]Data Input'!L109+'[16]PSP less Loss factor'!J118</f>
        <v>9751621.1932741366</v>
      </c>
      <c r="C35" s="24">
        <f>'Purchased Power Model '!G35</f>
        <v>143.1</v>
      </c>
      <c r="D35" s="24">
        <f>'Purchased Power Model '!H35</f>
        <v>17.5</v>
      </c>
      <c r="E35" s="18">
        <f>'Purchased Power Model '!I35</f>
        <v>30</v>
      </c>
      <c r="F35" s="82">
        <f>'Purchased Power Model '!K35</f>
        <v>33</v>
      </c>
      <c r="G35" s="107">
        <f>'Purchased Power Model '!L35</f>
        <v>17.5</v>
      </c>
      <c r="H35" s="36">
        <f>'Purchased Power Model '!M35</f>
        <v>137.68141108782325</v>
      </c>
      <c r="I35" s="36">
        <f>'Purchased Power Model '!O35</f>
        <v>171.8</v>
      </c>
      <c r="J35" s="36">
        <f>'Purchased Power Model '!P35</f>
        <v>315.60000000000002</v>
      </c>
      <c r="K35" s="82">
        <f>'[14]Data Input'!O109+'[16]PSP less Loss factor'!L118</f>
        <v>166</v>
      </c>
      <c r="L35" s="18">
        <f>'Purchased Power Model '!J35</f>
        <v>1</v>
      </c>
      <c r="M35" s="10">
        <f t="shared" si="0"/>
        <v>10167620.935374254</v>
      </c>
      <c r="N35" s="10"/>
      <c r="O35"/>
    </row>
    <row r="36" spans="1:15">
      <c r="A36" s="3">
        <v>40452</v>
      </c>
      <c r="B36" s="28">
        <f>'[14]Data Input'!L110+'[16]PSP less Loss factor'!J119</f>
        <v>9467967.3899489883</v>
      </c>
      <c r="C36" s="24">
        <f>'Purchased Power Model '!G36</f>
        <v>318.60000000000002</v>
      </c>
      <c r="D36" s="24">
        <f>'Purchased Power Model '!H36</f>
        <v>0</v>
      </c>
      <c r="E36" s="18">
        <f>'Purchased Power Model '!I36</f>
        <v>31</v>
      </c>
      <c r="F36" s="82">
        <f>'Purchased Power Model '!K36</f>
        <v>34</v>
      </c>
      <c r="G36" s="107">
        <f>'Purchased Power Model '!L36</f>
        <v>17.3</v>
      </c>
      <c r="H36" s="36">
        <f>'Purchased Power Model '!M36</f>
        <v>138.0544261876318</v>
      </c>
      <c r="I36" s="36">
        <f>'Purchased Power Model '!O36</f>
        <v>170.9</v>
      </c>
      <c r="J36" s="36">
        <f>'Purchased Power Model '!P36</f>
        <v>315.8</v>
      </c>
      <c r="K36" s="82">
        <f>'[14]Data Input'!O110+'[16]PSP less Loss factor'!L119</f>
        <v>166</v>
      </c>
      <c r="L36" s="18">
        <f>'Purchased Power Model '!J36</f>
        <v>1</v>
      </c>
      <c r="M36" s="10">
        <f t="shared" si="0"/>
        <v>10230025.908028159</v>
      </c>
      <c r="N36" s="10"/>
      <c r="O36"/>
    </row>
    <row r="37" spans="1:15">
      <c r="A37" s="3">
        <v>40483</v>
      </c>
      <c r="B37" s="28">
        <f>'[14]Data Input'!L111+'[16]PSP less Loss factor'!J120</f>
        <v>9459973.5376912914</v>
      </c>
      <c r="C37" s="24">
        <f>'Purchased Power Model '!G37</f>
        <v>398.8</v>
      </c>
      <c r="D37" s="24">
        <f>'Purchased Power Model '!H37</f>
        <v>0</v>
      </c>
      <c r="E37" s="18">
        <f>'Purchased Power Model '!I37</f>
        <v>30</v>
      </c>
      <c r="F37" s="82">
        <f>'Purchased Power Model '!K37</f>
        <v>35</v>
      </c>
      <c r="G37" s="107">
        <f>'Purchased Power Model '!L37</f>
        <v>16.2</v>
      </c>
      <c r="H37" s="36">
        <f>'Purchased Power Model '!M37</f>
        <v>138.42845188330503</v>
      </c>
      <c r="I37" s="36">
        <f>'Purchased Power Model '!O37</f>
        <v>167.8</v>
      </c>
      <c r="J37" s="36">
        <f>'Purchased Power Model '!P37</f>
        <v>315.89999999999998</v>
      </c>
      <c r="K37" s="82">
        <f>'[14]Data Input'!O111+'[16]PSP less Loss factor'!L120</f>
        <v>166</v>
      </c>
      <c r="L37" s="18">
        <f>'Purchased Power Model '!J37</f>
        <v>1</v>
      </c>
      <c r="M37" s="10">
        <f t="shared" si="0"/>
        <v>10214447.001904994</v>
      </c>
      <c r="N37" s="10"/>
      <c r="O37"/>
    </row>
    <row r="38" spans="1:15">
      <c r="A38" s="3">
        <v>40513</v>
      </c>
      <c r="B38" s="28">
        <f>'[14]Data Input'!L112+'[16]PSP less Loss factor'!J121</f>
        <v>10018989.706593614</v>
      </c>
      <c r="C38" s="24">
        <f>'Purchased Power Model '!G38</f>
        <v>776.1</v>
      </c>
      <c r="D38" s="24">
        <f>'Purchased Power Model '!H38</f>
        <v>0</v>
      </c>
      <c r="E38" s="18">
        <f>'Purchased Power Model '!I38</f>
        <v>31</v>
      </c>
      <c r="F38" s="82">
        <f>'Purchased Power Model '!K38</f>
        <v>36</v>
      </c>
      <c r="G38" s="107">
        <f>'Purchased Power Model '!L38</f>
        <v>17.2</v>
      </c>
      <c r="H38" s="36">
        <f>'Purchased Power Model '!M38</f>
        <v>138.80349091281266</v>
      </c>
      <c r="I38" s="36">
        <f>'Purchased Power Model '!O38</f>
        <v>166</v>
      </c>
      <c r="J38" s="36">
        <f>'Purchased Power Model '!P38</f>
        <v>316</v>
      </c>
      <c r="K38" s="82">
        <f>'[14]Data Input'!O112+'[16]PSP less Loss factor'!L121</f>
        <v>166</v>
      </c>
      <c r="L38" s="18">
        <f>'Purchased Power Model '!J38</f>
        <v>0</v>
      </c>
      <c r="M38" s="10">
        <f t="shared" si="0"/>
        <v>10702472.617124671</v>
      </c>
      <c r="N38" s="10"/>
      <c r="O38"/>
    </row>
    <row r="39" spans="1:15">
      <c r="A39" s="3">
        <v>40544</v>
      </c>
      <c r="B39" s="28">
        <f>'[14]Data Input'!L113+'[16]PSP less Loss factor'!J122</f>
        <v>10074976.629888531</v>
      </c>
      <c r="C39" s="24">
        <f>'Purchased Power Model '!G39</f>
        <v>891.9</v>
      </c>
      <c r="D39" s="24">
        <f>'Purchased Power Model '!H39</f>
        <v>0</v>
      </c>
      <c r="E39" s="18">
        <f>'Purchased Power Model '!I39</f>
        <v>31</v>
      </c>
      <c r="F39" s="82">
        <f>'Purchased Power Model '!K39</f>
        <v>37</v>
      </c>
      <c r="G39" s="107">
        <f>'Purchased Power Model '!L39</f>
        <v>19.3</v>
      </c>
      <c r="H39" s="36">
        <f>'Purchased Power Model '!M39</f>
        <v>139.10070640604135</v>
      </c>
      <c r="I39" s="36">
        <f>'Purchased Power Model '!O39</f>
        <v>163.6</v>
      </c>
      <c r="J39" s="36">
        <f>'Purchased Power Model '!P39</f>
        <v>316.10000000000002</v>
      </c>
      <c r="K39" s="82">
        <f>'[14]Data Input'!O113+'[16]PSP less Loss factor'!L122</f>
        <v>164</v>
      </c>
      <c r="L39" s="18">
        <f>'Purchased Power Model '!J39</f>
        <v>0</v>
      </c>
      <c r="M39" s="10">
        <f t="shared" si="0"/>
        <v>10735375.020846371</v>
      </c>
      <c r="N39" s="10"/>
      <c r="O39"/>
    </row>
    <row r="40" spans="1:15">
      <c r="A40" s="3">
        <v>40575</v>
      </c>
      <c r="B40" s="28">
        <f>'[14]Data Input'!L114+'[16]PSP less Loss factor'!J123</f>
        <v>9737166.32495749</v>
      </c>
      <c r="C40" s="24">
        <f>'Purchased Power Model '!G40</f>
        <v>650.89999999999975</v>
      </c>
      <c r="D40" s="24">
        <f>'Purchased Power Model '!H40</f>
        <v>0</v>
      </c>
      <c r="E40" s="18">
        <f>'Purchased Power Model '!I40</f>
        <v>28</v>
      </c>
      <c r="F40" s="82">
        <f>'Purchased Power Model '!K40</f>
        <v>38</v>
      </c>
      <c r="G40" s="107">
        <f>'Purchased Power Model '!L40</f>
        <v>20.9</v>
      </c>
      <c r="H40" s="36">
        <f>'Purchased Power Model '!M40</f>
        <v>139.39855831733732</v>
      </c>
      <c r="I40" s="36">
        <f>'Purchased Power Model '!O40</f>
        <v>162.69999999999999</v>
      </c>
      <c r="J40" s="36">
        <f>'Purchased Power Model '!P40</f>
        <v>316.10000000000002</v>
      </c>
      <c r="K40" s="82">
        <f>'[14]Data Input'!O114+'[16]PSP less Loss factor'!L123</f>
        <v>158</v>
      </c>
      <c r="L40" s="18">
        <f>'Purchased Power Model '!J40</f>
        <v>0</v>
      </c>
      <c r="M40" s="10">
        <f t="shared" si="0"/>
        <v>9982736.5443330854</v>
      </c>
      <c r="N40" s="10"/>
      <c r="O40"/>
    </row>
    <row r="41" spans="1:15">
      <c r="A41" s="3">
        <v>40603</v>
      </c>
      <c r="B41" s="28">
        <f>'[14]Data Input'!L115+'[16]PSP less Loss factor'!J124</f>
        <v>9590244.6482807472</v>
      </c>
      <c r="C41" s="24">
        <f>'Purchased Power Model '!G41</f>
        <v>574.80000000000007</v>
      </c>
      <c r="D41" s="24">
        <f>'Purchased Power Model '!H41</f>
        <v>0</v>
      </c>
      <c r="E41" s="18">
        <f>'Purchased Power Model '!I41</f>
        <v>31</v>
      </c>
      <c r="F41" s="82">
        <f>'Purchased Power Model '!K41</f>
        <v>39</v>
      </c>
      <c r="G41" s="107">
        <f>'Purchased Power Model '!L41</f>
        <v>20.6</v>
      </c>
      <c r="H41" s="36">
        <f>'Purchased Power Model '!M41</f>
        <v>139.69704800944226</v>
      </c>
      <c r="I41" s="36">
        <f>'Purchased Power Model '!O41</f>
        <v>164</v>
      </c>
      <c r="J41" s="36">
        <f>'Purchased Power Model '!P41</f>
        <v>316.2</v>
      </c>
      <c r="K41" s="82">
        <f>'[14]Data Input'!O115+'[16]PSP less Loss factor'!L124</f>
        <v>165</v>
      </c>
      <c r="L41" s="18">
        <f>'Purchased Power Model '!J41</f>
        <v>1</v>
      </c>
      <c r="M41" s="10">
        <f t="shared" si="0"/>
        <v>10406942.910628868</v>
      </c>
      <c r="N41" s="10"/>
      <c r="O41"/>
    </row>
    <row r="42" spans="1:15">
      <c r="A42" s="3">
        <v>40634</v>
      </c>
      <c r="B42" s="28">
        <f>'[14]Data Input'!L116+'[16]PSP less Loss factor'!J125</f>
        <v>9299251.4277347438</v>
      </c>
      <c r="C42" s="24">
        <f>'Purchased Power Model '!G42</f>
        <v>390.90000000000003</v>
      </c>
      <c r="D42" s="24">
        <f>'Purchased Power Model '!H42</f>
        <v>0</v>
      </c>
      <c r="E42" s="18">
        <f>'Purchased Power Model '!I42</f>
        <v>30</v>
      </c>
      <c r="F42" s="82">
        <f>'Purchased Power Model '!K42</f>
        <v>40</v>
      </c>
      <c r="G42" s="107">
        <f>'Purchased Power Model '!L42</f>
        <v>19</v>
      </c>
      <c r="H42" s="36">
        <f>'Purchased Power Model '!M42</f>
        <v>139.99617684801592</v>
      </c>
      <c r="I42" s="36">
        <f>'Purchased Power Model '!O42</f>
        <v>166</v>
      </c>
      <c r="J42" s="36">
        <f>'Purchased Power Model '!P42</f>
        <v>316.2</v>
      </c>
      <c r="K42" s="82">
        <f>'[14]Data Input'!O116+'[16]PSP less Loss factor'!L125</f>
        <v>165</v>
      </c>
      <c r="L42" s="18">
        <f>'Purchased Power Model '!J42</f>
        <v>1</v>
      </c>
      <c r="M42" s="10">
        <f t="shared" si="0"/>
        <v>10159410.430367723</v>
      </c>
      <c r="N42" s="10"/>
      <c r="O42"/>
    </row>
    <row r="43" spans="1:15">
      <c r="A43" s="3">
        <v>40664</v>
      </c>
      <c r="B43" s="28">
        <f>'[14]Data Input'!L117+'[16]PSP less Loss factor'!J126</f>
        <v>9697629.0408086143</v>
      </c>
      <c r="C43" s="24">
        <f>'Purchased Power Model '!G43</f>
        <v>147.10000000000002</v>
      </c>
      <c r="D43" s="24">
        <f>'Purchased Power Model '!H43</f>
        <v>10.1</v>
      </c>
      <c r="E43" s="18">
        <f>'Purchased Power Model '!I43</f>
        <v>31</v>
      </c>
      <c r="F43" s="82">
        <f>'Purchased Power Model '!K43</f>
        <v>41</v>
      </c>
      <c r="G43" s="107">
        <f>'Purchased Power Model '!L43</f>
        <v>17.899999999999999</v>
      </c>
      <c r="H43" s="36">
        <f>'Purchased Power Model '!M43</f>
        <v>140.29594620164227</v>
      </c>
      <c r="I43" s="36">
        <f>'Purchased Power Model '!O43</f>
        <v>171.8</v>
      </c>
      <c r="J43" s="36">
        <f>'Purchased Power Model '!P43</f>
        <v>316.3</v>
      </c>
      <c r="K43" s="82">
        <f>'[14]Data Input'!O117+'[16]PSP less Loss factor'!L126</f>
        <v>167</v>
      </c>
      <c r="L43" s="18">
        <f>'Purchased Power Model '!J43</f>
        <v>1</v>
      </c>
      <c r="M43" s="10">
        <f t="shared" si="0"/>
        <v>10311740.958343998</v>
      </c>
      <c r="N43" s="10"/>
      <c r="O43"/>
    </row>
    <row r="44" spans="1:15">
      <c r="A44" s="3">
        <v>40695</v>
      </c>
      <c r="B44" s="28">
        <f>'[14]Data Input'!L118+'[16]PSP less Loss factor'!J127</f>
        <v>9391810.1414131876</v>
      </c>
      <c r="C44" s="24">
        <f>'Purchased Power Model '!G44</f>
        <v>57.70000000000001</v>
      </c>
      <c r="D44" s="24">
        <f>'Purchased Power Model '!H44</f>
        <v>13.4</v>
      </c>
      <c r="E44" s="18">
        <f>'Purchased Power Model '!I44</f>
        <v>30</v>
      </c>
      <c r="F44" s="82">
        <f>'Purchased Power Model '!K44</f>
        <v>42</v>
      </c>
      <c r="G44" s="107">
        <f>'Purchased Power Model '!L44</f>
        <v>16.8</v>
      </c>
      <c r="H44" s="36">
        <f>'Purchased Power Model '!M44</f>
        <v>140.59635744183578</v>
      </c>
      <c r="I44" s="36">
        <f>'Purchased Power Model '!O44</f>
        <v>177.8</v>
      </c>
      <c r="J44" s="36">
        <f>'Purchased Power Model '!P44</f>
        <v>316.5</v>
      </c>
      <c r="K44" s="82">
        <f>'[14]Data Input'!O118+'[16]PSP less Loss factor'!L127</f>
        <v>166</v>
      </c>
      <c r="L44" s="18">
        <f>'Purchased Power Model '!J44</f>
        <v>0</v>
      </c>
      <c r="M44" s="10">
        <f t="shared" si="0"/>
        <v>10186138.142472569</v>
      </c>
      <c r="N44" s="10"/>
      <c r="O44"/>
    </row>
    <row r="45" spans="1:15">
      <c r="A45" s="3">
        <v>40725</v>
      </c>
      <c r="B45" s="28">
        <f>'[14]Data Input'!L119+'[16]PSP less Loss factor'!J128</f>
        <v>10883808.525509164</v>
      </c>
      <c r="C45" s="24">
        <f>'Purchased Power Model '!G45</f>
        <v>2</v>
      </c>
      <c r="D45" s="24">
        <f>'Purchased Power Model '!H45</f>
        <v>80.600000000000009</v>
      </c>
      <c r="E45" s="18">
        <f>'Purchased Power Model '!I45</f>
        <v>31</v>
      </c>
      <c r="F45" s="82">
        <f>'Purchased Power Model '!K45</f>
        <v>43</v>
      </c>
      <c r="G45" s="107">
        <f>'Purchased Power Model '!L45</f>
        <v>16.5</v>
      </c>
      <c r="H45" s="36">
        <f>'Purchased Power Model '!M45</f>
        <v>140.89741194304773</v>
      </c>
      <c r="I45" s="36">
        <f>'Purchased Power Model '!O45</f>
        <v>183</v>
      </c>
      <c r="J45" s="36">
        <f>'Purchased Power Model '!P45</f>
        <v>316.7</v>
      </c>
      <c r="K45" s="82">
        <f>'[14]Data Input'!O119+'[16]PSP less Loss factor'!L128</f>
        <v>166</v>
      </c>
      <c r="L45" s="18">
        <f>'Purchased Power Model '!J45</f>
        <v>0</v>
      </c>
      <c r="M45" s="10">
        <f t="shared" si="0"/>
        <v>11416109.842926202</v>
      </c>
      <c r="N45" s="10"/>
      <c r="O45"/>
    </row>
    <row r="46" spans="1:15">
      <c r="A46" s="3">
        <v>40756</v>
      </c>
      <c r="B46" s="28">
        <f>'[14]Data Input'!L120+'[16]PSP less Loss factor'!J129</f>
        <v>10408527.87332223</v>
      </c>
      <c r="C46" s="24">
        <f>'Purchased Power Model '!G46</f>
        <v>15.9</v>
      </c>
      <c r="D46" s="24">
        <f>'Purchased Power Model '!H46</f>
        <v>38</v>
      </c>
      <c r="E46" s="18">
        <f>'Purchased Power Model '!I46</f>
        <v>31</v>
      </c>
      <c r="F46" s="82">
        <f>'Purchased Power Model '!K46</f>
        <v>44</v>
      </c>
      <c r="G46" s="107">
        <f>'Purchased Power Model '!L46</f>
        <v>17</v>
      </c>
      <c r="H46" s="36">
        <f>'Purchased Power Model '!M46</f>
        <v>141.19911108267243</v>
      </c>
      <c r="I46" s="36">
        <f>'Purchased Power Model '!O46</f>
        <v>182.1</v>
      </c>
      <c r="J46" s="36">
        <f>'Purchased Power Model '!P46</f>
        <v>316.89999999999998</v>
      </c>
      <c r="K46" s="82">
        <f>'[14]Data Input'!O120+'[16]PSP less Loss factor'!L129</f>
        <v>167</v>
      </c>
      <c r="L46" s="18">
        <f>'Purchased Power Model '!J46</f>
        <v>0</v>
      </c>
      <c r="M46" s="10">
        <f t="shared" si="0"/>
        <v>10724955.479569111</v>
      </c>
      <c r="N46" s="10"/>
      <c r="O46"/>
    </row>
    <row r="47" spans="1:15">
      <c r="A47" s="3">
        <v>40787</v>
      </c>
      <c r="B47" s="28">
        <f>'[14]Data Input'!L121+'[16]PSP less Loss factor'!J130</f>
        <v>9884642.0604126193</v>
      </c>
      <c r="C47" s="24">
        <f>'Purchased Power Model '!G47</f>
        <v>109.1</v>
      </c>
      <c r="D47" s="24">
        <f>'Purchased Power Model '!H47</f>
        <v>17.499999999999996</v>
      </c>
      <c r="E47" s="18">
        <f>'Purchased Power Model '!I47</f>
        <v>30</v>
      </c>
      <c r="F47" s="82">
        <f>'Purchased Power Model '!K47</f>
        <v>45</v>
      </c>
      <c r="G47" s="107">
        <f>'Purchased Power Model '!L47</f>
        <v>16.399999999999999</v>
      </c>
      <c r="H47" s="36">
        <f>'Purchased Power Model '!M47</f>
        <v>141.50145624105357</v>
      </c>
      <c r="I47" s="36">
        <f>'Purchased Power Model '!O47</f>
        <v>178.5</v>
      </c>
      <c r="J47" s="36">
        <f>'Purchased Power Model '!P47</f>
        <v>317.2</v>
      </c>
      <c r="K47" s="82">
        <f>'[14]Data Input'!O121+'[16]PSP less Loss factor'!L130</f>
        <v>166</v>
      </c>
      <c r="L47" s="18">
        <f>'Purchased Power Model '!J47</f>
        <v>1</v>
      </c>
      <c r="M47" s="10">
        <f t="shared" si="0"/>
        <v>10361425.308598571</v>
      </c>
      <c r="N47" s="10"/>
      <c r="O47"/>
    </row>
    <row r="48" spans="1:15">
      <c r="A48" s="3">
        <v>40817</v>
      </c>
      <c r="B48" s="28">
        <f>'[14]Data Input'!L122+'[16]PSP less Loss factor'!J131</f>
        <v>9760000.5069155339</v>
      </c>
      <c r="C48" s="24">
        <f>'Purchased Power Model '!G48</f>
        <v>290</v>
      </c>
      <c r="D48" s="24">
        <f>'Purchased Power Model '!H48</f>
        <v>0</v>
      </c>
      <c r="E48" s="18">
        <f>'Purchased Power Model '!I48</f>
        <v>31</v>
      </c>
      <c r="F48" s="82">
        <f>'Purchased Power Model '!K48</f>
        <v>46</v>
      </c>
      <c r="G48" s="107">
        <f>'Purchased Power Model '!L48</f>
        <v>16</v>
      </c>
      <c r="H48" s="36">
        <f>'Purchased Power Model '!M48</f>
        <v>141.80444880149057</v>
      </c>
      <c r="I48" s="36">
        <f>'Purchased Power Model '!O48</f>
        <v>178.8</v>
      </c>
      <c r="J48" s="36">
        <f>'Purchased Power Model '!P48</f>
        <v>317.5</v>
      </c>
      <c r="K48" s="82">
        <f>'[14]Data Input'!O122+'[16]PSP less Loss factor'!L131</f>
        <v>166</v>
      </c>
      <c r="L48" s="18">
        <f>'Purchased Power Model '!J48</f>
        <v>1</v>
      </c>
      <c r="M48" s="10">
        <f t="shared" si="0"/>
        <v>10434300.02772883</v>
      </c>
      <c r="N48" s="10"/>
      <c r="O48"/>
    </row>
    <row r="49" spans="1:15">
      <c r="A49" s="3">
        <v>40848</v>
      </c>
      <c r="B49" s="28">
        <f>'[14]Data Input'!L123+'[16]PSP less Loss factor'!J132</f>
        <v>9967051.5475381631</v>
      </c>
      <c r="C49" s="24">
        <f>'Purchased Power Model '!G49</f>
        <v>432.4</v>
      </c>
      <c r="D49" s="24">
        <f>'Purchased Power Model '!H49</f>
        <v>0</v>
      </c>
      <c r="E49" s="18">
        <f>'Purchased Power Model '!I49</f>
        <v>30</v>
      </c>
      <c r="F49" s="82">
        <f>'Purchased Power Model '!K49</f>
        <v>47</v>
      </c>
      <c r="G49" s="107">
        <f>'Purchased Power Model '!L49</f>
        <v>14.7</v>
      </c>
      <c r="H49" s="36">
        <f>'Purchased Power Model '!M49</f>
        <v>142.10809015024478</v>
      </c>
      <c r="I49" s="36">
        <f>'Purchased Power Model '!O49</f>
        <v>179.6</v>
      </c>
      <c r="J49" s="36">
        <f>'Purchased Power Model '!P49</f>
        <v>317.8</v>
      </c>
      <c r="K49" s="82">
        <f>'[14]Data Input'!O123+'[16]PSP less Loss factor'!L132</f>
        <v>166</v>
      </c>
      <c r="L49" s="18">
        <f>'Purchased Power Model '!J49</f>
        <v>1</v>
      </c>
      <c r="M49" s="10">
        <f t="shared" si="0"/>
        <v>10482947.620802317</v>
      </c>
      <c r="N49" s="10"/>
      <c r="O49"/>
    </row>
    <row r="50" spans="1:15">
      <c r="A50" s="3">
        <v>40878</v>
      </c>
      <c r="B50" s="28">
        <f>'[14]Data Input'!L124+'[16]PSP less Loss factor'!J133</f>
        <v>9817563.491480248</v>
      </c>
      <c r="C50" s="24">
        <f>'Purchased Power Model '!G50</f>
        <v>617.5</v>
      </c>
      <c r="D50" s="24">
        <f>'Purchased Power Model '!H50</f>
        <v>0</v>
      </c>
      <c r="E50" s="18">
        <f>'Purchased Power Model '!I50</f>
        <v>31</v>
      </c>
      <c r="F50" s="82">
        <f>'Purchased Power Model '!K50</f>
        <v>48</v>
      </c>
      <c r="G50" s="107">
        <f>'Purchased Power Model '!L50</f>
        <v>14.6</v>
      </c>
      <c r="H50" s="36">
        <f>'Purchased Power Model '!M50</f>
        <v>142.41238167654581</v>
      </c>
      <c r="I50" s="36">
        <f>'Purchased Power Model '!O50</f>
        <v>181.8</v>
      </c>
      <c r="J50" s="36">
        <f>'Purchased Power Model '!P50</f>
        <v>318</v>
      </c>
      <c r="K50" s="82">
        <f>'[14]Data Input'!O124+'[16]PSP less Loss factor'!L133</f>
        <v>166</v>
      </c>
      <c r="L50" s="18">
        <f>'Purchased Power Model '!J50</f>
        <v>0</v>
      </c>
      <c r="M50" s="10">
        <f t="shared" si="0"/>
        <v>10833173.497565586</v>
      </c>
      <c r="N50" s="10"/>
      <c r="O50"/>
    </row>
    <row r="51" spans="1:15">
      <c r="A51" s="3">
        <v>40909</v>
      </c>
      <c r="B51" s="28">
        <f>'[14]Data Input'!L125+'[16]PSP less Loss factor'!J134</f>
        <v>10404173.663525764</v>
      </c>
      <c r="C51" s="24">
        <f>'Purchased Power Model '!G51</f>
        <v>667.69999999999993</v>
      </c>
      <c r="D51" s="24">
        <f>'Purchased Power Model '!H51</f>
        <v>0</v>
      </c>
      <c r="E51" s="18">
        <f>'Purchased Power Model '!I51</f>
        <v>31</v>
      </c>
      <c r="F51" s="82">
        <f>'Purchased Power Model '!K51</f>
        <v>49</v>
      </c>
      <c r="G51" s="107">
        <f>'Purchased Power Model '!L51</f>
        <v>15</v>
      </c>
      <c r="H51" s="36">
        <f>'Purchased Power Model '!M51</f>
        <v>142.61257743956915</v>
      </c>
      <c r="I51" s="36">
        <f>'Purchased Power Model '!O51</f>
        <v>180</v>
      </c>
      <c r="J51" s="36">
        <f>'Purchased Power Model '!P51</f>
        <v>318.2</v>
      </c>
      <c r="K51" s="82">
        <f>'[14]Data Input'!O125+'[16]PSP less Loss factor'!L134</f>
        <v>166</v>
      </c>
      <c r="L51" s="18">
        <f>'Purchased Power Model '!J51</f>
        <v>0</v>
      </c>
      <c r="M51" s="10">
        <f t="shared" si="0"/>
        <v>10872793.671466893</v>
      </c>
      <c r="N51" s="10"/>
      <c r="O51"/>
    </row>
    <row r="52" spans="1:15">
      <c r="A52" s="3">
        <v>40940</v>
      </c>
      <c r="B52" s="28">
        <f>'[14]Data Input'!L126+'[16]PSP less Loss factor'!J135</f>
        <v>9999222.5628291238</v>
      </c>
      <c r="C52" s="24">
        <f>'Purchased Power Model '!G52</f>
        <v>662.6</v>
      </c>
      <c r="D52" s="24">
        <f>'Purchased Power Model '!H52</f>
        <v>0</v>
      </c>
      <c r="E52" s="18">
        <f>'Purchased Power Model '!I52</f>
        <v>29</v>
      </c>
      <c r="F52" s="82">
        <f>'Purchased Power Model '!K52</f>
        <v>50</v>
      </c>
      <c r="G52" s="107">
        <f>'Purchased Power Model '!L52</f>
        <v>15.6</v>
      </c>
      <c r="H52" s="36">
        <f>'Purchased Power Model '!M52</f>
        <v>142.81305462716429</v>
      </c>
      <c r="I52" s="36">
        <f>'Purchased Power Model '!O52</f>
        <v>176.9</v>
      </c>
      <c r="J52" s="36">
        <f>'Purchased Power Model '!P52</f>
        <v>318.39999999999998</v>
      </c>
      <c r="K52" s="82">
        <f>'[14]Data Input'!O126+'[16]PSP less Loss factor'!L135</f>
        <v>166</v>
      </c>
      <c r="L52" s="18">
        <f>'Purchased Power Model '!J52</f>
        <v>0</v>
      </c>
      <c r="M52" s="10">
        <f t="shared" si="0"/>
        <v>10538538.638626022</v>
      </c>
      <c r="N52" s="10"/>
      <c r="O52"/>
    </row>
    <row r="53" spans="1:15">
      <c r="A53" s="3">
        <v>40969</v>
      </c>
      <c r="B53" s="28">
        <f>'[14]Data Input'!L127+'[16]PSP less Loss factor'!J136</f>
        <v>10214105.145416781</v>
      </c>
      <c r="C53" s="24">
        <f>'Purchased Power Model '!G53</f>
        <v>457.10000000000019</v>
      </c>
      <c r="D53" s="24">
        <f>'Purchased Power Model '!H53</f>
        <v>0</v>
      </c>
      <c r="E53" s="18">
        <f>'Purchased Power Model '!I53</f>
        <v>31</v>
      </c>
      <c r="F53" s="82">
        <f>'Purchased Power Model '!K53</f>
        <v>51</v>
      </c>
      <c r="G53" s="107">
        <f>'Purchased Power Model '!L53</f>
        <v>16.8</v>
      </c>
      <c r="H53" s="36">
        <f>'Purchased Power Model '!M53</f>
        <v>143.01381363494295</v>
      </c>
      <c r="I53" s="36">
        <f>'Purchased Power Model '!O53</f>
        <v>174.9</v>
      </c>
      <c r="J53" s="36">
        <f>'Purchased Power Model '!P53</f>
        <v>318.60000000000002</v>
      </c>
      <c r="K53" s="82">
        <f>'[14]Data Input'!O127+'[16]PSP less Loss factor'!L136</f>
        <v>166</v>
      </c>
      <c r="L53" s="18">
        <f>'Purchased Power Model '!J53</f>
        <v>1</v>
      </c>
      <c r="M53" s="10">
        <f t="shared" si="0"/>
        <v>10614492.471270284</v>
      </c>
      <c r="N53" s="10"/>
      <c r="O53"/>
    </row>
    <row r="54" spans="1:15">
      <c r="A54" s="3">
        <v>41000</v>
      </c>
      <c r="B54" s="28">
        <f>'[14]Data Input'!L128+'[16]PSP less Loss factor'!J137</f>
        <v>9314310.7409566101</v>
      </c>
      <c r="C54" s="24">
        <f>'Purchased Power Model '!G54</f>
        <v>399.79999999999995</v>
      </c>
      <c r="D54" s="24">
        <f>'Purchased Power Model '!H54</f>
        <v>0</v>
      </c>
      <c r="E54" s="18">
        <f>'Purchased Power Model '!I54</f>
        <v>30</v>
      </c>
      <c r="F54" s="82">
        <f>'Purchased Power Model '!K54</f>
        <v>52</v>
      </c>
      <c r="G54" s="107">
        <f>'Purchased Power Model '!L54</f>
        <v>16.7</v>
      </c>
      <c r="H54" s="36">
        <f>'Purchased Power Model '!M54</f>
        <v>143.21485485907297</v>
      </c>
      <c r="I54" s="36">
        <f>'Purchased Power Model '!O54</f>
        <v>172.3</v>
      </c>
      <c r="J54" s="36">
        <f>'Purchased Power Model '!P54</f>
        <v>318.8</v>
      </c>
      <c r="K54" s="82">
        <f>'[14]Data Input'!O128+'[16]PSP less Loss factor'!L137</f>
        <v>166</v>
      </c>
      <c r="L54" s="18">
        <f>'Purchased Power Model '!J54</f>
        <v>1</v>
      </c>
      <c r="M54" s="10">
        <f t="shared" si="0"/>
        <v>10417503.206833079</v>
      </c>
      <c r="N54" s="10"/>
      <c r="O54"/>
    </row>
    <row r="55" spans="1:15">
      <c r="A55" s="3">
        <v>41030</v>
      </c>
      <c r="B55" s="28">
        <f>'[14]Data Input'!L129+'[16]PSP less Loss factor'!J138</f>
        <v>10070176.943523915</v>
      </c>
      <c r="C55" s="24">
        <f>'Purchased Power Model '!G55</f>
        <v>138.90000000000003</v>
      </c>
      <c r="D55" s="24">
        <f>'Purchased Power Model '!H55</f>
        <v>7.6</v>
      </c>
      <c r="E55" s="18">
        <f>'Purchased Power Model '!I55</f>
        <v>31</v>
      </c>
      <c r="F55" s="82">
        <f>'Purchased Power Model '!K55</f>
        <v>53</v>
      </c>
      <c r="G55" s="107">
        <f>'Purchased Power Model '!L55</f>
        <v>15.6</v>
      </c>
      <c r="H55" s="36">
        <f>'Purchased Power Model '!M55</f>
        <v>143.41617869627913</v>
      </c>
      <c r="I55" s="36">
        <f>'Purchased Power Model '!O55</f>
        <v>174.4</v>
      </c>
      <c r="J55" s="36">
        <f>'Purchased Power Model '!P55</f>
        <v>319</v>
      </c>
      <c r="K55" s="82">
        <f>'[14]Data Input'!O129+'[16]PSP less Loss factor'!L138</f>
        <v>166</v>
      </c>
      <c r="L55" s="18">
        <f>'Purchased Power Model '!J55</f>
        <v>1</v>
      </c>
      <c r="M55" s="10">
        <f t="shared" si="0"/>
        <v>10508149.34063673</v>
      </c>
      <c r="N55" s="10"/>
      <c r="O55"/>
    </row>
    <row r="56" spans="1:15">
      <c r="A56" s="3">
        <v>41061</v>
      </c>
      <c r="B56" s="28">
        <f>'[14]Data Input'!L130+'[16]PSP less Loss factor'!J139</f>
        <v>10007906.11513461</v>
      </c>
      <c r="C56" s="24">
        <f>'Purchased Power Model '!G56</f>
        <v>55.099999999999994</v>
      </c>
      <c r="D56" s="24">
        <f>'Purchased Power Model '!H56</f>
        <v>47.5</v>
      </c>
      <c r="E56" s="18">
        <f>'Purchased Power Model '!I56</f>
        <v>30</v>
      </c>
      <c r="F56" s="82">
        <f>'Purchased Power Model '!K56</f>
        <v>54</v>
      </c>
      <c r="G56" s="107">
        <f>'Purchased Power Model '!L56</f>
        <v>14.4</v>
      </c>
      <c r="H56" s="36">
        <f>'Purchased Power Model '!M56</f>
        <v>143.61778554384387</v>
      </c>
      <c r="I56" s="36">
        <f>'Purchased Power Model '!O56</f>
        <v>176.1</v>
      </c>
      <c r="J56" s="36">
        <f>'Purchased Power Model '!P56</f>
        <v>319.2</v>
      </c>
      <c r="K56" s="82">
        <f>'[14]Data Input'!O130+'[16]PSP less Loss factor'!L139</f>
        <v>167</v>
      </c>
      <c r="L56" s="18">
        <f>'Purchased Power Model '!J56</f>
        <v>0</v>
      </c>
      <c r="M56" s="10">
        <f t="shared" si="0"/>
        <v>10986236.772213796</v>
      </c>
      <c r="N56" s="10"/>
      <c r="O56"/>
    </row>
    <row r="57" spans="1:15">
      <c r="A57" s="3">
        <v>41091</v>
      </c>
      <c r="B57" s="28">
        <f>'[14]Data Input'!L131+'[16]PSP less Loss factor'!J140</f>
        <v>10706003.365357572</v>
      </c>
      <c r="C57" s="24">
        <f>'Purchased Power Model '!G57</f>
        <v>1.5</v>
      </c>
      <c r="D57" s="24">
        <f>'Purchased Power Model '!H57</f>
        <v>70.5</v>
      </c>
      <c r="E57" s="18">
        <f>'Purchased Power Model '!I57</f>
        <v>31</v>
      </c>
      <c r="F57" s="82">
        <f>'Purchased Power Model '!K57</f>
        <v>55</v>
      </c>
      <c r="G57" s="107">
        <f>'Purchased Power Model '!L57</f>
        <v>12.1</v>
      </c>
      <c r="H57" s="36">
        <f>'Purchased Power Model '!M57</f>
        <v>143.81967579960809</v>
      </c>
      <c r="I57" s="36">
        <f>'Purchased Power Model '!O57</f>
        <v>179.3</v>
      </c>
      <c r="J57" s="36">
        <f>'Purchased Power Model '!P57</f>
        <v>319.5</v>
      </c>
      <c r="K57" s="82">
        <f>'[14]Data Input'!O131+'[16]PSP less Loss factor'!L140</f>
        <v>167</v>
      </c>
      <c r="L57" s="18">
        <f>'Purchased Power Model '!J57</f>
        <v>0</v>
      </c>
      <c r="M57" s="10">
        <f t="shared" si="0"/>
        <v>11576854.31620834</v>
      </c>
      <c r="N57" s="10"/>
      <c r="O57"/>
    </row>
    <row r="58" spans="1:15">
      <c r="A58" s="3">
        <v>41122</v>
      </c>
      <c r="B58" s="28">
        <f>'[14]Data Input'!L132+'[16]PSP less Loss factor'!J141</f>
        <v>10561277.641768897</v>
      </c>
      <c r="C58" s="24">
        <f>'Purchased Power Model '!G58</f>
        <v>31.199999999999996</v>
      </c>
      <c r="D58" s="24">
        <f>'Purchased Power Model '!H58</f>
        <v>45.8</v>
      </c>
      <c r="E58" s="18">
        <f>'Purchased Power Model '!I58</f>
        <v>31</v>
      </c>
      <c r="F58" s="82">
        <f>'Purchased Power Model '!K58</f>
        <v>56</v>
      </c>
      <c r="G58" s="107">
        <f>'Purchased Power Model '!L58</f>
        <v>12.1</v>
      </c>
      <c r="H58" s="36">
        <f>'Purchased Power Model '!M58</f>
        <v>144.02184986197204</v>
      </c>
      <c r="I58" s="36">
        <f>'Purchased Power Model '!O58</f>
        <v>178.6</v>
      </c>
      <c r="J58" s="36">
        <f>'Purchased Power Model '!P58</f>
        <v>319.8</v>
      </c>
      <c r="K58" s="82">
        <f>'[14]Data Input'!O132+'[16]PSP less Loss factor'!L141</f>
        <v>167</v>
      </c>
      <c r="L58" s="18">
        <f>'Purchased Power Model '!J58</f>
        <v>0</v>
      </c>
      <c r="M58" s="10">
        <f t="shared" si="0"/>
        <v>11210384.729028447</v>
      </c>
      <c r="N58" s="10"/>
      <c r="O58"/>
    </row>
    <row r="59" spans="1:15">
      <c r="A59" s="3">
        <v>41153</v>
      </c>
      <c r="B59" s="28">
        <f>'[14]Data Input'!L133+'[16]PSP less Loss factor'!J142</f>
        <v>9551510.3983347211</v>
      </c>
      <c r="C59" s="24">
        <f>'Purchased Power Model '!G59</f>
        <v>147.29999999999998</v>
      </c>
      <c r="D59" s="24">
        <f>'Purchased Power Model '!H59</f>
        <v>10.399999999999999</v>
      </c>
      <c r="E59" s="18">
        <f>'Purchased Power Model '!I59</f>
        <v>30</v>
      </c>
      <c r="F59" s="82">
        <f>'Purchased Power Model '!K59</f>
        <v>57</v>
      </c>
      <c r="G59" s="107">
        <f>'Purchased Power Model '!L59</f>
        <v>12.5</v>
      </c>
      <c r="H59" s="36">
        <f>'Purchased Power Model '!M59</f>
        <v>144.22430812989595</v>
      </c>
      <c r="I59" s="36">
        <f>'Purchased Power Model '!O59</f>
        <v>173.9</v>
      </c>
      <c r="J59" s="36">
        <f>'Purchased Power Model '!P59</f>
        <v>320</v>
      </c>
      <c r="K59" s="82">
        <f>'[14]Data Input'!O133+'[16]PSP less Loss factor'!L142</f>
        <v>167</v>
      </c>
      <c r="L59" s="18">
        <f>'Purchased Power Model '!J59</f>
        <v>1</v>
      </c>
      <c r="M59" s="10">
        <f t="shared" si="0"/>
        <v>10576984.905765541</v>
      </c>
      <c r="N59" s="10"/>
      <c r="O59" s="14"/>
    </row>
    <row r="60" spans="1:15">
      <c r="A60" s="3">
        <v>41183</v>
      </c>
      <c r="B60" s="28">
        <f>'[14]Data Input'!L134+'[16]PSP less Loss factor'!J143</f>
        <v>10037662.584362105</v>
      </c>
      <c r="C60" s="24">
        <f>'Purchased Power Model '!G60</f>
        <v>305.7</v>
      </c>
      <c r="D60" s="24">
        <f>'Purchased Power Model '!H60</f>
        <v>0</v>
      </c>
      <c r="E60" s="18">
        <f>'Purchased Power Model '!I60</f>
        <v>31</v>
      </c>
      <c r="F60" s="82">
        <f>'Purchased Power Model '!K60</f>
        <v>58</v>
      </c>
      <c r="G60" s="107">
        <f>'Purchased Power Model '!L60</f>
        <v>13.4</v>
      </c>
      <c r="H60" s="36">
        <f>'Purchased Power Model '!M60</f>
        <v>144.42705100290087</v>
      </c>
      <c r="I60" s="36">
        <f>'Purchased Power Model '!O60</f>
        <v>166.3</v>
      </c>
      <c r="J60" s="36">
        <f>'Purchased Power Model '!P60</f>
        <v>320.2</v>
      </c>
      <c r="K60" s="82">
        <f>'[14]Data Input'!O134+'[16]PSP less Loss factor'!L143</f>
        <v>168</v>
      </c>
      <c r="L60" s="18">
        <f>'Purchased Power Model '!J60</f>
        <v>1</v>
      </c>
      <c r="M60" s="10">
        <f t="shared" ref="M60:M123" si="1">$P$18+C60*$P$19+D60*$P$20+E60*$P$21+F60*$P$22+G60*$P$23+H60*$P$24</f>
        <v>10683915.791185124</v>
      </c>
      <c r="N60" s="10"/>
      <c r="O60" s="14"/>
    </row>
    <row r="61" spans="1:15">
      <c r="A61" s="3">
        <v>41214</v>
      </c>
      <c r="B61" s="28">
        <f>'[14]Data Input'!L135+'[16]PSP less Loss factor'!J144</f>
        <v>9730059.9757600129</v>
      </c>
      <c r="C61" s="24">
        <f>'Purchased Power Model '!G61</f>
        <v>529</v>
      </c>
      <c r="D61" s="24">
        <f>'Purchased Power Model '!H61</f>
        <v>0</v>
      </c>
      <c r="E61" s="18">
        <f>'Purchased Power Model '!I61</f>
        <v>30</v>
      </c>
      <c r="F61" s="82">
        <f>'Purchased Power Model '!K61</f>
        <v>59</v>
      </c>
      <c r="G61" s="107">
        <f>'Purchased Power Model '!L61</f>
        <v>12.9</v>
      </c>
      <c r="H61" s="36">
        <f>'Purchased Power Model '!M61</f>
        <v>144.63007888106955</v>
      </c>
      <c r="I61" s="36">
        <f>'Purchased Power Model '!O61</f>
        <v>162.19999999999999</v>
      </c>
      <c r="J61" s="36">
        <f>'Purchased Power Model '!P61</f>
        <v>320.39999999999998</v>
      </c>
      <c r="K61" s="82">
        <f>'[14]Data Input'!O135+'[16]PSP less Loss factor'!L144</f>
        <v>169</v>
      </c>
      <c r="L61" s="18">
        <f>'Purchased Power Model '!J61</f>
        <v>1</v>
      </c>
      <c r="M61" s="10">
        <f t="shared" si="1"/>
        <v>10769929.366266903</v>
      </c>
      <c r="N61" s="10"/>
      <c r="O61" s="14"/>
    </row>
    <row r="62" spans="1:15">
      <c r="A62" s="3">
        <v>41244</v>
      </c>
      <c r="B62" s="28">
        <f>'[14]Data Input'!L136+'[16]PSP less Loss factor'!J145</f>
        <v>9532509.3982422054</v>
      </c>
      <c r="C62" s="24">
        <f>'Purchased Power Model '!G62</f>
        <v>630</v>
      </c>
      <c r="D62" s="24">
        <f>'Purchased Power Model '!H62</f>
        <v>0</v>
      </c>
      <c r="E62" s="18">
        <f>'Purchased Power Model '!I62</f>
        <v>31</v>
      </c>
      <c r="F62" s="82">
        <f>'Purchased Power Model '!K62</f>
        <v>60</v>
      </c>
      <c r="G62" s="107">
        <f>'Purchased Power Model '!L62</f>
        <v>13.4</v>
      </c>
      <c r="H62" s="36">
        <f>'Purchased Power Model '!M62</f>
        <v>144.83339216504706</v>
      </c>
      <c r="I62" s="36">
        <f>'Purchased Power Model '!O62</f>
        <v>159</v>
      </c>
      <c r="J62" s="36">
        <f>'Purchased Power Model '!P62</f>
        <v>320.60000000000002</v>
      </c>
      <c r="K62" s="82">
        <f>'[14]Data Input'!O136+'[16]PSP less Loss factor'!L145</f>
        <v>170</v>
      </c>
      <c r="L62" s="18">
        <f>'Purchased Power Model '!J62</f>
        <v>0</v>
      </c>
      <c r="M62" s="10">
        <f t="shared" si="1"/>
        <v>11009925.728113178</v>
      </c>
      <c r="N62" s="10"/>
      <c r="O62" s="14"/>
    </row>
    <row r="63" spans="1:15">
      <c r="A63" s="3">
        <v>41275</v>
      </c>
      <c r="B63" s="28">
        <f>'[14]Data Input'!L137+'[16]PSP less Loss factor'!J146</f>
        <v>10529792.965660099</v>
      </c>
      <c r="C63" s="24">
        <f>'Purchased Power Model '!G63</f>
        <v>519.5</v>
      </c>
      <c r="D63" s="24">
        <f>'Purchased Power Model '!H63</f>
        <v>0</v>
      </c>
      <c r="E63" s="18">
        <f>'Purchased Power Model '!I63</f>
        <v>31</v>
      </c>
      <c r="F63" s="82">
        <f>'Purchased Power Model '!K63</f>
        <v>61</v>
      </c>
      <c r="G63" s="107">
        <f>'Purchased Power Model '!L63</f>
        <v>14.5</v>
      </c>
      <c r="H63" s="36">
        <f>'Purchased Power Model '!M63</f>
        <v>144.98936781896037</v>
      </c>
      <c r="I63" s="36">
        <f>'Purchased Power Model '!O63</f>
        <v>157.6</v>
      </c>
      <c r="J63" s="36">
        <f>'Purchased Power Model '!P63</f>
        <v>320.7</v>
      </c>
      <c r="K63" s="82">
        <f>'[14]Data Input'!O137+'[16]PSP less Loss factor'!L146</f>
        <v>170</v>
      </c>
      <c r="L63" s="18">
        <f>'Purchased Power Model '!J63</f>
        <v>0</v>
      </c>
      <c r="M63" s="10">
        <f t="shared" si="1"/>
        <v>10865135.378832638</v>
      </c>
      <c r="O63" s="14"/>
    </row>
    <row r="64" spans="1:15">
      <c r="A64" s="3">
        <v>41306</v>
      </c>
      <c r="B64" s="28">
        <f>'[14]Data Input'!L138+'[16]PSP less Loss factor'!J147</f>
        <v>9835562.4241067637</v>
      </c>
      <c r="C64" s="24">
        <f>'Purchased Power Model '!G64</f>
        <v>703.19999999999982</v>
      </c>
      <c r="D64" s="24">
        <f>'Purchased Power Model '!H64</f>
        <v>0</v>
      </c>
      <c r="E64" s="18">
        <f>'Purchased Power Model '!I64</f>
        <v>28</v>
      </c>
      <c r="F64" s="82">
        <f>'Purchased Power Model '!K64</f>
        <v>62</v>
      </c>
      <c r="G64" s="107">
        <f>'Purchased Power Model '!L64</f>
        <v>15.5</v>
      </c>
      <c r="H64" s="36">
        <f>'Purchased Power Model '!M64</f>
        <v>145.14551144798114</v>
      </c>
      <c r="I64" s="36">
        <f>'Purchased Power Model '!O64</f>
        <v>157.5</v>
      </c>
      <c r="J64" s="36">
        <f>'Purchased Power Model '!P64</f>
        <v>320.89999999999998</v>
      </c>
      <c r="K64" s="82">
        <f>'[14]Data Input'!O138+'[16]PSP less Loss factor'!L147</f>
        <v>170</v>
      </c>
      <c r="L64" s="18">
        <f>'Purchased Power Model '!J64</f>
        <v>0</v>
      </c>
      <c r="M64" s="10">
        <f t="shared" si="1"/>
        <v>10533836.085505186</v>
      </c>
      <c r="O64" s="14"/>
    </row>
    <row r="65" spans="1:15">
      <c r="A65" s="3">
        <v>41334</v>
      </c>
      <c r="B65" s="28">
        <f>'[14]Data Input'!L139+'[16]PSP less Loss factor'!J148</f>
        <v>10278613.341512628</v>
      </c>
      <c r="C65" s="24">
        <f>'Purchased Power Model '!G65</f>
        <v>550.30000000000018</v>
      </c>
      <c r="D65" s="24">
        <f>'Purchased Power Model '!H65</f>
        <v>0</v>
      </c>
      <c r="E65" s="18">
        <f>'Purchased Power Model '!I65</f>
        <v>31</v>
      </c>
      <c r="F65" s="82">
        <f>'Purchased Power Model '!K65</f>
        <v>63</v>
      </c>
      <c r="G65" s="107">
        <f>'Purchased Power Model '!L65</f>
        <v>16.7</v>
      </c>
      <c r="H65" s="36">
        <f>'Purchased Power Model '!M65</f>
        <v>145.30182323300707</v>
      </c>
      <c r="I65" s="36">
        <f>'Purchased Power Model '!O65</f>
        <v>155.4</v>
      </c>
      <c r="J65" s="36">
        <f>'Purchased Power Model '!P65</f>
        <v>321.10000000000002</v>
      </c>
      <c r="K65" s="82">
        <f>'[14]Data Input'!O139+'[16]PSP less Loss factor'!L148</f>
        <v>172</v>
      </c>
      <c r="L65" s="18">
        <f>'Purchased Power Model '!J65</f>
        <v>1</v>
      </c>
      <c r="M65" s="10">
        <f t="shared" si="1"/>
        <v>10813962.19284495</v>
      </c>
      <c r="O65" s="14"/>
    </row>
    <row r="66" spans="1:15">
      <c r="A66" s="3">
        <v>41365</v>
      </c>
      <c r="B66" s="28">
        <f>'[14]Data Input'!L140+'[16]PSP less Loss factor'!J149</f>
        <v>9464499.0778934229</v>
      </c>
      <c r="C66" s="24">
        <f>'Purchased Power Model '!G66</f>
        <v>421.9</v>
      </c>
      <c r="D66" s="24">
        <f>'Purchased Power Model '!H66</f>
        <v>0</v>
      </c>
      <c r="E66" s="18">
        <f>'Purchased Power Model '!I66</f>
        <v>30</v>
      </c>
      <c r="F66" s="82">
        <f>'Purchased Power Model '!K66</f>
        <v>64</v>
      </c>
      <c r="G66" s="107">
        <f>'Purchased Power Model '!L66</f>
        <v>17.3</v>
      </c>
      <c r="H66" s="36">
        <f>'Purchased Power Model '!M66</f>
        <v>145.45830335513068</v>
      </c>
      <c r="I66" s="36">
        <f>'Purchased Power Model '!O66</f>
        <v>159.80000000000001</v>
      </c>
      <c r="J66" s="36">
        <f>'Purchased Power Model '!P66</f>
        <v>321.3</v>
      </c>
      <c r="K66" s="82">
        <f>'[14]Data Input'!O140+'[16]PSP less Loss factor'!L149</f>
        <v>172</v>
      </c>
      <c r="L66" s="18">
        <f>'Purchased Power Model '!J66</f>
        <v>1</v>
      </c>
      <c r="M66" s="10">
        <f t="shared" si="1"/>
        <v>10517372.527926262</v>
      </c>
      <c r="O66" s="14"/>
    </row>
    <row r="67" spans="1:15">
      <c r="A67" s="3">
        <v>41395</v>
      </c>
      <c r="B67" s="28">
        <f>'[14]Data Input'!L141+'[16]PSP less Loss factor'!J150</f>
        <v>9674276.7791137006</v>
      </c>
      <c r="C67" s="24">
        <f>'Purchased Power Model '!G67</f>
        <v>166.3</v>
      </c>
      <c r="D67" s="24">
        <f>'Purchased Power Model '!H67</f>
        <v>11.7</v>
      </c>
      <c r="E67" s="18">
        <f>'Purchased Power Model '!I67</f>
        <v>31</v>
      </c>
      <c r="F67" s="82">
        <f>'Purchased Power Model '!K67</f>
        <v>65</v>
      </c>
      <c r="G67" s="107">
        <f>'Purchased Power Model '!L67</f>
        <v>18.3</v>
      </c>
      <c r="H67" s="36">
        <f>'Purchased Power Model '!M67</f>
        <v>145.6149519956395</v>
      </c>
      <c r="I67" s="36">
        <f>'Purchased Power Model '!O67</f>
        <v>162.69999999999999</v>
      </c>
      <c r="J67" s="36">
        <f>'Purchased Power Model '!P67</f>
        <v>321.5</v>
      </c>
      <c r="K67" s="82">
        <f>'[14]Data Input'!O141+'[16]PSP less Loss factor'!L150</f>
        <v>172</v>
      </c>
      <c r="L67" s="18">
        <f>'Purchased Power Model '!J67</f>
        <v>1</v>
      </c>
      <c r="M67" s="10">
        <f t="shared" si="1"/>
        <v>10587397.029000361</v>
      </c>
      <c r="O67"/>
    </row>
    <row r="68" spans="1:15">
      <c r="A68" s="3">
        <v>41426</v>
      </c>
      <c r="B68" s="28">
        <f>'[14]Data Input'!L142+'[16]PSP less Loss factor'!J151</f>
        <v>9750340.8445240073</v>
      </c>
      <c r="C68" s="24">
        <f>'Purchased Power Model '!G68</f>
        <v>82.300000000000011</v>
      </c>
      <c r="D68" s="24">
        <f>'Purchased Power Model '!H68</f>
        <v>27.200000000000003</v>
      </c>
      <c r="E68" s="18">
        <f>'Purchased Power Model '!I68</f>
        <v>30</v>
      </c>
      <c r="F68" s="82">
        <f>'Purchased Power Model '!K68</f>
        <v>66</v>
      </c>
      <c r="G68" s="107">
        <f>'Purchased Power Model '!L68</f>
        <v>17.399999999999999</v>
      </c>
      <c r="H68" s="36">
        <f>'Purchased Power Model '!M68</f>
        <v>145.77176933601632</v>
      </c>
      <c r="I68" s="36">
        <f>'Purchased Power Model '!O68</f>
        <v>171</v>
      </c>
      <c r="J68" s="36">
        <f>'Purchased Power Model '!P68</f>
        <v>321.8</v>
      </c>
      <c r="K68" s="82">
        <f>'[14]Data Input'!O142+'[16]PSP less Loss factor'!L151</f>
        <v>172</v>
      </c>
      <c r="L68" s="18">
        <f>'Purchased Power Model '!J68</f>
        <v>0</v>
      </c>
      <c r="M68" s="10">
        <f t="shared" si="1"/>
        <v>10651128.622446962</v>
      </c>
      <c r="O68"/>
    </row>
    <row r="69" spans="1:15">
      <c r="A69" s="3">
        <v>41456</v>
      </c>
      <c r="B69" s="28">
        <f>'[14]Data Input'!L143+'[16]PSP less Loss factor'!J152</f>
        <v>10626252.341458045</v>
      </c>
      <c r="C69" s="24">
        <f>'Purchased Power Model '!G69</f>
        <v>20.400000000000002</v>
      </c>
      <c r="D69" s="24">
        <f>'Purchased Power Model '!H69</f>
        <v>75.900000000000006</v>
      </c>
      <c r="E69" s="18">
        <f>'Purchased Power Model '!I69</f>
        <v>31</v>
      </c>
      <c r="F69" s="82">
        <f>'Purchased Power Model '!K69</f>
        <v>67</v>
      </c>
      <c r="G69" s="107">
        <f>'Purchased Power Model '!L69</f>
        <v>16.8</v>
      </c>
      <c r="H69" s="36">
        <f>'Purchased Power Model '!M69</f>
        <v>145.92875555793933</v>
      </c>
      <c r="I69" s="36">
        <f>'Purchased Power Model '!O69</f>
        <v>175.8</v>
      </c>
      <c r="J69" s="36">
        <f>'Purchased Power Model '!P69</f>
        <v>322</v>
      </c>
      <c r="K69" s="82">
        <f>'[14]Data Input'!O143+'[16]PSP less Loss factor'!L152</f>
        <v>172</v>
      </c>
      <c r="L69" s="18">
        <f>'Purchased Power Model '!J69</f>
        <v>0</v>
      </c>
      <c r="M69" s="10">
        <f t="shared" si="1"/>
        <v>11578825.114686586</v>
      </c>
      <c r="O69"/>
    </row>
    <row r="70" spans="1:15">
      <c r="A70" s="3">
        <v>41487</v>
      </c>
      <c r="B70" s="28">
        <f>'[14]Data Input'!L144+'[16]PSP less Loss factor'!J153</f>
        <v>10156823.029697474</v>
      </c>
      <c r="C70" s="24">
        <f>'Purchased Power Model '!G70</f>
        <v>37.400000000000006</v>
      </c>
      <c r="D70" s="24">
        <f>'Purchased Power Model '!H70</f>
        <v>21.6</v>
      </c>
      <c r="E70" s="18">
        <f>'Purchased Power Model '!I70</f>
        <v>31</v>
      </c>
      <c r="F70" s="82">
        <f>'Purchased Power Model '!K70</f>
        <v>68</v>
      </c>
      <c r="G70" s="107">
        <f>'Purchased Power Model '!L70</f>
        <v>15.8</v>
      </c>
      <c r="H70" s="36">
        <f>'Purchased Power Model '!M70</f>
        <v>146.08591084328242</v>
      </c>
      <c r="I70" s="36">
        <f>'Purchased Power Model '!O70</f>
        <v>179.2</v>
      </c>
      <c r="J70" s="36">
        <f>'Purchased Power Model '!P70</f>
        <v>322.3</v>
      </c>
      <c r="K70" s="82">
        <f>'[14]Data Input'!O144+'[16]PSP less Loss factor'!L153</f>
        <v>171</v>
      </c>
      <c r="L70" s="18">
        <f>'Purchased Power Model '!J70</f>
        <v>0</v>
      </c>
      <c r="M70" s="10">
        <f t="shared" si="1"/>
        <v>10757191.654497586</v>
      </c>
      <c r="O70"/>
    </row>
    <row r="71" spans="1:15">
      <c r="A71" s="3">
        <v>41518</v>
      </c>
      <c r="B71" s="28">
        <f>'[14]Data Input'!L145+'[16]PSP less Loss factor'!J154</f>
        <v>9586379.6652224995</v>
      </c>
      <c r="C71" s="24">
        <f>'Purchased Power Model '!G71</f>
        <v>157.79999999999998</v>
      </c>
      <c r="D71" s="24">
        <f>'Purchased Power Model '!H71</f>
        <v>7.1</v>
      </c>
      <c r="E71" s="18">
        <f>'Purchased Power Model '!I71</f>
        <v>30</v>
      </c>
      <c r="F71" s="82">
        <f>'Purchased Power Model '!K71</f>
        <v>69</v>
      </c>
      <c r="G71" s="107">
        <f>'Purchased Power Model '!L71</f>
        <v>13.8</v>
      </c>
      <c r="H71" s="36">
        <f>'Purchased Power Model '!M71</f>
        <v>146.2432353741153</v>
      </c>
      <c r="I71" s="36">
        <f>'Purchased Power Model '!O71</f>
        <v>179.7</v>
      </c>
      <c r="J71" s="36">
        <f>'Purchased Power Model '!P71</f>
        <v>322.60000000000002</v>
      </c>
      <c r="K71" s="82">
        <f>'[14]Data Input'!O145+'[16]PSP less Loss factor'!L154</f>
        <v>171</v>
      </c>
      <c r="L71" s="18">
        <f>'Purchased Power Model '!J71</f>
        <v>1</v>
      </c>
      <c r="M71" s="10">
        <f t="shared" si="1"/>
        <v>10571192.059916973</v>
      </c>
      <c r="O71"/>
    </row>
    <row r="72" spans="1:15">
      <c r="A72" s="3">
        <v>41548</v>
      </c>
      <c r="B72" s="28">
        <f>'[14]Data Input'!L146+'[16]PSP less Loss factor'!J155</f>
        <v>9696629.1978850961</v>
      </c>
      <c r="C72" s="24">
        <f>'Purchased Power Model '!G72</f>
        <v>301.7</v>
      </c>
      <c r="D72" s="24">
        <f>'Purchased Power Model '!H72</f>
        <v>0</v>
      </c>
      <c r="E72" s="18">
        <f>'Purchased Power Model '!I72</f>
        <v>31</v>
      </c>
      <c r="F72" s="82">
        <f>'Purchased Power Model '!K72</f>
        <v>70</v>
      </c>
      <c r="G72" s="107">
        <f>'Purchased Power Model '!L72</f>
        <v>12</v>
      </c>
      <c r="H72" s="36">
        <f>'Purchased Power Model '!M72</f>
        <v>146.4007293327038</v>
      </c>
      <c r="I72" s="36">
        <f>'Purchased Power Model '!O72</f>
        <v>176.1</v>
      </c>
      <c r="J72" s="36">
        <f>'Purchased Power Model '!P72</f>
        <v>322.8</v>
      </c>
      <c r="K72" s="82">
        <f>'[14]Data Input'!O146+'[16]PSP less Loss factor'!L155</f>
        <v>171</v>
      </c>
      <c r="L72" s="18">
        <f>'Purchased Power Model '!J72</f>
        <v>1</v>
      </c>
      <c r="M72" s="10">
        <f t="shared" si="1"/>
        <v>10832769.472891904</v>
      </c>
      <c r="O72"/>
    </row>
    <row r="73" spans="1:15">
      <c r="A73" s="3">
        <v>41579</v>
      </c>
      <c r="B73" s="28">
        <f>'[14]Data Input'!L147+'[16]PSP less Loss factor'!J156</f>
        <v>9916576.6806124523</v>
      </c>
      <c r="C73" s="24">
        <f>'Purchased Power Model '!G73</f>
        <v>564.70000000000005</v>
      </c>
      <c r="D73" s="24">
        <f>'Purchased Power Model '!H73</f>
        <v>0</v>
      </c>
      <c r="E73" s="18">
        <f>'Purchased Power Model '!I73</f>
        <v>30</v>
      </c>
      <c r="F73" s="82">
        <f>'Purchased Power Model '!K73</f>
        <v>71</v>
      </c>
      <c r="G73" s="107">
        <f>'Purchased Power Model '!L73</f>
        <v>9.6999999999999993</v>
      </c>
      <c r="H73" s="36">
        <f>'Purchased Power Model '!M73</f>
        <v>146.55839290151005</v>
      </c>
      <c r="I73" s="36">
        <f>'Purchased Power Model '!O73</f>
        <v>172.5</v>
      </c>
      <c r="J73" s="36">
        <f>'Purchased Power Model '!P73</f>
        <v>322.89999999999998</v>
      </c>
      <c r="K73" s="82">
        <f>'[14]Data Input'!O147+'[16]PSP less Loss factor'!L156</f>
        <v>172</v>
      </c>
      <c r="L73" s="18">
        <f>'Purchased Power Model '!J73</f>
        <v>1</v>
      </c>
      <c r="M73" s="10">
        <f t="shared" si="1"/>
        <v>11031919.833857838</v>
      </c>
      <c r="O73"/>
    </row>
    <row r="74" spans="1:15">
      <c r="A74" s="3">
        <v>41609</v>
      </c>
      <c r="B74" s="28">
        <f>'[14]Data Input'!L148+'[16]PSP less Loss factor'!J157</f>
        <v>9700963.9100000001</v>
      </c>
      <c r="C74" s="24">
        <f>'Purchased Power Model '!G74</f>
        <v>848.00000000000011</v>
      </c>
      <c r="D74" s="24">
        <f>'Purchased Power Model '!H74</f>
        <v>0</v>
      </c>
      <c r="E74" s="18">
        <f>'Purchased Power Model '!I74</f>
        <v>31</v>
      </c>
      <c r="F74" s="82">
        <f>'Purchased Power Model '!K74</f>
        <v>72</v>
      </c>
      <c r="G74" s="107">
        <f>'Purchased Power Model '!L74</f>
        <v>9.9</v>
      </c>
      <c r="H74" s="36">
        <f>'Purchased Power Model '!M74</f>
        <v>146.71622626319265</v>
      </c>
      <c r="I74" s="36">
        <f>'Purchased Power Model '!O74</f>
        <v>167.8</v>
      </c>
      <c r="J74" s="36">
        <f>'Purchased Power Model '!P74</f>
        <v>323.10000000000002</v>
      </c>
      <c r="K74" s="82">
        <f>'[14]Data Input'!O148+'[16]PSP less Loss factor'!L157</f>
        <v>171</v>
      </c>
      <c r="L74" s="18">
        <f>'Purchased Power Model '!J74</f>
        <v>0</v>
      </c>
      <c r="M74" s="10">
        <f t="shared" si="1"/>
        <v>11455322.838621464</v>
      </c>
      <c r="O74"/>
    </row>
    <row r="75" spans="1:15">
      <c r="A75" s="3">
        <v>41640</v>
      </c>
      <c r="B75" s="28">
        <f>'[14]Data Input'!L149+'[16]PSP less Loss factor'!J158</f>
        <v>10877889.20781571</v>
      </c>
      <c r="C75" s="24">
        <f>'Purchased Power Model '!G75</f>
        <v>941.79999999999984</v>
      </c>
      <c r="D75" s="24">
        <f>'Purchased Power Model '!H75</f>
        <v>0</v>
      </c>
      <c r="E75" s="18">
        <f>'Purchased Power Model '!I75</f>
        <v>31</v>
      </c>
      <c r="F75" s="82">
        <f>'Purchased Power Model '!K75</f>
        <v>73</v>
      </c>
      <c r="G75" s="107">
        <f>'Purchased Power Model '!L75</f>
        <v>10.5</v>
      </c>
      <c r="H75" s="36">
        <f>'Purchased Power Model '!M75</f>
        <v>147.04232175221028</v>
      </c>
      <c r="I75" s="36">
        <f>'Purchased Power Model '!O75</f>
        <v>168.3</v>
      </c>
      <c r="J75" s="36">
        <f>'Purchased Power Model '!P75</f>
        <v>323.3</v>
      </c>
      <c r="K75" s="82">
        <f>'[14]Data Input'!O149+'[16]PSP less Loss factor'!L158</f>
        <v>172</v>
      </c>
      <c r="L75" s="18">
        <f>'Purchased Power Model '!J75</f>
        <v>0</v>
      </c>
      <c r="M75" s="10">
        <f t="shared" si="1"/>
        <v>11533474.171386451</v>
      </c>
      <c r="N75" s="50"/>
      <c r="O75"/>
    </row>
    <row r="76" spans="1:15">
      <c r="A76" s="3">
        <v>41671</v>
      </c>
      <c r="B76" s="28">
        <f>'[14]Data Input'!L150+'[16]PSP less Loss factor'!J159</f>
        <v>9969282.7410306223</v>
      </c>
      <c r="C76" s="24">
        <f>'Purchased Power Model '!G76</f>
        <v>857.40000000000009</v>
      </c>
      <c r="D76" s="24">
        <f>'Purchased Power Model '!H76</f>
        <v>0</v>
      </c>
      <c r="E76" s="18">
        <f>'Purchased Power Model '!I76</f>
        <v>28</v>
      </c>
      <c r="F76" s="82">
        <f>'Purchased Power Model '!K76</f>
        <v>74</v>
      </c>
      <c r="G76" s="107">
        <f>'Purchased Power Model '!L76</f>
        <v>13</v>
      </c>
      <c r="H76" s="36">
        <f>'Purchased Power Model '!M76</f>
        <v>147.36914202996238</v>
      </c>
      <c r="I76" s="36">
        <f>'Purchased Power Model '!O76</f>
        <v>168.8</v>
      </c>
      <c r="J76" s="36">
        <f>'Purchased Power Model '!P76</f>
        <v>323.39999999999998</v>
      </c>
      <c r="K76" s="82">
        <f>'[14]Data Input'!O150+'[16]PSP less Loss factor'!L159</f>
        <v>172</v>
      </c>
      <c r="L76" s="18">
        <f>'Purchased Power Model '!J76</f>
        <v>0</v>
      </c>
      <c r="M76" s="10">
        <f t="shared" si="1"/>
        <v>10891609.756712792</v>
      </c>
      <c r="N76" s="50"/>
      <c r="O76"/>
    </row>
    <row r="77" spans="1:15">
      <c r="A77" s="3">
        <v>41699</v>
      </c>
      <c r="B77" s="28">
        <f>'[14]Data Input'!L151+'[16]PSP less Loss factor'!J160</f>
        <v>10915846.448511425</v>
      </c>
      <c r="C77" s="24">
        <f>'Purchased Power Model '!G77</f>
        <v>806.80000000000007</v>
      </c>
      <c r="D77" s="24">
        <f>'Purchased Power Model '!H77</f>
        <v>0</v>
      </c>
      <c r="E77" s="18">
        <f>'Purchased Power Model '!I77</f>
        <v>31</v>
      </c>
      <c r="F77" s="82">
        <f>'Purchased Power Model '!K77</f>
        <v>75</v>
      </c>
      <c r="G77" s="107">
        <f>'Purchased Power Model '!L77</f>
        <v>14.9</v>
      </c>
      <c r="H77" s="36">
        <f>'Purchased Power Model '!M77</f>
        <v>147.69668870738414</v>
      </c>
      <c r="I77" s="36">
        <f>'Purchased Power Model '!O77</f>
        <v>171.7</v>
      </c>
      <c r="J77" s="36">
        <f>'Purchased Power Model '!P77</f>
        <v>323.5</v>
      </c>
      <c r="K77" s="82">
        <f>'[14]Data Input'!O151+'[16]PSP less Loss factor'!L160</f>
        <v>172</v>
      </c>
      <c r="L77" s="18">
        <f>'Purchased Power Model '!J77</f>
        <v>1</v>
      </c>
      <c r="M77" s="10">
        <f t="shared" si="1"/>
        <v>11246382.738278337</v>
      </c>
      <c r="N77" s="50"/>
      <c r="O77"/>
    </row>
    <row r="78" spans="1:15">
      <c r="A78" s="3">
        <v>41730</v>
      </c>
      <c r="B78" s="28">
        <f>'[14]Data Input'!L152+'[16]PSP less Loss factor'!J161</f>
        <v>9712427.3622786552</v>
      </c>
      <c r="C78" s="24">
        <f>'Purchased Power Model '!G78</f>
        <v>371.6</v>
      </c>
      <c r="D78" s="24">
        <f>'Purchased Power Model '!H78</f>
        <v>0</v>
      </c>
      <c r="E78" s="18">
        <f>'Purchased Power Model '!I78</f>
        <v>30</v>
      </c>
      <c r="F78" s="82">
        <f>'Purchased Power Model '!K78</f>
        <v>76</v>
      </c>
      <c r="G78" s="107">
        <f>'Purchased Power Model '!L78</f>
        <v>15.8</v>
      </c>
      <c r="H78" s="36">
        <f>'Purchased Power Model '!M78</f>
        <v>148.02496339899133</v>
      </c>
      <c r="I78" s="36">
        <f>'Purchased Power Model '!O78</f>
        <v>174.1</v>
      </c>
      <c r="J78" s="36">
        <f>'Purchased Power Model '!P78</f>
        <v>323.7</v>
      </c>
      <c r="K78" s="82">
        <f>'[14]Data Input'!O152+'[16]PSP less Loss factor'!L161</f>
        <v>172</v>
      </c>
      <c r="L78" s="18">
        <f>'Purchased Power Model '!J78</f>
        <v>1</v>
      </c>
      <c r="M78" s="10">
        <f t="shared" si="1"/>
        <v>10654423.704368623</v>
      </c>
      <c r="N78" s="50"/>
      <c r="O78"/>
    </row>
    <row r="79" spans="1:15">
      <c r="A79" s="3">
        <v>41760</v>
      </c>
      <c r="B79" s="28">
        <f>'[14]Data Input'!L153+'[16]PSP less Loss factor'!J162</f>
        <v>9845385.2209455073</v>
      </c>
      <c r="C79" s="24">
        <f>'Purchased Power Model '!G79</f>
        <v>196.5</v>
      </c>
      <c r="D79" s="24">
        <f>'Purchased Power Model '!H79</f>
        <v>0.30000000000000004</v>
      </c>
      <c r="E79" s="18">
        <f>'Purchased Power Model '!I79</f>
        <v>31</v>
      </c>
      <c r="F79" s="82">
        <f>'Purchased Power Model '!K79</f>
        <v>77</v>
      </c>
      <c r="G79" s="107">
        <f>'Purchased Power Model '!L79</f>
        <v>15.1</v>
      </c>
      <c r="H79" s="36">
        <f>'Purchased Power Model '!M79</f>
        <v>148.35396772288814</v>
      </c>
      <c r="I79" s="36">
        <f>'Purchased Power Model '!O79</f>
        <v>179.2</v>
      </c>
      <c r="J79" s="36">
        <f>'Purchased Power Model '!P79</f>
        <v>323.8</v>
      </c>
      <c r="K79" s="82">
        <f>'[14]Data Input'!O153+'[16]PSP less Loss factor'!L162</f>
        <v>172</v>
      </c>
      <c r="L79" s="18">
        <f>'Purchased Power Model '!J79</f>
        <v>1</v>
      </c>
      <c r="M79" s="10">
        <f t="shared" si="1"/>
        <v>10695594.379488109</v>
      </c>
      <c r="N79" s="50"/>
      <c r="O79"/>
    </row>
    <row r="80" spans="1:15">
      <c r="A80" s="3">
        <v>41791</v>
      </c>
      <c r="B80" s="28">
        <f>'[14]Data Input'!L154+'[16]PSP less Loss factor'!J163</f>
        <v>9986224.4736145809</v>
      </c>
      <c r="C80" s="24">
        <f>'Purchased Power Model '!G80</f>
        <v>42.7</v>
      </c>
      <c r="D80" s="24">
        <f>'Purchased Power Model '!H80</f>
        <v>20.200000000000003</v>
      </c>
      <c r="E80" s="18">
        <f>'Purchased Power Model '!I80</f>
        <v>30</v>
      </c>
      <c r="F80" s="82">
        <f>'Purchased Power Model '!K80</f>
        <v>78</v>
      </c>
      <c r="G80" s="107">
        <f>'Purchased Power Model '!L80</f>
        <v>12.9</v>
      </c>
      <c r="H80" s="36">
        <f>'Purchased Power Model '!M80</f>
        <v>148.68370330077519</v>
      </c>
      <c r="I80" s="36">
        <f>'Purchased Power Model '!O80</f>
        <v>187.9</v>
      </c>
      <c r="J80" s="36">
        <f>'Purchased Power Model '!P80</f>
        <v>324</v>
      </c>
      <c r="K80" s="82">
        <f>'[14]Data Input'!O154+'[16]PSP less Loss factor'!L163</f>
        <v>172</v>
      </c>
      <c r="L80" s="18">
        <f>'Purchased Power Model '!J80</f>
        <v>0</v>
      </c>
      <c r="M80" s="10">
        <f t="shared" si="1"/>
        <v>10829397.529317936</v>
      </c>
      <c r="N80" s="50"/>
      <c r="O80"/>
    </row>
    <row r="81" spans="1:36">
      <c r="A81" s="3">
        <v>41821</v>
      </c>
      <c r="B81" s="28">
        <f>'[14]Data Input'!L155+'[16]PSP less Loss factor'!J164</f>
        <v>10347381.624896847</v>
      </c>
      <c r="C81" s="24">
        <f>'Purchased Power Model '!G81</f>
        <v>58.599999999999987</v>
      </c>
      <c r="D81" s="24">
        <f>'Purchased Power Model '!H81</f>
        <v>18.3</v>
      </c>
      <c r="E81" s="18">
        <f>'Purchased Power Model '!I81</f>
        <v>31</v>
      </c>
      <c r="F81" s="82">
        <f>'Purchased Power Model '!K81</f>
        <v>79</v>
      </c>
      <c r="G81" s="107">
        <f>'Purchased Power Model '!L81</f>
        <v>12.3</v>
      </c>
      <c r="H81" s="36">
        <f>'Purchased Power Model '!M81</f>
        <v>149.0141717579576</v>
      </c>
      <c r="I81" s="36">
        <f>'Purchased Power Model '!O81</f>
        <v>194.1</v>
      </c>
      <c r="J81" s="36">
        <f>'Purchased Power Model '!P81</f>
        <v>324.3</v>
      </c>
      <c r="K81" s="82">
        <f>'[14]Data Input'!O155+'[16]PSP less Loss factor'!L164</f>
        <v>172</v>
      </c>
      <c r="L81" s="18">
        <f>'Purchased Power Model '!J81</f>
        <v>0</v>
      </c>
      <c r="M81" s="10">
        <f t="shared" si="1"/>
        <v>11011157.995950669</v>
      </c>
      <c r="N81" s="50"/>
      <c r="O81"/>
    </row>
    <row r="82" spans="1:36">
      <c r="A82" s="3">
        <v>41852</v>
      </c>
      <c r="B82" s="28">
        <f>'[14]Data Input'!L156+'[16]PSP less Loss factor'!J165</f>
        <v>10325524.62498381</v>
      </c>
      <c r="C82" s="24">
        <f>'Purchased Power Model '!G82</f>
        <v>43.800000000000004</v>
      </c>
      <c r="D82" s="24">
        <f>'Purchased Power Model '!H82</f>
        <v>24.400000000000002</v>
      </c>
      <c r="E82" s="18">
        <f>'Purchased Power Model '!I82</f>
        <v>31</v>
      </c>
      <c r="F82" s="82">
        <f>'Purchased Power Model '!K82</f>
        <v>80</v>
      </c>
      <c r="G82" s="107">
        <f>'Purchased Power Model '!L82</f>
        <v>11.7</v>
      </c>
      <c r="H82" s="36">
        <f>'Purchased Power Model '!M82</f>
        <v>149.34537472335285</v>
      </c>
      <c r="I82" s="36">
        <f>'Purchased Power Model '!O82</f>
        <v>197.7</v>
      </c>
      <c r="J82" s="36">
        <f>'Purchased Power Model '!P82</f>
        <v>324.5</v>
      </c>
      <c r="K82" s="82">
        <f>'[14]Data Input'!O156+'[16]PSP less Loss factor'!L165</f>
        <v>171</v>
      </c>
      <c r="L82" s="18">
        <f>'Purchased Power Model '!J82</f>
        <v>0</v>
      </c>
      <c r="M82" s="10">
        <f t="shared" si="1"/>
        <v>11138297.782797258</v>
      </c>
      <c r="N82" s="50"/>
      <c r="O82"/>
    </row>
    <row r="83" spans="1:36">
      <c r="A83" s="3">
        <v>41883</v>
      </c>
      <c r="B83" s="28">
        <f>'[14]Data Input'!L157+'[16]PSP less Loss factor'!J166</f>
        <v>9951408.9532121383</v>
      </c>
      <c r="C83" s="24">
        <f>'Purchased Power Model '!G83</f>
        <v>133.4</v>
      </c>
      <c r="D83" s="24">
        <f>'Purchased Power Model '!H83</f>
        <v>3.5</v>
      </c>
      <c r="E83" s="18">
        <f>'Purchased Power Model '!I83</f>
        <v>30</v>
      </c>
      <c r="F83" s="82">
        <f>'Purchased Power Model '!K83</f>
        <v>81</v>
      </c>
      <c r="G83" s="107">
        <f>'Purchased Power Model '!L83</f>
        <v>10.9</v>
      </c>
      <c r="H83" s="36">
        <f>'Purchased Power Model '!M83</f>
        <v>149.67731382949896</v>
      </c>
      <c r="I83" s="36">
        <f>'Purchased Power Model '!O83</f>
        <v>195.1</v>
      </c>
      <c r="J83" s="36">
        <f>'Purchased Power Model '!P83</f>
        <v>324.7</v>
      </c>
      <c r="K83" s="82">
        <f>'[14]Data Input'!O157+'[16]PSP less Loss factor'!L166</f>
        <v>172</v>
      </c>
      <c r="L83" s="18">
        <f>'Purchased Power Model '!J83</f>
        <v>1</v>
      </c>
      <c r="M83" s="10">
        <f t="shared" si="1"/>
        <v>10774829.799017746</v>
      </c>
      <c r="N83" s="50"/>
      <c r="O83"/>
    </row>
    <row r="84" spans="1:36">
      <c r="A84" s="3">
        <v>41913</v>
      </c>
      <c r="B84" s="28">
        <f>'[14]Data Input'!L158+'[16]PSP less Loss factor'!J167</f>
        <v>9952029.8687427137</v>
      </c>
      <c r="C84" s="24">
        <f>'Purchased Power Model '!G84</f>
        <v>280.3</v>
      </c>
      <c r="D84" s="24">
        <f>'Purchased Power Model '!H84</f>
        <v>0.3</v>
      </c>
      <c r="E84" s="18">
        <f>'Purchased Power Model '!I84</f>
        <v>31</v>
      </c>
      <c r="F84" s="82">
        <f>'Purchased Power Model '!K84</f>
        <v>82</v>
      </c>
      <c r="G84" s="107">
        <f>'Purchased Power Model '!L84</f>
        <v>10.199999999999999</v>
      </c>
      <c r="H84" s="36">
        <f>'Purchased Power Model '!M84</f>
        <v>150.00999071256246</v>
      </c>
      <c r="I84" s="36">
        <f>'Purchased Power Model '!O84</f>
        <v>194.1</v>
      </c>
      <c r="J84" s="36">
        <f>'Purchased Power Model '!P84</f>
        <v>324.8</v>
      </c>
      <c r="K84" s="82">
        <f>'[14]Data Input'!O158+'[16]PSP less Loss factor'!L167</f>
        <v>172</v>
      </c>
      <c r="L84" s="18">
        <f>'Purchased Power Model '!J84</f>
        <v>1</v>
      </c>
      <c r="M84" s="10">
        <f t="shared" si="1"/>
        <v>11063763.859316016</v>
      </c>
      <c r="N84" s="50"/>
      <c r="O84"/>
    </row>
    <row r="85" spans="1:36">
      <c r="A85" s="3">
        <v>41944</v>
      </c>
      <c r="B85" s="28">
        <f>'[14]Data Input'!L159+'[16]PSP less Loss factor'!J168</f>
        <v>10127920.746343788</v>
      </c>
      <c r="C85" s="24">
        <f>'Purchased Power Model '!G85</f>
        <v>559.80000000000007</v>
      </c>
      <c r="D85" s="24">
        <f>'Purchased Power Model '!H85</f>
        <v>0</v>
      </c>
      <c r="E85" s="18">
        <f>'Purchased Power Model '!I85</f>
        <v>30</v>
      </c>
      <c r="F85" s="82">
        <f>'Purchased Power Model '!K85</f>
        <v>83</v>
      </c>
      <c r="G85" s="107">
        <f>'Purchased Power Model '!L85</f>
        <v>9.5</v>
      </c>
      <c r="H85" s="36">
        <f>'Purchased Power Model '!M85</f>
        <v>150.34340701234646</v>
      </c>
      <c r="I85" s="36">
        <f>'Purchased Power Model '!O85</f>
        <v>191.1</v>
      </c>
      <c r="J85" s="36">
        <f>'Purchased Power Model '!P85</f>
        <v>325</v>
      </c>
      <c r="K85" s="82">
        <f>'[14]Data Input'!O159+'[16]PSP less Loss factor'!L168</f>
        <v>172</v>
      </c>
      <c r="L85" s="18">
        <f>'Purchased Power Model '!J85</f>
        <v>1</v>
      </c>
      <c r="M85" s="10">
        <f t="shared" si="1"/>
        <v>11212800.262808604</v>
      </c>
      <c r="N85" s="50"/>
      <c r="O85"/>
    </row>
    <row r="86" spans="1:36">
      <c r="A86" s="3">
        <v>41974</v>
      </c>
      <c r="B86" s="28">
        <f>'[14]Data Input'!L160+'[16]PSP less Loss factor'!J169</f>
        <v>9874407.9550000001</v>
      </c>
      <c r="C86" s="24">
        <f>'Purchased Power Model '!G86</f>
        <v>663.1</v>
      </c>
      <c r="D86" s="24">
        <f>'Purchased Power Model '!H86</f>
        <v>0</v>
      </c>
      <c r="E86" s="18">
        <f>'Purchased Power Model '!I86</f>
        <v>31</v>
      </c>
      <c r="F86" s="82">
        <f>'Purchased Power Model '!K86</f>
        <v>84</v>
      </c>
      <c r="G86" s="107">
        <f>'Purchased Power Model '!L86</f>
        <v>11.1</v>
      </c>
      <c r="H86" s="36">
        <f>'Purchased Power Model '!M86</f>
        <v>150.67756437229883</v>
      </c>
      <c r="I86" s="36">
        <f>'Purchased Power Model '!O86</f>
        <v>190.5</v>
      </c>
      <c r="J86" s="36">
        <f>'Purchased Power Model '!P86</f>
        <v>325.10000000000002</v>
      </c>
      <c r="K86" s="82">
        <f>'[14]Data Input'!O160+'[16]PSP less Loss factor'!L169</f>
        <v>173</v>
      </c>
      <c r="L86" s="18">
        <f>'Purchased Power Model '!J86</f>
        <v>0</v>
      </c>
      <c r="M86" s="10">
        <f t="shared" si="1"/>
        <v>11413623.208583986</v>
      </c>
      <c r="N86" s="50"/>
      <c r="O86"/>
    </row>
    <row r="87" spans="1:36" s="15" customFormat="1">
      <c r="A87" s="3">
        <v>42005</v>
      </c>
      <c r="B87" s="28">
        <f>'[14]Data Input'!L161+'[16]PSP less Loss factor'!J170</f>
        <v>10633876.550000001</v>
      </c>
      <c r="C87" s="24">
        <f>'Purchased Power Model '!G87</f>
        <v>801.2</v>
      </c>
      <c r="D87" s="24">
        <f>'Purchased Power Model '!H87</f>
        <v>0</v>
      </c>
      <c r="E87" s="18">
        <f>'Purchased Power Model '!I87</f>
        <v>31</v>
      </c>
      <c r="F87" s="82">
        <f>'Purchased Power Model '!K87</f>
        <v>85</v>
      </c>
      <c r="G87" s="107">
        <f>'Purchased Power Model '!L87</f>
        <v>13.4</v>
      </c>
      <c r="H87" s="36">
        <f>'Purchased Power Model '!M87</f>
        <v>150.98793548444445</v>
      </c>
      <c r="I87" s="36">
        <f>'Purchased Power Model '!O87</f>
        <v>187.3</v>
      </c>
      <c r="J87" s="36">
        <f>'Purchased Power Model '!P87</f>
        <v>325.2</v>
      </c>
      <c r="K87" s="82">
        <f>'[14]Data Input'!O161+'[16]PSP less Loss factor'!L170</f>
        <v>172</v>
      </c>
      <c r="L87" s="18">
        <f>'Purchased Power Model '!J87</f>
        <v>0</v>
      </c>
      <c r="M87" s="10">
        <f t="shared" si="1"/>
        <v>11459622.080999412</v>
      </c>
      <c r="N87" s="50"/>
      <c r="O87"/>
      <c r="P87"/>
      <c r="Q87"/>
      <c r="R87"/>
      <c r="S87"/>
      <c r="T87"/>
      <c r="U87"/>
      <c r="V87"/>
      <c r="W87"/>
      <c r="X87"/>
      <c r="Y87"/>
      <c r="Z87"/>
      <c r="AA87"/>
      <c r="AB87"/>
      <c r="AC87"/>
      <c r="AD87"/>
      <c r="AE87"/>
      <c r="AF87"/>
      <c r="AG87"/>
      <c r="AH87"/>
      <c r="AI87"/>
      <c r="AJ87" s="11"/>
    </row>
    <row r="88" spans="1:36">
      <c r="A88" s="3">
        <v>42036</v>
      </c>
      <c r="B88" s="28">
        <f>'[14]Data Input'!L162+'[16]PSP less Loss factor'!J171</f>
        <v>10191380.690000001</v>
      </c>
      <c r="C88" s="24">
        <f>'Purchased Power Model '!G88</f>
        <v>987.99999999999977</v>
      </c>
      <c r="D88" s="24">
        <f>'Purchased Power Model '!H88</f>
        <v>0</v>
      </c>
      <c r="E88" s="18">
        <f>'Purchased Power Model '!I88</f>
        <v>28</v>
      </c>
      <c r="F88" s="82">
        <f>'Purchased Power Model '!K88</f>
        <v>86</v>
      </c>
      <c r="G88" s="107">
        <f>'Purchased Power Model '!L88</f>
        <v>15.7</v>
      </c>
      <c r="H88" s="36">
        <f>'Purchased Power Model '!M88</f>
        <v>151.298945910264</v>
      </c>
      <c r="I88" s="36">
        <f>'Purchased Power Model '!O88</f>
        <v>187.9</v>
      </c>
      <c r="J88" s="36">
        <f>'Purchased Power Model '!P88</f>
        <v>325.3</v>
      </c>
      <c r="K88" s="82">
        <f>'[14]Data Input'!O162+'[16]PSP less Loss factor'!L171</f>
        <v>172</v>
      </c>
      <c r="L88" s="18">
        <f>'Purchased Power Model '!J88</f>
        <v>0</v>
      </c>
      <c r="M88" s="10">
        <f t="shared" si="1"/>
        <v>11082399.292036228</v>
      </c>
      <c r="N88" s="50"/>
      <c r="O88"/>
    </row>
    <row r="89" spans="1:36">
      <c r="A89" s="3">
        <v>42064</v>
      </c>
      <c r="B89" s="28">
        <f>'[14]Data Input'!L163+'[16]PSP less Loss factor'!J172</f>
        <v>10735159.67</v>
      </c>
      <c r="C89" s="24">
        <f>'Purchased Power Model '!G89</f>
        <v>742.8</v>
      </c>
      <c r="D89" s="24">
        <f>'Purchased Power Model '!H89</f>
        <v>0</v>
      </c>
      <c r="E89" s="18">
        <f>'Purchased Power Model '!I89</f>
        <v>31</v>
      </c>
      <c r="F89" s="82">
        <f>'Purchased Power Model '!K89</f>
        <v>87</v>
      </c>
      <c r="G89" s="107">
        <f>'Purchased Power Model '!L89</f>
        <v>17.7</v>
      </c>
      <c r="H89" s="36">
        <f>'Purchased Power Model '!M89</f>
        <v>151.61059696663892</v>
      </c>
      <c r="I89" s="36">
        <f>'Purchased Power Model '!O89</f>
        <v>187</v>
      </c>
      <c r="J89" s="36">
        <f>'Purchased Power Model '!P89</f>
        <v>325.39999999999998</v>
      </c>
      <c r="K89" s="82">
        <f>'[14]Data Input'!O163+'[16]PSP less Loss factor'!L172</f>
        <v>172</v>
      </c>
      <c r="L89" s="18">
        <f>'Purchased Power Model '!J89</f>
        <v>1</v>
      </c>
      <c r="M89" s="10">
        <f t="shared" si="1"/>
        <v>11247882.596800216</v>
      </c>
      <c r="N89" s="50"/>
      <c r="O89"/>
    </row>
    <row r="90" spans="1:36">
      <c r="A90" s="3">
        <v>42095</v>
      </c>
      <c r="B90" s="28">
        <f>'[14]Data Input'!L164+'[16]PSP less Loss factor'!J173</f>
        <v>9408817.4100000001</v>
      </c>
      <c r="C90" s="24">
        <f>'Purchased Power Model '!G90</f>
        <v>404.5</v>
      </c>
      <c r="D90" s="24">
        <f>'Purchased Power Model '!H90</f>
        <v>0</v>
      </c>
      <c r="E90" s="18">
        <f>'Purchased Power Model '!I90</f>
        <v>30</v>
      </c>
      <c r="F90" s="82">
        <f>'Purchased Power Model '!K90</f>
        <v>88</v>
      </c>
      <c r="G90" s="107">
        <f>'Purchased Power Model '!L90</f>
        <v>19.600000000000001</v>
      </c>
      <c r="H90" s="36">
        <f>'Purchased Power Model '!M90</f>
        <v>151.92288997316331</v>
      </c>
      <c r="I90" s="36">
        <f>'Purchased Power Model '!O90</f>
        <v>182.1</v>
      </c>
      <c r="J90" s="36">
        <f>'Purchased Power Model '!P90</f>
        <v>325.5</v>
      </c>
      <c r="K90" s="82">
        <f>'[14]Data Input'!O164+'[16]PSP less Loss factor'!L173</f>
        <v>152</v>
      </c>
      <c r="L90" s="18">
        <f>'Purchased Power Model '!J90</f>
        <v>1</v>
      </c>
      <c r="M90" s="10">
        <f t="shared" si="1"/>
        <v>10703762.418200586</v>
      </c>
      <c r="N90" s="50"/>
      <c r="O90"/>
    </row>
    <row r="91" spans="1:36">
      <c r="A91" s="3">
        <v>42125</v>
      </c>
      <c r="B91" s="28">
        <f>'[14]Data Input'!L165+'[16]PSP less Loss factor'!J174</f>
        <v>9734230.8300000001</v>
      </c>
      <c r="C91" s="24">
        <f>'Purchased Power Model '!G91</f>
        <v>157.99999999999997</v>
      </c>
      <c r="D91" s="24">
        <f>'Purchased Power Model '!H91</f>
        <v>17.199999999999996</v>
      </c>
      <c r="E91" s="18">
        <f>'Purchased Power Model '!I91</f>
        <v>31</v>
      </c>
      <c r="F91" s="82">
        <f>'Purchased Power Model '!K91</f>
        <v>89</v>
      </c>
      <c r="G91" s="107">
        <f>'Purchased Power Model '!L91</f>
        <v>20.100000000000001</v>
      </c>
      <c r="H91" s="36">
        <f>'Purchased Power Model '!M91</f>
        <v>152.23582625214937</v>
      </c>
      <c r="I91" s="36">
        <f>'Purchased Power Model '!O91</f>
        <v>174.7</v>
      </c>
      <c r="J91" s="36">
        <f>'Purchased Power Model '!P91</f>
        <v>325.60000000000002</v>
      </c>
      <c r="K91" s="82">
        <f>'[14]Data Input'!O165+'[16]PSP less Loss factor'!L174</f>
        <v>151</v>
      </c>
      <c r="L91" s="18">
        <f>'Purchased Power Model '!J91</f>
        <v>1</v>
      </c>
      <c r="M91" s="10">
        <f t="shared" si="1"/>
        <v>10901249.770014292</v>
      </c>
      <c r="N91" s="50"/>
      <c r="O91"/>
    </row>
    <row r="92" spans="1:36">
      <c r="A92" s="3">
        <v>42156</v>
      </c>
      <c r="B92" s="28">
        <f>'[14]Data Input'!L166+'[16]PSP less Loss factor'!J175</f>
        <v>9814614.9299999997</v>
      </c>
      <c r="C92" s="24">
        <f>'Purchased Power Model '!G92</f>
        <v>72.999999999999986</v>
      </c>
      <c r="D92" s="24">
        <f>'Purchased Power Model '!H92</f>
        <v>4</v>
      </c>
      <c r="E92" s="18">
        <f>'Purchased Power Model '!I92</f>
        <v>30</v>
      </c>
      <c r="F92" s="82">
        <f>'Purchased Power Model '!K92</f>
        <v>90</v>
      </c>
      <c r="G92" s="107">
        <f>'Purchased Power Model '!L92</f>
        <v>16.899999999999999</v>
      </c>
      <c r="H92" s="36">
        <f>'Purchased Power Model '!M92</f>
        <v>152.54940712863302</v>
      </c>
      <c r="I92" s="36">
        <f>'Purchased Power Model '!O92</f>
        <v>168.7</v>
      </c>
      <c r="J92" s="36">
        <f>'Purchased Power Model '!P92</f>
        <v>325.8</v>
      </c>
      <c r="K92" s="82">
        <f>'[14]Data Input'!O166+'[16]PSP less Loss factor'!L175</f>
        <v>150</v>
      </c>
      <c r="L92" s="18">
        <f>'Purchased Power Model '!J92</f>
        <v>0</v>
      </c>
      <c r="M92" s="10">
        <f t="shared" si="1"/>
        <v>10601143.8411134</v>
      </c>
      <c r="N92" s="50"/>
    </row>
    <row r="93" spans="1:36">
      <c r="A93" s="3">
        <v>42186</v>
      </c>
      <c r="B93" s="28">
        <f>'[14]Data Input'!L167+'[16]PSP less Loss factor'!J176</f>
        <v>10221738.110000001</v>
      </c>
      <c r="C93" s="24">
        <f>'Purchased Power Model '!G93</f>
        <v>25.999999999999993</v>
      </c>
      <c r="D93" s="24">
        <f>'Purchased Power Model '!H93</f>
        <v>48</v>
      </c>
      <c r="E93" s="18">
        <f>'Purchased Power Model '!I93</f>
        <v>31</v>
      </c>
      <c r="F93" s="82">
        <f>'Purchased Power Model '!K93</f>
        <v>91</v>
      </c>
      <c r="G93" s="107">
        <f>'Purchased Power Model '!L93</f>
        <v>12.9</v>
      </c>
      <c r="H93" s="36">
        <f>'Purchased Power Model '!M93</f>
        <v>152.86363393037959</v>
      </c>
      <c r="I93" s="36">
        <f>'Purchased Power Model '!O93</f>
        <v>166</v>
      </c>
      <c r="J93" s="36">
        <f>'Purchased Power Model '!P93</f>
        <v>326</v>
      </c>
      <c r="K93" s="82">
        <f>'[14]Data Input'!O167+'[16]PSP less Loss factor'!L176</f>
        <v>150</v>
      </c>
      <c r="L93" s="18">
        <f>'Purchased Power Model '!J93</f>
        <v>0</v>
      </c>
      <c r="M93" s="10">
        <f t="shared" si="1"/>
        <v>11620128.968302399</v>
      </c>
      <c r="N93" s="50"/>
    </row>
    <row r="94" spans="1:36">
      <c r="A94" s="3">
        <v>42217</v>
      </c>
      <c r="B94" s="28">
        <f>'[14]Data Input'!L168+'[16]PSP less Loss factor'!J177</f>
        <v>10193769.550000001</v>
      </c>
      <c r="C94" s="24">
        <f>'Purchased Power Model '!G94</f>
        <v>27.3</v>
      </c>
      <c r="D94" s="24">
        <f>'Purchased Power Model '!H94</f>
        <v>33.299999999999997</v>
      </c>
      <c r="E94" s="18">
        <f>'Purchased Power Model '!I94</f>
        <v>31</v>
      </c>
      <c r="F94" s="82">
        <f>'Purchased Power Model '!K94</f>
        <v>92</v>
      </c>
      <c r="G94" s="107">
        <f>'Purchased Power Model '!L94</f>
        <v>11.5</v>
      </c>
      <c r="H94" s="36">
        <f>'Purchased Power Model '!M94</f>
        <v>153.17850798788936</v>
      </c>
      <c r="I94" s="36">
        <f>'Purchased Power Model '!O94</f>
        <v>163.1</v>
      </c>
      <c r="J94" s="36">
        <f>'Purchased Power Model '!P94</f>
        <v>326.2</v>
      </c>
      <c r="K94" s="82">
        <f>'[14]Data Input'!O168+'[16]PSP less Loss factor'!L177</f>
        <v>150</v>
      </c>
      <c r="L94" s="18">
        <f>'Purchased Power Model '!J94</f>
        <v>0</v>
      </c>
      <c r="M94" s="10">
        <f t="shared" si="1"/>
        <v>11456028.774365999</v>
      </c>
      <c r="N94" s="50"/>
    </row>
    <row r="95" spans="1:36">
      <c r="A95" s="3">
        <v>42248</v>
      </c>
      <c r="B95" s="28">
        <f>'[14]Data Input'!L169+'[16]PSP less Loss factor'!J178</f>
        <v>10050542.870000001</v>
      </c>
      <c r="C95" s="24">
        <f>'Purchased Power Model '!G95</f>
        <v>61.5</v>
      </c>
      <c r="D95" s="24">
        <f>'Purchased Power Model '!H95</f>
        <v>41.000000000000007</v>
      </c>
      <c r="E95" s="18">
        <f>'Purchased Power Model '!I95</f>
        <v>30</v>
      </c>
      <c r="F95" s="82">
        <f>'Purchased Power Model '!K95</f>
        <v>93</v>
      </c>
      <c r="G95" s="107">
        <f>'Purchased Power Model '!L95</f>
        <v>11.3</v>
      </c>
      <c r="H95" s="36">
        <f>'Purchased Power Model '!M95</f>
        <v>153.4940306344032</v>
      </c>
      <c r="I95" s="36">
        <f>'Purchased Power Model '!O95</f>
        <v>159.80000000000001</v>
      </c>
      <c r="J95" s="36">
        <f>'Purchased Power Model '!P95</f>
        <v>326.39999999999998</v>
      </c>
      <c r="K95" s="82">
        <f>'[14]Data Input'!O169+'[16]PSP less Loss factor'!L178</f>
        <v>151</v>
      </c>
      <c r="L95" s="18">
        <f>'Purchased Power Model '!J95</f>
        <v>1</v>
      </c>
      <c r="M95" s="10">
        <f t="shared" si="1"/>
        <v>11481284.461084403</v>
      </c>
      <c r="N95" s="50"/>
    </row>
    <row r="96" spans="1:36">
      <c r="A96" s="3">
        <v>42278</v>
      </c>
      <c r="B96" s="28">
        <f>'[14]Data Input'!L170+'[16]PSP less Loss factor'!J179</f>
        <v>8863760.9153140895</v>
      </c>
      <c r="C96" s="24">
        <f>'Purchased Power Model '!G96</f>
        <v>346.80000000000007</v>
      </c>
      <c r="D96" s="24">
        <f>'Purchased Power Model '!H96</f>
        <v>0</v>
      </c>
      <c r="E96" s="18">
        <f>'Purchased Power Model '!I96</f>
        <v>31</v>
      </c>
      <c r="F96" s="82">
        <f>'Purchased Power Model '!K96</f>
        <v>94</v>
      </c>
      <c r="G96" s="107">
        <f>'Purchased Power Model '!L96</f>
        <v>12</v>
      </c>
      <c r="H96" s="36">
        <f>'Purchased Power Model '!M96</f>
        <v>153.81020320590829</v>
      </c>
      <c r="I96" s="36">
        <f>'Purchased Power Model '!O96</f>
        <v>157.80000000000001</v>
      </c>
      <c r="J96" s="36">
        <f>'Purchased Power Model '!P96</f>
        <v>326.60000000000002</v>
      </c>
      <c r="K96" s="82">
        <f>'[14]Data Input'!O170+'[16]PSP less Loss factor'!L179</f>
        <v>150</v>
      </c>
      <c r="L96" s="18">
        <f>'Purchased Power Model '!J96</f>
        <v>1</v>
      </c>
      <c r="M96" s="10">
        <f t="shared" si="1"/>
        <v>11221740.535112787</v>
      </c>
      <c r="N96" s="50"/>
    </row>
    <row r="97" spans="1:36">
      <c r="A97" s="3">
        <v>42309</v>
      </c>
      <c r="B97" s="28">
        <f>'[14]Data Input'!L171+'[16]PSP less Loss factor'!J180</f>
        <v>10628741.134685909</v>
      </c>
      <c r="C97" s="24">
        <f>'Purchased Power Model '!G97</f>
        <v>426.4</v>
      </c>
      <c r="D97" s="24">
        <f>'Purchased Power Model '!H97</f>
        <v>0</v>
      </c>
      <c r="E97" s="18">
        <f>'Purchased Power Model '!I97</f>
        <v>30</v>
      </c>
      <c r="F97" s="82">
        <f>'Purchased Power Model '!K97</f>
        <v>95</v>
      </c>
      <c r="G97" s="107">
        <f>'Purchased Power Model '!L97</f>
        <v>11</v>
      </c>
      <c r="H97" s="36">
        <f>'Purchased Power Model '!M97</f>
        <v>154.12702704114372</v>
      </c>
      <c r="I97" s="36">
        <f>'Purchased Power Model '!O97</f>
        <v>156.9</v>
      </c>
      <c r="J97" s="36">
        <f>'Purchased Power Model '!P97</f>
        <v>326.8</v>
      </c>
      <c r="K97" s="82">
        <f>'[14]Data Input'!O171+'[16]PSP less Loss factor'!L180</f>
        <v>150</v>
      </c>
      <c r="L97" s="18">
        <f>'Purchased Power Model '!J97</f>
        <v>1</v>
      </c>
      <c r="M97" s="10">
        <f t="shared" si="1"/>
        <v>11198604.90101533</v>
      </c>
      <c r="N97" s="50"/>
    </row>
    <row r="98" spans="1:36" s="33" customFormat="1">
      <c r="A98" s="3">
        <v>42339</v>
      </c>
      <c r="B98" s="28">
        <f>'[14]Data Input'!L172+'[16]PSP less Loss factor'!J181</f>
        <v>9287204.8599999994</v>
      </c>
      <c r="C98" s="24">
        <f>'Purchased Power Model '!G98</f>
        <v>513.80000000000007</v>
      </c>
      <c r="D98" s="24">
        <f>'Purchased Power Model '!H98</f>
        <v>0</v>
      </c>
      <c r="E98" s="18">
        <f>'Purchased Power Model '!I98</f>
        <v>31</v>
      </c>
      <c r="F98" s="82">
        <f>'Purchased Power Model '!K98</f>
        <v>96</v>
      </c>
      <c r="G98" s="107">
        <f>'Purchased Power Model '!L98</f>
        <v>10.5</v>
      </c>
      <c r="H98" s="36">
        <f>'Purchased Power Model '!M98</f>
        <v>154.44450348160629</v>
      </c>
      <c r="I98" s="36">
        <f>'Purchased Power Model '!O98</f>
        <v>155.69999999999999</v>
      </c>
      <c r="J98" s="36">
        <f>'Purchased Power Model '!P98</f>
        <v>326.89999999999998</v>
      </c>
      <c r="K98" s="82">
        <f>'[14]Data Input'!O172+'[16]PSP less Loss factor'!L181</f>
        <v>150</v>
      </c>
      <c r="L98" s="18">
        <f>'Purchased Power Model '!J98</f>
        <v>0</v>
      </c>
      <c r="M98" s="10">
        <f t="shared" si="1"/>
        <v>11474213.056472883</v>
      </c>
      <c r="N98" s="50"/>
      <c r="O98" s="103"/>
      <c r="P98"/>
      <c r="Q98"/>
      <c r="R98"/>
      <c r="S98"/>
      <c r="T98"/>
      <c r="U98"/>
      <c r="V98"/>
      <c r="W98"/>
      <c r="X98"/>
      <c r="Y98"/>
      <c r="Z98"/>
      <c r="AA98"/>
      <c r="AB98"/>
      <c r="AC98"/>
      <c r="AD98"/>
      <c r="AE98"/>
      <c r="AF98"/>
      <c r="AG98"/>
      <c r="AH98"/>
      <c r="AI98"/>
      <c r="AJ98" s="28"/>
    </row>
    <row r="99" spans="1:36">
      <c r="A99" s="3">
        <v>42370</v>
      </c>
      <c r="B99" s="28">
        <f>'[14]Data Input'!L173+'[16]PSP less Loss factor'!J182</f>
        <v>10066803.91</v>
      </c>
      <c r="C99" s="100">
        <f>'Purchased Power Model '!G99</f>
        <v>730.95238095238085</v>
      </c>
      <c r="D99" s="24">
        <f>'Purchased Power Model '!H99</f>
        <v>0</v>
      </c>
      <c r="E99" s="18">
        <f>'Purchased Power Model '!I99</f>
        <v>31</v>
      </c>
      <c r="F99" s="82">
        <f>'Purchased Power Model '!K99</f>
        <v>97</v>
      </c>
      <c r="G99" s="107">
        <f>'Purchased Power Model '!L99</f>
        <v>8.5</v>
      </c>
      <c r="H99" s="36">
        <f>'Purchased Power Model '!M99</f>
        <v>154.72483615659849</v>
      </c>
      <c r="I99" s="36">
        <f>'Purchased Power Model '!O99</f>
        <v>156.69999999999999</v>
      </c>
      <c r="J99" s="36">
        <f>'Purchased Power Model '!P99</f>
        <v>327.10000000000002</v>
      </c>
      <c r="K99" s="82">
        <f>'[14]Data Input'!O173+'[16]PSP less Loss factor'!L182</f>
        <v>150</v>
      </c>
      <c r="L99" s="18">
        <f>'Purchased Power Model '!J99</f>
        <v>0</v>
      </c>
      <c r="M99" s="10">
        <f t="shared" si="1"/>
        <v>11779198.912213357</v>
      </c>
      <c r="N99" s="50"/>
    </row>
    <row r="100" spans="1:36">
      <c r="A100" s="3">
        <v>42401</v>
      </c>
      <c r="B100" s="28">
        <f>'[14]Data Input'!L174+'[16]PSP less Loss factor'!J183</f>
        <v>9668299.3200000003</v>
      </c>
      <c r="C100" s="100">
        <f>'Purchased Power Model '!G100</f>
        <v>731.14285714285688</v>
      </c>
      <c r="D100" s="24">
        <f>'Purchased Power Model '!H100</f>
        <v>0</v>
      </c>
      <c r="E100" s="18">
        <f>'Purchased Power Model '!I100</f>
        <v>29</v>
      </c>
      <c r="F100" s="82">
        <f>'Purchased Power Model '!K100</f>
        <v>98</v>
      </c>
      <c r="G100" s="107">
        <f>'Purchased Power Model '!L100</f>
        <v>8.1999999999999993</v>
      </c>
      <c r="H100" s="36">
        <f>'Purchased Power Model '!M100</f>
        <v>155.00567766425806</v>
      </c>
      <c r="I100" s="36">
        <f>'Purchased Power Model '!O100</f>
        <v>158.4</v>
      </c>
      <c r="J100" s="36">
        <f>'Purchased Power Model '!P100</f>
        <v>327.2</v>
      </c>
      <c r="K100" s="82">
        <f>'[14]Data Input'!O174+'[16]PSP less Loss factor'!L183</f>
        <v>149</v>
      </c>
      <c r="L100" s="18">
        <f>'Purchased Power Model '!J100</f>
        <v>0</v>
      </c>
      <c r="M100" s="10">
        <f t="shared" si="1"/>
        <v>11492544.79541989</v>
      </c>
      <c r="N100" s="50"/>
    </row>
    <row r="101" spans="1:36">
      <c r="A101" s="3">
        <v>42430</v>
      </c>
      <c r="B101" s="28">
        <f>'[14]Data Input'!L175+'[16]PSP less Loss factor'!J184</f>
        <v>9869976.8499999996</v>
      </c>
      <c r="C101" s="100">
        <f>'Purchased Power Model '!G101</f>
        <v>576.47619047619025</v>
      </c>
      <c r="D101" s="24">
        <f>'Purchased Power Model '!H101</f>
        <v>0</v>
      </c>
      <c r="E101" s="18">
        <f>'Purchased Power Model '!I101</f>
        <v>31</v>
      </c>
      <c r="F101" s="82">
        <f>'Purchased Power Model '!K101</f>
        <v>99</v>
      </c>
      <c r="G101" s="107">
        <f>'Purchased Power Model '!L101</f>
        <v>9.6999999999999993</v>
      </c>
      <c r="H101" s="36">
        <f>'Purchased Power Model '!M101</f>
        <v>155.2870289281687</v>
      </c>
      <c r="I101" s="36">
        <f>'Purchased Power Model '!O101</f>
        <v>163.4</v>
      </c>
      <c r="J101" s="36">
        <f>'Purchased Power Model '!P101</f>
        <v>327.39999999999998</v>
      </c>
      <c r="K101" s="82">
        <f>'[14]Data Input'!O175+'[16]PSP less Loss factor'!L184</f>
        <v>149</v>
      </c>
      <c r="L101" s="18">
        <f>'Purchased Power Model '!J101</f>
        <v>1</v>
      </c>
      <c r="M101" s="10">
        <f t="shared" si="1"/>
        <v>11607444.961767927</v>
      </c>
      <c r="N101" s="50"/>
    </row>
    <row r="102" spans="1:36">
      <c r="A102" s="3">
        <v>42461</v>
      </c>
      <c r="B102" s="28">
        <f>'[14]Data Input'!L176+'[16]PSP less Loss factor'!J185</f>
        <v>9180858.8100000005</v>
      </c>
      <c r="C102" s="100">
        <f>'Purchased Power Model '!G102</f>
        <v>454.28571428571411</v>
      </c>
      <c r="D102" s="24">
        <f>'Purchased Power Model '!H102</f>
        <v>0</v>
      </c>
      <c r="E102" s="18">
        <f>'Purchased Power Model '!I102</f>
        <v>30</v>
      </c>
      <c r="F102" s="82">
        <f>'Purchased Power Model '!K102</f>
        <v>100</v>
      </c>
      <c r="G102" s="107">
        <f>'Purchased Power Model '!L102</f>
        <v>9.9</v>
      </c>
      <c r="H102" s="36">
        <f>'Purchased Power Model '!M102</f>
        <v>155.56889087359048</v>
      </c>
      <c r="I102" s="36">
        <f>'Purchased Power Model '!O102</f>
        <v>162.69999999999999</v>
      </c>
      <c r="J102" s="36">
        <f>'Purchased Power Model '!P102</f>
        <v>327.5</v>
      </c>
      <c r="K102" s="82">
        <f>'[14]Data Input'!O176+'[16]PSP less Loss factor'!L185</f>
        <v>149</v>
      </c>
      <c r="L102" s="18">
        <f>'Purchased Power Model '!J102</f>
        <v>1</v>
      </c>
      <c r="M102" s="10">
        <f t="shared" si="1"/>
        <v>11339854.730965046</v>
      </c>
      <c r="N102" s="50"/>
    </row>
    <row r="103" spans="1:36">
      <c r="A103" s="3">
        <v>42491</v>
      </c>
      <c r="B103" s="28">
        <f>'[14]Data Input'!L177+'[16]PSP less Loss factor'!J186</f>
        <v>9278035.5099999998</v>
      </c>
      <c r="C103" s="100">
        <f>'Purchased Power Model '!G103</f>
        <v>216.28571428571428</v>
      </c>
      <c r="D103" s="24">
        <f>'Purchased Power Model '!H103</f>
        <v>12.7</v>
      </c>
      <c r="E103" s="18">
        <f>'Purchased Power Model '!I103</f>
        <v>31</v>
      </c>
      <c r="F103" s="82">
        <f>'Purchased Power Model '!K103</f>
        <v>101</v>
      </c>
      <c r="G103" s="107">
        <f>'Purchased Power Model '!L103</f>
        <v>10.5</v>
      </c>
      <c r="H103" s="36">
        <f>'Purchased Power Model '!M103</f>
        <v>155.85126442746289</v>
      </c>
      <c r="I103" s="36">
        <f>'Purchased Power Model '!O103</f>
        <v>165.7</v>
      </c>
      <c r="J103" s="36">
        <f>'Purchased Power Model '!P103</f>
        <v>327.7</v>
      </c>
      <c r="K103" s="82">
        <f>'[14]Data Input'!O177+'[16]PSP less Loss factor'!L186</f>
        <v>149</v>
      </c>
      <c r="L103" s="18">
        <f>'Purchased Power Model '!J103</f>
        <v>1</v>
      </c>
      <c r="M103" s="10">
        <f t="shared" si="1"/>
        <v>11466035.978924267</v>
      </c>
      <c r="N103" s="50"/>
    </row>
    <row r="104" spans="1:36">
      <c r="A104" s="3">
        <v>42522</v>
      </c>
      <c r="B104" s="28">
        <f>'[14]Data Input'!L178+'[16]PSP less Loss factor'!J187</f>
        <v>9804520.0300000012</v>
      </c>
      <c r="C104" s="100">
        <f>'Purchased Power Model '!G104</f>
        <v>75.904761904761898</v>
      </c>
      <c r="D104" s="24">
        <f>'Purchased Power Model '!H104</f>
        <v>22</v>
      </c>
      <c r="E104" s="18">
        <f>'Purchased Power Model '!I104</f>
        <v>30</v>
      </c>
      <c r="F104" s="82">
        <f>'Purchased Power Model '!K104</f>
        <v>102</v>
      </c>
      <c r="G104" s="107">
        <f>'Purchased Power Model '!L104</f>
        <v>11.1</v>
      </c>
      <c r="H104" s="36">
        <f>'Purchased Power Model '!M104</f>
        <v>156.13415051840798</v>
      </c>
      <c r="I104" s="36">
        <f>'Purchased Power Model '!O104</f>
        <v>166.1</v>
      </c>
      <c r="J104" s="36">
        <f>'Purchased Power Model '!P104</f>
        <v>327.9</v>
      </c>
      <c r="K104" s="82">
        <f>'[14]Data Input'!O178+'[16]PSP less Loss factor'!L187</f>
        <v>149</v>
      </c>
      <c r="L104" s="18">
        <f>'Purchased Power Model '!J104</f>
        <v>0</v>
      </c>
      <c r="M104" s="10">
        <f t="shared" si="1"/>
        <v>11316138.359457154</v>
      </c>
      <c r="N104" s="50"/>
    </row>
    <row r="105" spans="1:36">
      <c r="A105" s="3">
        <v>42552</v>
      </c>
      <c r="B105" s="28">
        <f>'[14]Data Input'!L179+'[16]PSP less Loss factor'!J188</f>
        <v>10333108.620000001</v>
      </c>
      <c r="C105" s="100">
        <f>'Purchased Power Model '!G105</f>
        <v>28.095238095238091</v>
      </c>
      <c r="D105" s="24">
        <f>'Purchased Power Model '!H105</f>
        <v>64.800000000000011</v>
      </c>
      <c r="E105" s="18">
        <f>'Purchased Power Model '!I105</f>
        <v>31</v>
      </c>
      <c r="F105" s="82">
        <f>'Purchased Power Model '!K105</f>
        <v>103</v>
      </c>
      <c r="G105" s="107">
        <f>'Purchased Power Model '!L105</f>
        <v>13.7</v>
      </c>
      <c r="H105" s="36">
        <f>'Purchased Power Model '!M105</f>
        <v>156.41755007673331</v>
      </c>
      <c r="I105" s="36">
        <f>'Purchased Power Model '!O105</f>
        <v>165.3</v>
      </c>
      <c r="J105" s="36">
        <f>'Purchased Power Model '!P105</f>
        <v>328.1</v>
      </c>
      <c r="K105" s="82">
        <f>'[14]Data Input'!O179+'[16]PSP less Loss factor'!L188</f>
        <v>150</v>
      </c>
      <c r="L105" s="18">
        <f>'Purchased Power Model '!J105</f>
        <v>0</v>
      </c>
      <c r="M105" s="10">
        <f t="shared" si="1"/>
        <v>12028488.535857376</v>
      </c>
      <c r="N105" s="50"/>
    </row>
    <row r="106" spans="1:36">
      <c r="A106" s="3">
        <v>42583</v>
      </c>
      <c r="B106" s="28">
        <f>'[14]Data Input'!L180+'[16]PSP less Loss factor'!J189</f>
        <v>10546921.82</v>
      </c>
      <c r="C106" s="100">
        <f>'Purchased Power Model '!G106</f>
        <v>13.428571428571429</v>
      </c>
      <c r="D106" s="24">
        <f>'Purchased Power Model '!H106</f>
        <v>77.700000000000017</v>
      </c>
      <c r="E106" s="18">
        <f>'Purchased Power Model '!I106</f>
        <v>31</v>
      </c>
      <c r="F106" s="82">
        <f>'Purchased Power Model '!K106</f>
        <v>104</v>
      </c>
      <c r="G106" s="107">
        <f>'Purchased Power Model '!L106</f>
        <v>14.6</v>
      </c>
      <c r="H106" s="36">
        <f>'Purchased Power Model '!M106</f>
        <v>156.70146403443502</v>
      </c>
      <c r="I106" s="36">
        <f>'Purchased Power Model '!O106</f>
        <v>163.30000000000001</v>
      </c>
      <c r="J106" s="36">
        <f>'Purchased Power Model '!P106</f>
        <v>328.3</v>
      </c>
      <c r="K106" s="82">
        <f>'[14]Data Input'!O180+'[16]PSP less Loss factor'!L189</f>
        <v>150</v>
      </c>
      <c r="L106" s="18">
        <f>'Purchased Power Model '!J106</f>
        <v>0</v>
      </c>
      <c r="M106" s="10">
        <f t="shared" si="1"/>
        <v>12200049.678901369</v>
      </c>
      <c r="N106" s="50"/>
    </row>
    <row r="107" spans="1:36">
      <c r="A107" s="3">
        <v>42614</v>
      </c>
      <c r="B107" s="28">
        <f>'[14]Data Input'!L181+'[16]PSP less Loss factor'!J190</f>
        <v>9523317.9299999997</v>
      </c>
      <c r="C107" s="100">
        <f>'Purchased Power Model '!G107</f>
        <v>76.666666666666671</v>
      </c>
      <c r="D107" s="24">
        <f>'Purchased Power Model '!H107</f>
        <v>13.4</v>
      </c>
      <c r="E107" s="18">
        <f>'Purchased Power Model '!I107</f>
        <v>30</v>
      </c>
      <c r="F107" s="82">
        <f>'Purchased Power Model '!K107</f>
        <v>105</v>
      </c>
      <c r="G107" s="107">
        <f>'Purchased Power Model '!L107</f>
        <v>12.7</v>
      </c>
      <c r="H107" s="36">
        <f>'Purchased Power Model '!M107</f>
        <v>156.98589332520095</v>
      </c>
      <c r="I107" s="36">
        <f>'Purchased Power Model '!O107</f>
        <v>164.5</v>
      </c>
      <c r="J107" s="36">
        <f>'Purchased Power Model '!P107</f>
        <v>328.5</v>
      </c>
      <c r="K107" s="82">
        <f>'[14]Data Input'!O181+'[16]PSP less Loss factor'!L190</f>
        <v>150</v>
      </c>
      <c r="L107" s="18">
        <f>'Purchased Power Model '!J107</f>
        <v>1</v>
      </c>
      <c r="M107" s="10">
        <f t="shared" si="1"/>
        <v>11146946.381988134</v>
      </c>
      <c r="N107" s="50"/>
    </row>
    <row r="108" spans="1:36">
      <c r="A108" s="3">
        <v>42644</v>
      </c>
      <c r="B108" s="28">
        <f>'[14]Data Input'!L182+'[16]PSP less Loss factor'!J191</f>
        <v>9458401.4000000004</v>
      </c>
      <c r="C108" s="100">
        <f>'Purchased Power Model '!G108</f>
        <v>287.71428571428578</v>
      </c>
      <c r="D108" s="24">
        <f>'Purchased Power Model '!H108</f>
        <v>0</v>
      </c>
      <c r="E108" s="18">
        <f>'Purchased Power Model '!I108</f>
        <v>31</v>
      </c>
      <c r="F108" s="82">
        <f>'Purchased Power Model '!K108</f>
        <v>106</v>
      </c>
      <c r="G108" s="107">
        <f>'Purchased Power Model '!L108</f>
        <v>9.6999999999999993</v>
      </c>
      <c r="H108" s="36">
        <f>'Purchased Power Model '!M108</f>
        <v>157.27083888441365</v>
      </c>
      <c r="I108" s="36">
        <f>'Purchased Power Model '!O108</f>
        <v>175.3</v>
      </c>
      <c r="J108" s="36">
        <f>'Purchased Power Model '!P108</f>
        <v>328.7</v>
      </c>
      <c r="K108" s="82">
        <f>'[14]Data Input'!J182+'[16]PSP less Loss factor'!L191</f>
        <v>1637</v>
      </c>
      <c r="L108" s="18">
        <f>'Purchased Power Model '!J108</f>
        <v>1</v>
      </c>
      <c r="M108" s="10">
        <f t="shared" si="1"/>
        <v>11426778.816784095</v>
      </c>
      <c r="N108" s="50"/>
    </row>
    <row r="109" spans="1:36">
      <c r="A109" s="3">
        <v>42675</v>
      </c>
      <c r="B109" s="28">
        <f>'[14]Data Input'!L183+'[16]PSP less Loss factor'!J192</f>
        <v>9269442.4000000004</v>
      </c>
      <c r="C109" s="100">
        <f>'Purchased Power Model '!G109</f>
        <v>414.47619047619054</v>
      </c>
      <c r="D109" s="24">
        <f>'Purchased Power Model '!H109</f>
        <v>0</v>
      </c>
      <c r="E109" s="18">
        <f>'Purchased Power Model '!I109</f>
        <v>30</v>
      </c>
      <c r="F109" s="82">
        <f>'Purchased Power Model '!K109</f>
        <v>107</v>
      </c>
      <c r="G109" s="107">
        <f>'Purchased Power Model '!L109</f>
        <v>8</v>
      </c>
      <c r="H109" s="36">
        <f>'Purchased Power Model '!M109</f>
        <v>157.55630164915351</v>
      </c>
      <c r="I109" s="36"/>
      <c r="J109" s="36"/>
      <c r="K109" s="82">
        <f>'[14]Data Input'!J183+'[16]PSP less Loss factor'!L192</f>
        <v>1638</v>
      </c>
      <c r="L109" s="18">
        <f>'Purchased Power Model '!J109</f>
        <v>1</v>
      </c>
      <c r="M109" s="10">
        <f t="shared" si="1"/>
        <v>11477032.383797349</v>
      </c>
      <c r="N109" s="50"/>
    </row>
    <row r="110" spans="1:36">
      <c r="A110" s="3">
        <v>42705</v>
      </c>
      <c r="B110" s="28">
        <f>'[14]Data Input'!L184+'[16]PSP less Loss factor'!J193</f>
        <v>9637422</v>
      </c>
      <c r="C110" s="100">
        <f>'Purchased Power Model '!G110</f>
        <v>679.71428571428578</v>
      </c>
      <c r="D110" s="24">
        <f>'Purchased Power Model '!H110</f>
        <v>0</v>
      </c>
      <c r="E110" s="18">
        <f>'Purchased Power Model '!I110</f>
        <v>31</v>
      </c>
      <c r="F110" s="82">
        <f>'Purchased Power Model '!K110</f>
        <v>108</v>
      </c>
      <c r="G110" s="107">
        <f>'Purchased Power Model '!L110</f>
        <v>7.7</v>
      </c>
      <c r="H110" s="36">
        <f>'Purchased Power Model '!M110</f>
        <v>157.84228255820162</v>
      </c>
      <c r="I110" s="36"/>
      <c r="J110" s="36"/>
      <c r="K110" s="82">
        <f>'[14]Data Input'!J184+'[16]PSP less Loss factor'!L193</f>
        <v>1644</v>
      </c>
      <c r="L110" s="18">
        <f>'Purchased Power Model '!J110</f>
        <v>0</v>
      </c>
      <c r="M110" s="10">
        <f t="shared" si="1"/>
        <v>11910900.98606398</v>
      </c>
      <c r="N110" s="50"/>
    </row>
    <row r="111" spans="1:36">
      <c r="A111" s="3">
        <v>42736</v>
      </c>
      <c r="B111" s="28">
        <f>'[14]Data Input'!L185+'[16]PSP less Loss factor'!J194</f>
        <v>10036136</v>
      </c>
      <c r="C111" s="100">
        <f>'Purchased Power Model '!G111</f>
        <v>708.57142857142856</v>
      </c>
      <c r="D111" s="24">
        <f>'Purchased Power Model '!H111</f>
        <v>0</v>
      </c>
      <c r="E111" s="18">
        <f>'Purchased Power Model '!I111</f>
        <v>31</v>
      </c>
      <c r="F111" s="82">
        <f>'Purchased Power Model '!K111</f>
        <v>109</v>
      </c>
      <c r="G111" s="107">
        <f>'Purchased Power Model '!L111</f>
        <v>10.3</v>
      </c>
      <c r="H111" s="36">
        <f>'Purchased Power Model '!M111</f>
        <v>158.15454692394951</v>
      </c>
      <c r="I111" s="18"/>
      <c r="J111" s="18"/>
      <c r="K111" s="82">
        <f>'[14]Data Input'!J185+'[16]PSP less Loss factor'!L194</f>
        <v>1643</v>
      </c>
      <c r="L111" s="18">
        <f>'Purchased Power Model '!J111</f>
        <v>0</v>
      </c>
      <c r="M111" s="10">
        <f t="shared" si="1"/>
        <v>11840620.626907418</v>
      </c>
      <c r="N111" s="50"/>
    </row>
    <row r="112" spans="1:36">
      <c r="A112" s="3">
        <v>42767</v>
      </c>
      <c r="B112" s="28">
        <f>'[14]Data Input'!L186+'[16]PSP less Loss factor'!J195</f>
        <v>9565561</v>
      </c>
      <c r="C112" s="100">
        <f>'Purchased Power Model '!G112</f>
        <v>617.14285714285711</v>
      </c>
      <c r="D112" s="24">
        <f>'Purchased Power Model '!H112</f>
        <v>0</v>
      </c>
      <c r="E112" s="18">
        <f>'Purchased Power Model '!I112</f>
        <v>28</v>
      </c>
      <c r="F112" s="82">
        <f>'Purchased Power Model '!K112</f>
        <v>110</v>
      </c>
      <c r="G112" s="107">
        <f>'Purchased Power Model '!L112</f>
        <v>11</v>
      </c>
      <c r="H112" s="36">
        <f>'Purchased Power Model '!M112</f>
        <v>158.46742905214063</v>
      </c>
      <c r="I112" s="18"/>
      <c r="J112" s="18"/>
      <c r="K112" s="82">
        <f>'[14]Data Input'!J186+'[16]PSP less Loss factor'!L195</f>
        <v>1639</v>
      </c>
      <c r="L112" s="18">
        <f>'Purchased Power Model '!J112</f>
        <v>0</v>
      </c>
      <c r="M112" s="10">
        <f t="shared" si="1"/>
        <v>11269122.984620679</v>
      </c>
      <c r="N112" s="50"/>
    </row>
    <row r="113" spans="1:14">
      <c r="A113" s="3">
        <v>42795</v>
      </c>
      <c r="B113" s="28">
        <f>'[14]Data Input'!L187+'[16]PSP less Loss factor'!J196</f>
        <v>9977196</v>
      </c>
      <c r="C113" s="100">
        <f>'Purchased Power Model '!G113</f>
        <v>681.5238095238094</v>
      </c>
      <c r="D113" s="24">
        <f>'Purchased Power Model '!H113</f>
        <v>0</v>
      </c>
      <c r="E113" s="18">
        <f>'Purchased Power Model '!I113</f>
        <v>31</v>
      </c>
      <c r="F113" s="82">
        <f>'Purchased Power Model '!K113</f>
        <v>111</v>
      </c>
      <c r="G113" s="107">
        <f>'Purchased Power Model '!L113</f>
        <v>12.2</v>
      </c>
      <c r="H113" s="36">
        <f>'Purchased Power Model '!M113</f>
        <v>158.78093016491388</v>
      </c>
      <c r="I113" s="18"/>
      <c r="J113" s="18"/>
      <c r="K113" s="82">
        <f>'[14]Data Input'!J187+'[16]PSP less Loss factor'!L196</f>
        <v>1637</v>
      </c>
      <c r="L113" s="18">
        <f>'Purchased Power Model '!J113</f>
        <v>1</v>
      </c>
      <c r="M113" s="10">
        <f t="shared" si="1"/>
        <v>11762300.089461958</v>
      </c>
      <c r="N113" s="50"/>
    </row>
    <row r="114" spans="1:14">
      <c r="A114" s="3">
        <v>42826</v>
      </c>
      <c r="B114" s="28">
        <f>'[14]Data Input'!L188+'[16]PSP less Loss factor'!J197</f>
        <v>9113733</v>
      </c>
      <c r="C114" s="100">
        <f>'Purchased Power Model '!G114</f>
        <v>335.71428571428567</v>
      </c>
      <c r="D114" s="24">
        <f>'Purchased Power Model '!H114</f>
        <v>0.1</v>
      </c>
      <c r="E114" s="18">
        <f>'Purchased Power Model '!I114</f>
        <v>30</v>
      </c>
      <c r="F114" s="82">
        <f>'Purchased Power Model '!K114</f>
        <v>112</v>
      </c>
      <c r="G114" s="107">
        <f>'Purchased Power Model '!L114</f>
        <v>12</v>
      </c>
      <c r="H114" s="36">
        <f>'Purchased Power Model '!M114</f>
        <v>159.09505148682601</v>
      </c>
      <c r="I114" s="18"/>
      <c r="J114" s="18"/>
      <c r="K114" s="82">
        <f>'[14]Data Input'!J188+'[16]PSP less Loss factor'!L197</f>
        <v>1637</v>
      </c>
      <c r="L114" s="18">
        <f>'Purchased Power Model '!J114</f>
        <v>1</v>
      </c>
      <c r="M114" s="10">
        <f t="shared" si="1"/>
        <v>11303409.422878291</v>
      </c>
      <c r="N114" s="50"/>
    </row>
    <row r="115" spans="1:14">
      <c r="A115" s="3">
        <v>42856</v>
      </c>
      <c r="B115" s="28">
        <f>'[14]Data Input'!L189+'[16]PSP less Loss factor'!J198</f>
        <v>9398325</v>
      </c>
      <c r="C115" s="100">
        <f>'Purchased Power Model '!G115</f>
        <v>226.7619047619047</v>
      </c>
      <c r="D115" s="24">
        <f>'Purchased Power Model '!H115</f>
        <v>5.1999999999999993</v>
      </c>
      <c r="E115" s="18">
        <f>'Purchased Power Model '!I115</f>
        <v>31</v>
      </c>
      <c r="F115" s="82">
        <f>'Purchased Power Model '!K115</f>
        <v>113</v>
      </c>
      <c r="G115" s="107">
        <f>'Purchased Power Model '!L115</f>
        <v>12.5</v>
      </c>
      <c r="H115" s="36">
        <f>'Purchased Power Model '!M115</f>
        <v>159.4097942448563</v>
      </c>
      <c r="I115" s="18"/>
      <c r="J115" s="18"/>
      <c r="K115" s="82">
        <f>'[14]Data Input'!J189+'[16]PSP less Loss factor'!L198</f>
        <v>1641</v>
      </c>
      <c r="L115" s="18">
        <f>'Purchased Power Model '!J115</f>
        <v>1</v>
      </c>
      <c r="M115" s="10">
        <f t="shared" si="1"/>
        <v>11433272.138043191</v>
      </c>
      <c r="N115" s="50"/>
    </row>
    <row r="116" spans="1:14">
      <c r="A116" s="3">
        <v>42887</v>
      </c>
      <c r="B116" s="28">
        <f>'[14]Data Input'!L190+'[16]PSP less Loss factor'!J199</f>
        <v>9585573</v>
      </c>
      <c r="C116" s="100">
        <f>'Purchased Power Model '!G116</f>
        <v>84.571428571428584</v>
      </c>
      <c r="D116" s="24">
        <f>'Purchased Power Model '!H116</f>
        <v>19.7</v>
      </c>
      <c r="E116" s="18">
        <f>'Purchased Power Model '!I116</f>
        <v>30</v>
      </c>
      <c r="F116" s="82">
        <f>'Purchased Power Model '!K116</f>
        <v>114</v>
      </c>
      <c r="G116" s="107">
        <f>'Purchased Power Model '!L116</f>
        <v>13.2</v>
      </c>
      <c r="H116" s="36">
        <f>'Purchased Power Model '!M116</f>
        <v>159.72515966841141</v>
      </c>
      <c r="I116" s="18"/>
      <c r="J116" s="18"/>
      <c r="K116" s="82">
        <f>'[14]Data Input'!J190+'[16]PSP less Loss factor'!L199</f>
        <v>1643</v>
      </c>
      <c r="L116" s="18">
        <f>'Purchased Power Model '!J116</f>
        <v>0</v>
      </c>
      <c r="M116" s="10">
        <f t="shared" si="1"/>
        <v>11363924.333990773</v>
      </c>
      <c r="N116" s="50"/>
    </row>
    <row r="117" spans="1:14">
      <c r="A117" s="3">
        <v>42917</v>
      </c>
      <c r="B117" s="28">
        <f>'[14]Data Input'!L191+'[16]PSP less Loss factor'!J200</f>
        <v>9971108</v>
      </c>
      <c r="C117" s="100">
        <f>'Purchased Power Model '!G117</f>
        <v>20.857142857142851</v>
      </c>
      <c r="D117" s="24">
        <f>'Purchased Power Model '!H117</f>
        <v>20.299999999999997</v>
      </c>
      <c r="E117" s="18">
        <f>'Purchased Power Model '!I117</f>
        <v>31</v>
      </c>
      <c r="F117" s="82">
        <f>'Purchased Power Model '!K117</f>
        <v>115</v>
      </c>
      <c r="G117" s="107">
        <f>'Purchased Power Model '!L117</f>
        <v>11.3</v>
      </c>
      <c r="H117" s="36">
        <f>'Purchased Power Model '!M117</f>
        <v>160.0411489893302</v>
      </c>
      <c r="I117" s="18"/>
      <c r="J117" s="18"/>
      <c r="K117" s="82">
        <f>'[14]Data Input'!J191+'[16]PSP less Loss factor'!L200</f>
        <v>1639</v>
      </c>
      <c r="L117" s="18">
        <f>'Purchased Power Model '!J117</f>
        <v>0</v>
      </c>
      <c r="M117" s="10">
        <f t="shared" si="1"/>
        <v>11566626.568913117</v>
      </c>
      <c r="N117" s="50"/>
    </row>
    <row r="118" spans="1:14">
      <c r="A118" s="3">
        <v>42948</v>
      </c>
      <c r="B118" s="28">
        <f>'[14]Data Input'!L192+'[16]PSP less Loss factor'!J201</f>
        <v>10229795</v>
      </c>
      <c r="C118" s="100">
        <f>'Purchased Power Model '!G118</f>
        <v>59.619047619047613</v>
      </c>
      <c r="D118" s="24">
        <f>'Purchased Power Model '!H118</f>
        <v>19.399999999999999</v>
      </c>
      <c r="E118" s="18">
        <f>'Purchased Power Model '!I118</f>
        <v>31</v>
      </c>
      <c r="F118" s="82">
        <f>'Purchased Power Model '!K118</f>
        <v>116</v>
      </c>
      <c r="G118" s="107">
        <f>'Purchased Power Model '!L118</f>
        <v>12.3</v>
      </c>
      <c r="H118" s="36">
        <f>'Purchased Power Model '!M118</f>
        <v>160.35776344188849</v>
      </c>
      <c r="I118" s="18"/>
      <c r="J118" s="18"/>
      <c r="K118" s="82">
        <f>'[14]Data Input'!J192+'[16]PSP less Loss factor'!L201</f>
        <v>1639</v>
      </c>
      <c r="L118" s="18">
        <f>'Purchased Power Model '!J118</f>
        <v>0</v>
      </c>
      <c r="M118" s="10">
        <f t="shared" si="1"/>
        <v>11560246.69479518</v>
      </c>
      <c r="N118" s="50"/>
    </row>
    <row r="119" spans="1:14">
      <c r="A119" s="3">
        <v>42979</v>
      </c>
      <c r="B119" s="28">
        <f>'[14]Data Input'!L193+'[16]PSP less Loss factor'!J202</f>
        <v>9706768</v>
      </c>
      <c r="C119" s="100">
        <f>'Purchased Power Model '!G119</f>
        <v>116.0952380952381</v>
      </c>
      <c r="D119" s="24">
        <f>'Purchased Power Model '!H119</f>
        <v>30</v>
      </c>
      <c r="E119" s="18">
        <f>'Purchased Power Model '!I119</f>
        <v>30</v>
      </c>
      <c r="F119" s="82">
        <f>'Purchased Power Model '!K119</f>
        <v>117</v>
      </c>
      <c r="G119" s="107">
        <f>'Purchased Power Model '!L119</f>
        <v>10.8</v>
      </c>
      <c r="H119" s="36">
        <f>'Purchased Power Model '!M119</f>
        <v>160.67500426280395</v>
      </c>
      <c r="I119" s="18"/>
      <c r="J119" s="18"/>
      <c r="K119" s="82">
        <f>'[14]Data Input'!J193+'[16]PSP less Loss factor'!L202</f>
        <v>1634</v>
      </c>
      <c r="L119" s="18">
        <f>'Purchased Power Model '!J119</f>
        <v>1</v>
      </c>
      <c r="M119" s="10">
        <f t="shared" si="1"/>
        <v>11710205.968479052</v>
      </c>
      <c r="N119" s="50"/>
    </row>
    <row r="120" spans="1:14">
      <c r="A120" s="3">
        <v>43009</v>
      </c>
      <c r="B120" s="28">
        <f>'[14]Data Input'!L194+'[16]PSP less Loss factor'!J203</f>
        <v>9750711</v>
      </c>
      <c r="C120" s="100">
        <f>'Purchased Power Model '!G120</f>
        <v>232.19047619047618</v>
      </c>
      <c r="D120" s="24">
        <f>'Purchased Power Model '!H120</f>
        <v>0</v>
      </c>
      <c r="E120" s="18">
        <f>'Purchased Power Model '!I120</f>
        <v>31</v>
      </c>
      <c r="F120" s="82">
        <f>'Purchased Power Model '!K120</f>
        <v>118</v>
      </c>
      <c r="G120" s="107">
        <f>'Purchased Power Model '!L120</f>
        <v>10.7</v>
      </c>
      <c r="H120" s="36">
        <f>'Purchased Power Model '!M120</f>
        <v>160.99287269124085</v>
      </c>
      <c r="I120" s="18"/>
      <c r="J120" s="18"/>
      <c r="K120" s="82">
        <f>'[14]Data Input'!J194+'[16]PSP less Loss factor'!L203</f>
        <v>1640</v>
      </c>
      <c r="L120" s="18">
        <f>'Purchased Power Model '!J120</f>
        <v>1</v>
      </c>
      <c r="M120" s="10">
        <f t="shared" si="1"/>
        <v>11505007.511150979</v>
      </c>
      <c r="N120" s="50"/>
    </row>
    <row r="121" spans="1:14">
      <c r="A121" s="3">
        <v>43040</v>
      </c>
      <c r="B121" s="28">
        <f>'[14]Data Input'!L195+'[16]PSP less Loss factor'!J204</f>
        <v>9656547</v>
      </c>
      <c r="C121" s="100">
        <f>'Purchased Power Model '!G121</f>
        <v>356</v>
      </c>
      <c r="D121" s="24">
        <f>'Purchased Power Model '!H121</f>
        <v>0</v>
      </c>
      <c r="E121" s="18">
        <f>'Purchased Power Model '!I121</f>
        <v>30</v>
      </c>
      <c r="F121" s="82">
        <f>'Purchased Power Model '!K121</f>
        <v>119</v>
      </c>
      <c r="G121" s="107">
        <f>'Purchased Power Model '!L121</f>
        <v>9.4</v>
      </c>
      <c r="H121" s="36">
        <f>'Purchased Power Model '!M121</f>
        <v>161.31136996881492</v>
      </c>
      <c r="I121" s="18"/>
      <c r="J121" s="18"/>
      <c r="K121" s="82">
        <f>'[14]Data Input'!J195+'[16]PSP less Loss factor'!L204</f>
        <v>1641</v>
      </c>
      <c r="L121" s="18">
        <f>'Purchased Power Model '!J121</f>
        <v>1</v>
      </c>
      <c r="M121" s="10">
        <f t="shared" si="1"/>
        <v>11536749.493146993</v>
      </c>
      <c r="N121" s="50"/>
    </row>
    <row r="122" spans="1:14">
      <c r="A122" s="3">
        <v>43070</v>
      </c>
      <c r="B122" s="28">
        <f>'[14]Data Input'!L196+'[16]PSP less Loss factor'!J205</f>
        <v>9762050.8436394334</v>
      </c>
      <c r="C122" s="100">
        <f>'Purchased Power Model '!G122</f>
        <v>843.04761904761892</v>
      </c>
      <c r="D122" s="24">
        <f>'Purchased Power Model '!H122</f>
        <v>0</v>
      </c>
      <c r="E122" s="18">
        <f>'Purchased Power Model '!I122</f>
        <v>31</v>
      </c>
      <c r="F122" s="82">
        <f>'Purchased Power Model '!K122</f>
        <v>120</v>
      </c>
      <c r="G122" s="107">
        <f>'Purchased Power Model '!L122</f>
        <v>9.6</v>
      </c>
      <c r="H122" s="36">
        <f>'Purchased Power Model '!M122</f>
        <v>161.63049733959846</v>
      </c>
      <c r="I122" s="18"/>
      <c r="J122" s="18"/>
      <c r="K122" s="82">
        <f>'[14]Data Input'!J196+'[16]PSP less Loss factor'!L205</f>
        <v>1640</v>
      </c>
      <c r="L122" s="18">
        <f>'Purchased Power Model '!J122</f>
        <v>0</v>
      </c>
      <c r="M122" s="10">
        <f t="shared" si="1"/>
        <v>12160583.075284237</v>
      </c>
      <c r="N122" s="50"/>
    </row>
    <row r="123" spans="1:14">
      <c r="A123" s="3">
        <v>43101</v>
      </c>
      <c r="C123" s="100">
        <f>'Purchased Power Model '!G123</f>
        <v>784.93238095238098</v>
      </c>
      <c r="D123" s="100">
        <f>'Purchased Power Model '!H123</f>
        <v>0</v>
      </c>
      <c r="E123" s="18">
        <f>'Purchased Power Model '!I123</f>
        <v>31</v>
      </c>
      <c r="F123" s="82">
        <f>'Purchased Power Model '!K123</f>
        <v>121</v>
      </c>
      <c r="G123" s="107"/>
      <c r="H123" s="36">
        <f>'Purchased Power Model '!M123</f>
        <v>161.95025605012432</v>
      </c>
      <c r="I123" s="18"/>
      <c r="J123" s="18"/>
      <c r="K123" s="82">
        <f>'[14]Data Input'!J197+'[16]PSP less Loss factor'!L206</f>
        <v>0</v>
      </c>
      <c r="L123" s="18">
        <f>'Purchased Power Model '!J123</f>
        <v>0</v>
      </c>
      <c r="M123" s="10">
        <f t="shared" si="1"/>
        <v>12534760.244280184</v>
      </c>
      <c r="N123" s="50"/>
    </row>
    <row r="124" spans="1:14">
      <c r="A124" s="3">
        <v>43132</v>
      </c>
      <c r="C124" s="100">
        <f>'Purchased Power Model '!G124</f>
        <v>739.71857142857129</v>
      </c>
      <c r="D124" s="100">
        <f>'Purchased Power Model '!H124</f>
        <v>0</v>
      </c>
      <c r="E124" s="18">
        <f>'Purchased Power Model '!I124</f>
        <v>28</v>
      </c>
      <c r="F124" s="82">
        <f>'Purchased Power Model '!K124</f>
        <v>122</v>
      </c>
      <c r="G124" s="107"/>
      <c r="H124" s="36">
        <f>'Purchased Power Model '!M124</f>
        <v>162.27064734939202</v>
      </c>
      <c r="I124" s="18"/>
      <c r="J124" s="18"/>
      <c r="K124" s="82">
        <f>'[14]Data Input'!J198+'[16]PSP less Loss factor'!L207</f>
        <v>0</v>
      </c>
      <c r="L124" s="18">
        <f>'Purchased Power Model '!J124</f>
        <v>0</v>
      </c>
      <c r="M124" s="10">
        <f t="shared" ref="M124:M134" si="2">$P$18+C124*$P$19+D124*$P$20+E124*$P$21+F124*$P$22+G124*$P$23+H124*$P$24</f>
        <v>12037571.887545105</v>
      </c>
      <c r="N124" s="50"/>
    </row>
    <row r="125" spans="1:14">
      <c r="A125" s="3">
        <v>43160</v>
      </c>
      <c r="C125" s="100">
        <f>'Purchased Power Model '!G125</f>
        <v>622.95999999999992</v>
      </c>
      <c r="D125" s="100">
        <f>'Purchased Power Model '!H125</f>
        <v>0</v>
      </c>
      <c r="E125" s="18">
        <f>'Purchased Power Model '!I125</f>
        <v>31</v>
      </c>
      <c r="F125" s="82">
        <f>'Purchased Power Model '!K125</f>
        <v>123</v>
      </c>
      <c r="G125" s="107"/>
      <c r="H125" s="36">
        <f>'Purchased Power Model '!M125</f>
        <v>162.59167248887184</v>
      </c>
      <c r="I125" s="18"/>
      <c r="J125" s="18"/>
      <c r="K125" s="82">
        <f>'[14]Data Input'!J199+'[16]PSP less Loss factor'!L208</f>
        <v>0</v>
      </c>
      <c r="L125" s="18">
        <f>'Purchased Power Model '!J125</f>
        <v>1</v>
      </c>
      <c r="M125" s="10">
        <f t="shared" si="2"/>
        <v>12411393.896848541</v>
      </c>
      <c r="N125" s="50"/>
    </row>
    <row r="126" spans="1:14">
      <c r="A126" s="3">
        <v>43191</v>
      </c>
      <c r="C126" s="100">
        <f>'Purchased Power Model '!G126</f>
        <v>379.45</v>
      </c>
      <c r="D126" s="100">
        <f>'Purchased Power Model '!H126</f>
        <v>0.01</v>
      </c>
      <c r="E126" s="18">
        <f>'Purchased Power Model '!I126</f>
        <v>30</v>
      </c>
      <c r="F126" s="82">
        <f>'Purchased Power Model '!K126</f>
        <v>124</v>
      </c>
      <c r="G126" s="107"/>
      <c r="H126" s="36">
        <f>'Purchased Power Model '!M126</f>
        <v>162.91333272250986</v>
      </c>
      <c r="I126" s="18"/>
      <c r="J126" s="18"/>
      <c r="K126" s="82">
        <f>'[14]Data Input'!J200+'[16]PSP less Loss factor'!L209</f>
        <v>0</v>
      </c>
      <c r="L126" s="18">
        <f>'Purchased Power Model '!J126</f>
        <v>1</v>
      </c>
      <c r="M126" s="10">
        <f t="shared" si="2"/>
        <v>12039602.089561462</v>
      </c>
      <c r="N126" s="50"/>
    </row>
    <row r="127" spans="1:14">
      <c r="A127" s="3">
        <v>43221</v>
      </c>
      <c r="C127" s="100">
        <f>'Purchased Power Model '!G127</f>
        <v>190.97476190476192</v>
      </c>
      <c r="D127" s="100">
        <f>'Purchased Power Model '!H127</f>
        <v>8.77</v>
      </c>
      <c r="E127" s="18">
        <f>'Purchased Power Model '!I127</f>
        <v>31</v>
      </c>
      <c r="F127" s="82">
        <f>'Purchased Power Model '!K127</f>
        <v>125</v>
      </c>
      <c r="G127" s="107"/>
      <c r="H127" s="36">
        <f>'Purchased Power Model '!M127</f>
        <v>163.23562930673287</v>
      </c>
      <c r="I127" s="18"/>
      <c r="J127" s="18"/>
      <c r="K127" s="82">
        <f>'[14]Data Input'!J201+'[16]PSP less Loss factor'!L210</f>
        <v>0</v>
      </c>
      <c r="L127" s="18">
        <f>'Purchased Power Model '!J127</f>
        <v>1</v>
      </c>
      <c r="M127" s="10">
        <f t="shared" si="2"/>
        <v>12175976.826434119</v>
      </c>
      <c r="N127" s="50"/>
    </row>
    <row r="128" spans="1:14">
      <c r="A128" s="3">
        <v>43252</v>
      </c>
      <c r="C128" s="100">
        <f>'Purchased Power Model '!G128</f>
        <v>69.127619047619049</v>
      </c>
      <c r="D128" s="100">
        <f>'Purchased Power Model '!H128</f>
        <v>22.15</v>
      </c>
      <c r="E128" s="18">
        <f>'Purchased Power Model '!I128</f>
        <v>30</v>
      </c>
      <c r="F128" s="82">
        <f>'Purchased Power Model '!K128</f>
        <v>126</v>
      </c>
      <c r="G128" s="107"/>
      <c r="H128" s="36">
        <f>'Purchased Power Model '!M128</f>
        <v>163.55856350045332</v>
      </c>
      <c r="I128" s="18"/>
      <c r="J128" s="18"/>
      <c r="K128" s="82">
        <f>'[14]Data Input'!J202+'[16]PSP less Loss factor'!L211</f>
        <v>0</v>
      </c>
      <c r="L128" s="18">
        <f>'Purchased Power Model '!J128</f>
        <v>0</v>
      </c>
      <c r="M128" s="10">
        <f t="shared" si="2"/>
        <v>12138127.494584292</v>
      </c>
      <c r="N128" s="50"/>
    </row>
    <row r="129" spans="1:14">
      <c r="A129" s="3">
        <v>43282</v>
      </c>
      <c r="C129" s="100">
        <f>'Purchased Power Model '!G129</f>
        <v>22.305238095238096</v>
      </c>
      <c r="D129" s="100">
        <f>'Purchased Power Model '!H129</f>
        <v>53.85</v>
      </c>
      <c r="E129" s="18">
        <f>'Purchased Power Model '!I129</f>
        <v>31</v>
      </c>
      <c r="F129" s="82">
        <f>'Purchased Power Model '!K129</f>
        <v>127</v>
      </c>
      <c r="G129" s="107"/>
      <c r="H129" s="36">
        <f>'Purchased Power Model '!M129</f>
        <v>163.88213656507418</v>
      </c>
      <c r="I129" s="18"/>
      <c r="J129" s="18"/>
      <c r="K129" s="82">
        <f>'[14]Data Input'!J203+'[16]PSP less Loss factor'!L212</f>
        <v>0</v>
      </c>
      <c r="L129" s="18">
        <f>'Purchased Power Model '!J129</f>
        <v>0</v>
      </c>
      <c r="M129" s="10">
        <f t="shared" si="2"/>
        <v>12783912.858045908</v>
      </c>
      <c r="N129" s="50"/>
    </row>
    <row r="130" spans="1:14">
      <c r="A130" s="3">
        <v>43313</v>
      </c>
      <c r="C130" s="100">
        <f>'Purchased Power Model '!G130</f>
        <v>35.084761904761905</v>
      </c>
      <c r="D130" s="100">
        <f>'Purchased Power Model '!H130</f>
        <v>38.71</v>
      </c>
      <c r="E130" s="18">
        <f>'Purchased Power Model '!I130</f>
        <v>31</v>
      </c>
      <c r="F130" s="82">
        <f>'Purchased Power Model '!K130</f>
        <v>128</v>
      </c>
      <c r="G130" s="107"/>
      <c r="H130" s="36">
        <f>'Purchased Power Model '!M130</f>
        <v>164.20634976449389</v>
      </c>
      <c r="I130" s="18"/>
      <c r="J130" s="18"/>
      <c r="K130" s="82">
        <f>'[14]Data Input'!J204+'[16]PSP less Loss factor'!L213</f>
        <v>0</v>
      </c>
      <c r="L130" s="18">
        <f>'Purchased Power Model '!J130</f>
        <v>0</v>
      </c>
      <c r="M130" s="10">
        <f t="shared" si="2"/>
        <v>12563507.870980073</v>
      </c>
      <c r="N130" s="50"/>
    </row>
    <row r="131" spans="1:14">
      <c r="A131" s="3">
        <v>43344</v>
      </c>
      <c r="C131" s="100">
        <f>'Purchased Power Model '!G131</f>
        <v>119.32619047619046</v>
      </c>
      <c r="D131" s="100">
        <f>'Purchased Power Model '!H131</f>
        <v>14.820000000000002</v>
      </c>
      <c r="E131" s="18">
        <f>'Purchased Power Model '!I131</f>
        <v>30</v>
      </c>
      <c r="F131" s="82">
        <f>'Purchased Power Model '!K131</f>
        <v>129</v>
      </c>
      <c r="G131" s="107"/>
      <c r="H131" s="36">
        <f>'Purchased Power Model '!M131</f>
        <v>164.53120436511134</v>
      </c>
      <c r="I131" s="18"/>
      <c r="J131" s="18"/>
      <c r="K131" s="82">
        <f>'[14]Data Input'!J205+'[16]PSP less Loss factor'!L214</f>
        <v>0</v>
      </c>
      <c r="L131" s="18">
        <f>'Purchased Power Model '!J131</f>
        <v>1</v>
      </c>
      <c r="M131" s="10">
        <f t="shared" si="2"/>
        <v>12111205.171719795</v>
      </c>
      <c r="N131" s="50"/>
    </row>
    <row r="132" spans="1:14">
      <c r="A132" s="3">
        <v>43374</v>
      </c>
      <c r="C132" s="100">
        <f>'Purchased Power Model '!G132</f>
        <v>307.71047619047624</v>
      </c>
      <c r="D132" s="100">
        <f>'Purchased Power Model '!H132</f>
        <v>0.03</v>
      </c>
      <c r="E132" s="18">
        <f>'Purchased Power Model '!I132</f>
        <v>31</v>
      </c>
      <c r="F132" s="82">
        <f>'Purchased Power Model '!K132</f>
        <v>130</v>
      </c>
      <c r="G132" s="107"/>
      <c r="H132" s="36">
        <f>'Purchased Power Model '!M132</f>
        <v>164.85670163583072</v>
      </c>
      <c r="I132" s="18"/>
      <c r="J132" s="18"/>
      <c r="K132" s="82">
        <f>'[14]Data Input'!J206+'[16]PSP less Loss factor'!L215</f>
        <v>0</v>
      </c>
      <c r="L132" s="18">
        <f>'Purchased Power Model '!J132</f>
        <v>1</v>
      </c>
      <c r="M132" s="10">
        <f t="shared" si="2"/>
        <v>12219286.091831788</v>
      </c>
      <c r="N132" s="50"/>
    </row>
    <row r="133" spans="1:14">
      <c r="A133" s="3">
        <v>43405</v>
      </c>
      <c r="C133" s="100">
        <f>'Purchased Power Model '!G133</f>
        <v>465.15761904761905</v>
      </c>
      <c r="D133" s="100">
        <f>'Purchased Power Model '!H133</f>
        <v>0</v>
      </c>
      <c r="E133" s="18">
        <f>'Purchased Power Model '!I133</f>
        <v>30</v>
      </c>
      <c r="F133" s="82">
        <f>'Purchased Power Model '!K133</f>
        <v>131</v>
      </c>
      <c r="G133" s="107"/>
      <c r="H133" s="36">
        <f>'Purchased Power Model '!M133</f>
        <v>165.18284284806657</v>
      </c>
      <c r="I133" s="18"/>
      <c r="J133" s="18"/>
      <c r="K133" s="82">
        <f>'[14]Data Input'!J207+'[16]PSP less Loss factor'!L216</f>
        <v>0</v>
      </c>
      <c r="L133" s="18">
        <f>'Purchased Power Model '!J133</f>
        <v>1</v>
      </c>
      <c r="M133" s="10">
        <f t="shared" si="2"/>
        <v>12226643.329601001</v>
      </c>
      <c r="N133" s="50"/>
    </row>
    <row r="134" spans="1:14">
      <c r="A134" s="3">
        <v>43435</v>
      </c>
      <c r="C134" s="100">
        <f>'Purchased Power Model '!G134</f>
        <v>710.40619047619066</v>
      </c>
      <c r="D134" s="100">
        <f>'Purchased Power Model '!H134</f>
        <v>0</v>
      </c>
      <c r="E134" s="18">
        <f>'Purchased Power Model '!I134</f>
        <v>31</v>
      </c>
      <c r="F134" s="82">
        <f>'Purchased Power Model '!K134</f>
        <v>132</v>
      </c>
      <c r="G134" s="107"/>
      <c r="H134" s="36">
        <f>'Purchased Power Model '!M134</f>
        <v>165.18636828106963</v>
      </c>
      <c r="I134" s="18"/>
      <c r="J134" s="18"/>
      <c r="K134" s="82">
        <f>'[14]Data Input'!J208+'[16]PSP less Loss factor'!L217</f>
        <v>0</v>
      </c>
      <c r="L134" s="18">
        <f>'Purchased Power Model '!J134</f>
        <v>0</v>
      </c>
      <c r="M134" s="10">
        <f t="shared" si="2"/>
        <v>12615440.339923766</v>
      </c>
      <c r="N134" s="50"/>
    </row>
    <row r="135" spans="1:14">
      <c r="A135" s="3">
        <v>43466</v>
      </c>
      <c r="C135" s="100">
        <f>'Purchased Power Model '!G135</f>
        <v>784.93238095238098</v>
      </c>
      <c r="D135" s="100">
        <f>'Purchased Power Model '!H135</f>
        <v>0</v>
      </c>
      <c r="E135" s="18">
        <f>'Purchased Power Model '!I135</f>
        <v>31</v>
      </c>
      <c r="F135" s="82">
        <f>'Purchased Power Model '!K135</f>
        <v>133</v>
      </c>
      <c r="G135" s="107"/>
      <c r="H135" s="36"/>
      <c r="I135" s="18"/>
      <c r="J135" s="18"/>
      <c r="K135" s="82"/>
      <c r="L135" s="18"/>
      <c r="M135" s="10"/>
      <c r="N135" s="50"/>
    </row>
    <row r="136" spans="1:14">
      <c r="A136" s="3">
        <v>43497</v>
      </c>
      <c r="C136" s="100">
        <f>'Purchased Power Model '!G136</f>
        <v>739.71857142857129</v>
      </c>
      <c r="D136" s="100">
        <f>'Purchased Power Model '!H136</f>
        <v>0</v>
      </c>
      <c r="E136" s="18">
        <f>'Purchased Power Model '!I136</f>
        <v>28</v>
      </c>
      <c r="F136" s="82">
        <f>'Purchased Power Model '!K136</f>
        <v>134</v>
      </c>
      <c r="G136" s="107"/>
      <c r="H136" s="36"/>
      <c r="I136" s="18"/>
      <c r="J136" s="18"/>
      <c r="K136" s="82"/>
      <c r="L136" s="18"/>
      <c r="M136" s="10"/>
      <c r="N136" s="50"/>
    </row>
    <row r="137" spans="1:14">
      <c r="A137" s="3">
        <v>43525</v>
      </c>
      <c r="C137" s="100">
        <f>'Purchased Power Model '!G137</f>
        <v>622.95999999999992</v>
      </c>
      <c r="D137" s="100">
        <f>'Purchased Power Model '!H137</f>
        <v>0</v>
      </c>
      <c r="E137" s="18">
        <f>'Purchased Power Model '!I137</f>
        <v>31</v>
      </c>
      <c r="F137" s="82">
        <f>'Purchased Power Model '!K137</f>
        <v>135</v>
      </c>
      <c r="G137" s="107"/>
      <c r="H137" s="36"/>
      <c r="I137" s="18"/>
      <c r="J137" s="18"/>
      <c r="K137" s="82"/>
      <c r="L137" s="18"/>
      <c r="M137" s="10"/>
      <c r="N137" s="50"/>
    </row>
    <row r="138" spans="1:14">
      <c r="A138" s="3">
        <v>43556</v>
      </c>
      <c r="C138" s="100">
        <f>'Purchased Power Model '!G138</f>
        <v>379.45</v>
      </c>
      <c r="D138" s="100">
        <f>'Purchased Power Model '!H138</f>
        <v>0.01</v>
      </c>
      <c r="E138" s="18">
        <f>'Purchased Power Model '!I138</f>
        <v>30</v>
      </c>
      <c r="F138" s="82">
        <f>'Purchased Power Model '!K138</f>
        <v>136</v>
      </c>
      <c r="G138" s="107"/>
      <c r="H138" s="36"/>
      <c r="I138" s="18"/>
      <c r="J138" s="18"/>
      <c r="K138" s="82"/>
      <c r="L138" s="18"/>
      <c r="M138" s="10"/>
      <c r="N138" s="50"/>
    </row>
    <row r="139" spans="1:14">
      <c r="A139" s="3">
        <v>43586</v>
      </c>
      <c r="C139" s="100">
        <f>'Purchased Power Model '!G139</f>
        <v>190.97476190476192</v>
      </c>
      <c r="D139" s="100">
        <f>'Purchased Power Model '!H139</f>
        <v>8.77</v>
      </c>
      <c r="E139" s="18">
        <f>'Purchased Power Model '!I139</f>
        <v>31</v>
      </c>
      <c r="F139" s="82">
        <f>'Purchased Power Model '!K139</f>
        <v>137</v>
      </c>
      <c r="G139" s="107"/>
      <c r="H139" s="36"/>
      <c r="I139" s="18"/>
      <c r="J139" s="18"/>
      <c r="K139" s="82"/>
      <c r="L139" s="18"/>
      <c r="M139" s="10"/>
      <c r="N139" s="50"/>
    </row>
    <row r="140" spans="1:14">
      <c r="A140" s="3">
        <v>43617</v>
      </c>
      <c r="C140" s="100">
        <f>'Purchased Power Model '!G140</f>
        <v>69.127619047619049</v>
      </c>
      <c r="D140" s="100">
        <f>'Purchased Power Model '!H140</f>
        <v>22.15</v>
      </c>
      <c r="E140" s="18">
        <f>'Purchased Power Model '!I140</f>
        <v>30</v>
      </c>
      <c r="F140" s="82">
        <f>'Purchased Power Model '!K140</f>
        <v>138</v>
      </c>
      <c r="G140" s="107"/>
      <c r="H140" s="36"/>
      <c r="I140" s="18"/>
      <c r="J140" s="18"/>
      <c r="K140" s="82"/>
      <c r="L140" s="18"/>
      <c r="M140" s="10"/>
      <c r="N140" s="50"/>
    </row>
    <row r="141" spans="1:14">
      <c r="A141" s="3">
        <v>43647</v>
      </c>
      <c r="C141" s="100">
        <f>'Purchased Power Model '!G141</f>
        <v>22.305238095238096</v>
      </c>
      <c r="D141" s="100">
        <f>'Purchased Power Model '!H141</f>
        <v>53.85</v>
      </c>
      <c r="E141" s="18">
        <f>'Purchased Power Model '!I141</f>
        <v>31</v>
      </c>
      <c r="F141" s="82">
        <f>'Purchased Power Model '!K141</f>
        <v>139</v>
      </c>
      <c r="G141" s="107"/>
      <c r="H141" s="36"/>
      <c r="I141" s="18"/>
      <c r="J141" s="18"/>
      <c r="K141" s="82"/>
      <c r="L141" s="18"/>
      <c r="M141" s="10"/>
      <c r="N141" s="50"/>
    </row>
    <row r="142" spans="1:14">
      <c r="A142" s="3">
        <v>43678</v>
      </c>
      <c r="C142" s="100">
        <f>'Purchased Power Model '!G142</f>
        <v>35.084761904761905</v>
      </c>
      <c r="D142" s="100">
        <f>'Purchased Power Model '!H142</f>
        <v>38.71</v>
      </c>
      <c r="E142" s="18">
        <f>'Purchased Power Model '!I142</f>
        <v>31</v>
      </c>
      <c r="F142" s="82">
        <f>'Purchased Power Model '!K142</f>
        <v>140</v>
      </c>
      <c r="G142" s="107"/>
      <c r="H142" s="36"/>
      <c r="I142" s="18"/>
      <c r="J142" s="18"/>
      <c r="K142" s="82"/>
      <c r="L142" s="18"/>
      <c r="M142" s="10"/>
      <c r="N142" s="50"/>
    </row>
    <row r="143" spans="1:14">
      <c r="A143" s="3">
        <v>43709</v>
      </c>
      <c r="C143" s="100">
        <f>'Purchased Power Model '!G143</f>
        <v>119.32619047619046</v>
      </c>
      <c r="D143" s="100">
        <f>'Purchased Power Model '!H143</f>
        <v>14.820000000000002</v>
      </c>
      <c r="E143" s="18">
        <f>'Purchased Power Model '!I143</f>
        <v>30</v>
      </c>
      <c r="F143" s="82">
        <f>'Purchased Power Model '!K143</f>
        <v>141</v>
      </c>
      <c r="G143" s="107"/>
      <c r="H143" s="36"/>
      <c r="I143" s="18"/>
      <c r="J143" s="18"/>
      <c r="K143" s="82"/>
      <c r="L143" s="18"/>
      <c r="M143" s="10"/>
      <c r="N143" s="50"/>
    </row>
    <row r="144" spans="1:14">
      <c r="A144" s="3">
        <v>43739</v>
      </c>
      <c r="C144" s="100">
        <f>'Purchased Power Model '!G144</f>
        <v>307.71047619047624</v>
      </c>
      <c r="D144" s="100">
        <f>'Purchased Power Model '!H144</f>
        <v>0.03</v>
      </c>
      <c r="E144" s="18">
        <f>'Purchased Power Model '!I144</f>
        <v>31</v>
      </c>
      <c r="F144" s="82">
        <f>'Purchased Power Model '!K144</f>
        <v>142</v>
      </c>
      <c r="G144" s="107"/>
      <c r="H144" s="36"/>
      <c r="I144" s="18"/>
      <c r="J144" s="18"/>
      <c r="K144" s="82"/>
      <c r="L144" s="18"/>
      <c r="M144" s="10"/>
      <c r="N144" s="50"/>
    </row>
    <row r="145" spans="1:36">
      <c r="A145" s="3">
        <v>43770</v>
      </c>
      <c r="C145" s="100">
        <f>'Purchased Power Model '!G145</f>
        <v>465.15761904761905</v>
      </c>
      <c r="D145" s="100">
        <f>'Purchased Power Model '!H145</f>
        <v>0</v>
      </c>
      <c r="E145" s="18">
        <f>'Purchased Power Model '!I145</f>
        <v>30</v>
      </c>
      <c r="F145" s="82">
        <f>'Purchased Power Model '!K145</f>
        <v>143</v>
      </c>
      <c r="G145" s="107"/>
      <c r="H145" s="36"/>
      <c r="I145" s="18"/>
      <c r="J145" s="18"/>
      <c r="K145" s="82"/>
      <c r="L145" s="18"/>
      <c r="M145" s="10"/>
      <c r="N145" s="50"/>
    </row>
    <row r="146" spans="1:36">
      <c r="A146" s="3">
        <v>43800</v>
      </c>
      <c r="C146" s="100">
        <f>'Purchased Power Model '!G146</f>
        <v>710.40619047619066</v>
      </c>
      <c r="D146" s="100">
        <f>'Purchased Power Model '!H146</f>
        <v>0</v>
      </c>
      <c r="E146" s="18">
        <f>'Purchased Power Model '!I146</f>
        <v>31</v>
      </c>
      <c r="F146" s="82">
        <f>'Purchased Power Model '!K146</f>
        <v>144</v>
      </c>
      <c r="G146" s="28"/>
      <c r="N146" s="50"/>
      <c r="AJ146"/>
    </row>
    <row r="147" spans="1:36">
      <c r="A147" s="3"/>
      <c r="N147" s="50"/>
      <c r="O147" s="177"/>
      <c r="AJ147"/>
    </row>
    <row r="148" spans="1:36">
      <c r="A148" s="3"/>
      <c r="N148" s="50"/>
      <c r="O148" s="177"/>
      <c r="AJ148"/>
    </row>
    <row r="149" spans="1:36">
      <c r="A149" s="3"/>
      <c r="D149" s="24" t="s">
        <v>13</v>
      </c>
      <c r="M149" s="50">
        <f>SUM(M3:M146)</f>
        <v>1455735393.419143</v>
      </c>
      <c r="N149" s="50"/>
      <c r="O149" s="177"/>
      <c r="AJ149"/>
    </row>
    <row r="150" spans="1:36">
      <c r="A150" s="3"/>
      <c r="N150" s="50"/>
      <c r="O150" s="5"/>
      <c r="AJ150"/>
    </row>
    <row r="151" spans="1:36">
      <c r="A151">
        <v>2008</v>
      </c>
      <c r="B151" s="28">
        <f>SUM(B3:B14)</f>
        <v>127215657.84507839</v>
      </c>
      <c r="M151" s="28">
        <f>SUM(M3:M14)</f>
        <v>127861856.03060026</v>
      </c>
      <c r="N151" s="38">
        <f t="shared" ref="N151:N159" si="3">M151-B151</f>
        <v>646198.18552187085</v>
      </c>
      <c r="O151" s="5">
        <f t="shared" ref="O151:O160" si="4">N151/B151</f>
        <v>5.0795491409461775E-3</v>
      </c>
      <c r="AJ151"/>
    </row>
    <row r="152" spans="1:36">
      <c r="A152" s="17">
        <v>2009</v>
      </c>
      <c r="B152" s="28">
        <f>SUM(B15:B26)</f>
        <v>121258614.71604007</v>
      </c>
      <c r="M152" s="28">
        <f>SUM(M15:M26)</f>
        <v>124206958.20597872</v>
      </c>
      <c r="N152" s="38">
        <f t="shared" si="3"/>
        <v>2948343.4899386466</v>
      </c>
      <c r="O152" s="5">
        <f t="shared" si="4"/>
        <v>2.4314507442155697E-2</v>
      </c>
      <c r="AJ152"/>
    </row>
    <row r="153" spans="1:36">
      <c r="A153">
        <v>2010</v>
      </c>
      <c r="B153" s="28">
        <f>SUM(B27:B38)</f>
        <v>117895987.59248064</v>
      </c>
      <c r="M153" s="28">
        <f>SUM(M27:M38)</f>
        <v>124695234.23502517</v>
      </c>
      <c r="N153" s="38">
        <f t="shared" si="3"/>
        <v>6799246.6425445229</v>
      </c>
      <c r="O153" s="5">
        <f t="shared" si="4"/>
        <v>5.7671569502829929E-2</v>
      </c>
      <c r="AJ153"/>
    </row>
    <row r="154" spans="1:36">
      <c r="A154">
        <v>2011</v>
      </c>
      <c r="B154" s="28">
        <f>SUM(B39:B50)</f>
        <v>118512672.21826127</v>
      </c>
      <c r="M154" s="28">
        <f>SUM(M39:M50)</f>
        <v>126035255.78418322</v>
      </c>
      <c r="N154" s="38">
        <f t="shared" si="3"/>
        <v>7522583.5659219474</v>
      </c>
      <c r="O154" s="5">
        <f t="shared" si="4"/>
        <v>6.3474929938866193E-2</v>
      </c>
      <c r="AJ154"/>
    </row>
    <row r="155" spans="1:36">
      <c r="A155">
        <v>2012</v>
      </c>
      <c r="B155" s="28">
        <f>SUM(B51:B62)</f>
        <v>120128918.53521234</v>
      </c>
      <c r="M155" s="28">
        <f>SUM(M51:M62)</f>
        <v>129765708.93761434</v>
      </c>
      <c r="N155" s="38">
        <f t="shared" si="3"/>
        <v>9636790.4024019986</v>
      </c>
      <c r="O155" s="5">
        <f t="shared" si="4"/>
        <v>8.022040421164077E-2</v>
      </c>
      <c r="AJ155"/>
    </row>
    <row r="156" spans="1:36">
      <c r="A156">
        <v>2013</v>
      </c>
      <c r="B156" s="28">
        <f>SUM(B63:B74)</f>
        <v>119216710.25768617</v>
      </c>
      <c r="M156" s="28">
        <f>SUM(M63:M74)</f>
        <v>130196052.81102869</v>
      </c>
      <c r="N156" s="38">
        <f t="shared" si="3"/>
        <v>10979342.553342521</v>
      </c>
      <c r="O156" s="5">
        <f t="shared" si="4"/>
        <v>9.2095667877521034E-2</v>
      </c>
      <c r="AJ156"/>
    </row>
    <row r="157" spans="1:36">
      <c r="A157">
        <v>2014</v>
      </c>
      <c r="B157" s="28">
        <f>SUM(B75:B86)</f>
        <v>121885729.22737581</v>
      </c>
      <c r="M157" s="28">
        <f>SUM(M75:M86)</f>
        <v>132465355.18802653</v>
      </c>
      <c r="N157" s="38">
        <f t="shared" si="3"/>
        <v>10579625.960650727</v>
      </c>
      <c r="O157" s="5">
        <f t="shared" si="4"/>
        <v>8.6799545998651001E-2</v>
      </c>
      <c r="AJ157"/>
    </row>
    <row r="158" spans="1:36">
      <c r="A158" s="17">
        <v>2015</v>
      </c>
      <c r="B158" s="28">
        <f>SUM(B87:B98)</f>
        <v>119763837.52000001</v>
      </c>
      <c r="M158" s="28">
        <f>SUM(M87:M98)</f>
        <v>134448060.6955179</v>
      </c>
      <c r="N158" s="38">
        <f t="shared" si="3"/>
        <v>14684223.175517887</v>
      </c>
      <c r="O158" s="5">
        <f t="shared" si="4"/>
        <v>0.12260982513244609</v>
      </c>
      <c r="AJ158"/>
    </row>
    <row r="159" spans="1:36">
      <c r="A159" s="17">
        <v>2016</v>
      </c>
      <c r="B159" s="28">
        <f>SUM(B99:B110)</f>
        <v>116637108.60000002</v>
      </c>
      <c r="M159" s="28">
        <f>SUM(M99:M110)</f>
        <v>139191414.52213997</v>
      </c>
      <c r="N159" s="38">
        <f t="shared" si="3"/>
        <v>22554305.922139943</v>
      </c>
      <c r="O159" s="5">
        <f t="shared" si="4"/>
        <v>0.19337161382736762</v>
      </c>
      <c r="AJ159"/>
    </row>
    <row r="160" spans="1:36">
      <c r="A160" s="17">
        <v>2017</v>
      </c>
      <c r="B160" s="28">
        <f>SUM(B111:B122)</f>
        <v>116753503.84363943</v>
      </c>
      <c r="M160" s="6">
        <f>SUM(M111:M122)</f>
        <v>139012068.90767187</v>
      </c>
      <c r="N160" s="38">
        <f t="shared" ref="N160" si="5">M160-B160</f>
        <v>22258565.064032435</v>
      </c>
      <c r="O160" s="5">
        <f t="shared" si="4"/>
        <v>0.19064579932300721</v>
      </c>
      <c r="AJ160"/>
    </row>
    <row r="161" spans="1:36">
      <c r="A161">
        <v>2018</v>
      </c>
      <c r="M161" s="6">
        <f>SUM(M123:M134)</f>
        <v>147857428.10135603</v>
      </c>
      <c r="N161" s="50"/>
      <c r="AJ161"/>
    </row>
    <row r="162" spans="1:36">
      <c r="A162">
        <v>2019</v>
      </c>
      <c r="M162" s="179">
        <f>SUM(M135:M146)</f>
        <v>0</v>
      </c>
      <c r="N162" s="50"/>
      <c r="O162" s="180"/>
      <c r="AJ162"/>
    </row>
    <row r="163" spans="1:36">
      <c r="M163" s="6"/>
      <c r="N163" s="50"/>
      <c r="AJ163"/>
    </row>
    <row r="164" spans="1:36">
      <c r="A164" s="105" t="s">
        <v>164</v>
      </c>
      <c r="B164" s="28">
        <f>SUM(B151:B160)</f>
        <v>1199268740.3557739</v>
      </c>
      <c r="M164" s="28">
        <f>SUM(M151:M160)</f>
        <v>1307877965.3177867</v>
      </c>
      <c r="N164" s="171">
        <f>M164-B164</f>
        <v>108609224.96201277</v>
      </c>
      <c r="AJ164"/>
    </row>
    <row r="165" spans="1:36">
      <c r="N165" s="172"/>
      <c r="AJ165"/>
    </row>
    <row r="166" spans="1:36">
      <c r="M166" s="6">
        <f>SUM(M151:M161)</f>
        <v>1455735393.4191427</v>
      </c>
      <c r="N166" s="50">
        <f>M166-M149</f>
        <v>0</v>
      </c>
      <c r="AJ166"/>
    </row>
    <row r="167" spans="1:36">
      <c r="M167" s="102"/>
      <c r="N167" s="109" t="s">
        <v>58</v>
      </c>
      <c r="O167" s="109"/>
      <c r="AJ167"/>
    </row>
    <row r="168" spans="1:36">
      <c r="N168" s="50"/>
      <c r="AJ168"/>
    </row>
    <row r="169" spans="1:36">
      <c r="N169" s="50"/>
      <c r="AJ169"/>
    </row>
    <row r="170" spans="1:36">
      <c r="N170" s="50"/>
      <c r="AJ170"/>
    </row>
    <row r="171" spans="1:36">
      <c r="N171" s="50"/>
      <c r="AJ171"/>
    </row>
    <row r="172" spans="1:36">
      <c r="N172" s="50"/>
      <c r="AJ172"/>
    </row>
    <row r="173" spans="1:36">
      <c r="N173" s="50"/>
      <c r="O173" s="110"/>
      <c r="AJ173"/>
    </row>
    <row r="174" spans="1:36">
      <c r="N174" s="50"/>
      <c r="O174" s="110"/>
      <c r="AJ174"/>
    </row>
    <row r="175" spans="1:36">
      <c r="N175" s="50"/>
      <c r="O175" s="110"/>
      <c r="AJ175"/>
    </row>
    <row r="176" spans="1:36">
      <c r="N176" s="50"/>
      <c r="O176" s="110"/>
      <c r="AJ176"/>
    </row>
    <row r="177" spans="2:36">
      <c r="N177" s="50"/>
      <c r="O177" s="110"/>
      <c r="AJ177"/>
    </row>
    <row r="178" spans="2:36">
      <c r="N178" s="50"/>
      <c r="O178" s="110"/>
      <c r="AJ178"/>
    </row>
    <row r="179" spans="2:36">
      <c r="N179" s="50"/>
      <c r="O179" s="109"/>
      <c r="AJ179"/>
    </row>
    <row r="180" spans="2:36">
      <c r="N180" s="50"/>
      <c r="AJ180"/>
    </row>
    <row r="181" spans="2:36">
      <c r="B181"/>
      <c r="C181"/>
      <c r="D181"/>
      <c r="N181" s="50"/>
      <c r="AJ181"/>
    </row>
    <row r="182" spans="2:36">
      <c r="N182" s="50"/>
      <c r="AJ182"/>
    </row>
    <row r="183" spans="2:36">
      <c r="B183"/>
      <c r="C183"/>
      <c r="D183"/>
      <c r="E183" s="28"/>
      <c r="L183" s="28"/>
      <c r="N183" s="50"/>
      <c r="AJ183"/>
    </row>
    <row r="184" spans="2:36">
      <c r="N184" s="50"/>
      <c r="AJ184"/>
    </row>
    <row r="185" spans="2:36">
      <c r="N185" s="50"/>
      <c r="AJ185"/>
    </row>
    <row r="186" spans="2:36">
      <c r="N186" s="50"/>
      <c r="AJ186"/>
    </row>
    <row r="187" spans="2:36">
      <c r="N187" s="50"/>
      <c r="AJ187"/>
    </row>
    <row r="188" spans="2:36">
      <c r="N188" s="50"/>
      <c r="AJ188"/>
    </row>
    <row r="189" spans="2:36">
      <c r="N189" s="50"/>
      <c r="AJ189"/>
    </row>
    <row r="190" spans="2:36">
      <c r="N190" s="50"/>
      <c r="AJ190"/>
    </row>
    <row r="191" spans="2:36">
      <c r="N191" s="50"/>
      <c r="AJ191"/>
    </row>
    <row r="192" spans="2:36">
      <c r="N192" s="50"/>
      <c r="AJ192"/>
    </row>
    <row r="193" spans="14:36">
      <c r="N193" s="50"/>
      <c r="AJ193"/>
    </row>
    <row r="194" spans="14:36">
      <c r="N194" s="50"/>
      <c r="AJ194"/>
    </row>
    <row r="195" spans="14:36">
      <c r="N195" s="50"/>
      <c r="AJ195"/>
    </row>
    <row r="196" spans="14:36">
      <c r="N196" s="50"/>
      <c r="AJ196"/>
    </row>
    <row r="197" spans="14:36">
      <c r="N197" s="50"/>
      <c r="AJ197"/>
    </row>
    <row r="198" spans="14:36">
      <c r="N198" s="50"/>
      <c r="AJ198"/>
    </row>
    <row r="199" spans="14:36">
      <c r="N199" s="50"/>
      <c r="AJ199"/>
    </row>
    <row r="200" spans="14:36">
      <c r="AJ200"/>
    </row>
    <row r="201" spans="14:36">
      <c r="AJ201"/>
    </row>
    <row r="202" spans="14:36">
      <c r="AJ202"/>
    </row>
    <row r="203" spans="14:36">
      <c r="AJ203"/>
    </row>
    <row r="204" spans="14:36">
      <c r="AJ204"/>
    </row>
    <row r="205" spans="14:36">
      <c r="N205" s="38" t="e">
        <f>#REF!-#REF!</f>
        <v>#REF!</v>
      </c>
      <c r="AJ205"/>
    </row>
    <row r="206" spans="14:36">
      <c r="N206" s="38" t="e">
        <f>#REF!-#REF!</f>
        <v>#REF!</v>
      </c>
      <c r="AJ206"/>
    </row>
    <row r="207" spans="14:36">
      <c r="N207" s="38" t="e">
        <f>#REF!-#REF!</f>
        <v>#REF!</v>
      </c>
      <c r="AJ207"/>
    </row>
    <row r="208" spans="14:36">
      <c r="N208" s="38" t="e">
        <f>#REF!-#REF!</f>
        <v>#REF!</v>
      </c>
      <c r="AJ208"/>
    </row>
    <row r="209" spans="14:36">
      <c r="N209" s="38" t="e">
        <f>#REF!-#REF!</f>
        <v>#REF!</v>
      </c>
      <c r="AJ209"/>
    </row>
    <row r="210" spans="14:36">
      <c r="N210" s="38" t="e">
        <f>#REF!-#REF!</f>
        <v>#REF!</v>
      </c>
      <c r="AJ210"/>
    </row>
    <row r="211" spans="14:36">
      <c r="N211" s="38">
        <f t="shared" ref="N211:N219" si="6">M151-B151</f>
        <v>646198.18552187085</v>
      </c>
      <c r="AJ211"/>
    </row>
    <row r="212" spans="14:36">
      <c r="N212" s="38">
        <f t="shared" si="6"/>
        <v>2948343.4899386466</v>
      </c>
      <c r="AJ212"/>
    </row>
    <row r="213" spans="14:36">
      <c r="N213" s="38">
        <f t="shared" si="6"/>
        <v>6799246.6425445229</v>
      </c>
      <c r="AJ213"/>
    </row>
    <row r="214" spans="14:36">
      <c r="N214" s="38">
        <f t="shared" si="6"/>
        <v>7522583.5659219474</v>
      </c>
      <c r="AJ214"/>
    </row>
    <row r="215" spans="14:36">
      <c r="N215" s="38">
        <f t="shared" si="6"/>
        <v>9636790.4024019986</v>
      </c>
      <c r="AJ215"/>
    </row>
    <row r="216" spans="14:36">
      <c r="N216" s="38">
        <f t="shared" si="6"/>
        <v>10979342.553342521</v>
      </c>
      <c r="AJ216"/>
    </row>
    <row r="217" spans="14:36">
      <c r="N217" s="38">
        <f t="shared" si="6"/>
        <v>10579625.960650727</v>
      </c>
      <c r="O217" s="5" t="e">
        <f>N205/#REF!</f>
        <v>#REF!</v>
      </c>
      <c r="AJ217"/>
    </row>
    <row r="218" spans="14:36">
      <c r="N218" s="38">
        <f t="shared" si="6"/>
        <v>14684223.175517887</v>
      </c>
      <c r="O218" s="5" t="e">
        <f>N206/#REF!</f>
        <v>#REF!</v>
      </c>
      <c r="AJ218"/>
    </row>
    <row r="219" spans="14:36">
      <c r="N219" s="38">
        <f t="shared" si="6"/>
        <v>22554305.922139943</v>
      </c>
      <c r="O219" s="5" t="e">
        <f>N207/#REF!</f>
        <v>#REF!</v>
      </c>
      <c r="AJ219"/>
    </row>
    <row r="220" spans="14:36">
      <c r="N220" s="38"/>
      <c r="O220" s="5" t="e">
        <f>N208/#REF!</f>
        <v>#REF!</v>
      </c>
      <c r="AJ220"/>
    </row>
    <row r="221" spans="14:36">
      <c r="N221" s="38"/>
      <c r="O221" s="5" t="e">
        <f>N209/#REF!</f>
        <v>#REF!</v>
      </c>
      <c r="AJ221"/>
    </row>
    <row r="222" spans="14:36">
      <c r="N222" s="38"/>
      <c r="O222" s="5" t="e">
        <f>N210/#REF!</f>
        <v>#REF!</v>
      </c>
      <c r="AJ222"/>
    </row>
    <row r="223" spans="14:36">
      <c r="O223" s="5">
        <f t="shared" ref="O223:O231" si="7">N211/B151</f>
        <v>5.0795491409461775E-3</v>
      </c>
      <c r="AJ223"/>
    </row>
    <row r="224" spans="14:36">
      <c r="N224" s="6">
        <f>M164-B164</f>
        <v>108609224.96201277</v>
      </c>
      <c r="O224" s="5">
        <f t="shared" si="7"/>
        <v>2.4314507442155697E-2</v>
      </c>
      <c r="AJ224"/>
    </row>
    <row r="225" spans="14:36">
      <c r="O225" s="5">
        <f t="shared" si="7"/>
        <v>5.7671569502829929E-2</v>
      </c>
      <c r="AJ225"/>
    </row>
    <row r="226" spans="14:36">
      <c r="N226" s="50">
        <f>M149-M166</f>
        <v>0</v>
      </c>
      <c r="O226" s="5">
        <f t="shared" si="7"/>
        <v>6.3474929938866193E-2</v>
      </c>
      <c r="AJ226"/>
    </row>
    <row r="227" spans="14:36">
      <c r="N227" s="102" t="s">
        <v>58</v>
      </c>
      <c r="O227" s="5">
        <f t="shared" si="7"/>
        <v>8.022040421164077E-2</v>
      </c>
      <c r="AJ227"/>
    </row>
    <row r="228" spans="14:36">
      <c r="O228" s="5">
        <f t="shared" si="7"/>
        <v>9.2095667877521034E-2</v>
      </c>
      <c r="AJ228"/>
    </row>
    <row r="229" spans="14:36">
      <c r="O229" s="5">
        <f t="shared" si="7"/>
        <v>8.6799545998651001E-2</v>
      </c>
      <c r="AJ229"/>
    </row>
    <row r="230" spans="14:36">
      <c r="O230" s="5">
        <f t="shared" si="7"/>
        <v>0.12260982513244609</v>
      </c>
      <c r="AJ230"/>
    </row>
    <row r="231" spans="14:36">
      <c r="O231" s="5">
        <f t="shared" si="7"/>
        <v>0.19337161382736762</v>
      </c>
      <c r="AJ231"/>
    </row>
    <row r="232" spans="14:36">
      <c r="O232" s="5"/>
      <c r="AJ232"/>
    </row>
    <row r="233" spans="14:36">
      <c r="O233" s="5"/>
      <c r="AJ233"/>
    </row>
    <row r="234" spans="14:36">
      <c r="O234" s="5"/>
      <c r="AJ234"/>
    </row>
    <row r="235" spans="14:36">
      <c r="AJ235"/>
    </row>
    <row r="236" spans="14:36">
      <c r="AJ236"/>
    </row>
    <row r="238" spans="14:36">
      <c r="AJ238"/>
    </row>
    <row r="239" spans="14:36">
      <c r="O239" s="102"/>
      <c r="AJ239"/>
    </row>
    <row r="241" spans="36:36">
      <c r="AJ241"/>
    </row>
    <row r="253" spans="36:36">
      <c r="AJ253"/>
    </row>
    <row r="255" spans="36:36">
      <c r="AJ255"/>
    </row>
  </sheetData>
  <pageMargins left="0.38" right="0.75" top="0.73" bottom="0.74" header="0.5" footer="0.5"/>
  <pageSetup orientation="landscape"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X70"/>
  <sheetViews>
    <sheetView tabSelected="1" workbookViewId="0">
      <pane xSplit="1" ySplit="2" topLeftCell="B7" activePane="bottomRight" state="frozen"/>
      <selection pane="topRight" activeCell="B1" sqref="B1"/>
      <selection pane="bottomLeft" activeCell="A3" sqref="A3"/>
      <selection pane="bottomRight" activeCell="F22" sqref="F22"/>
    </sheetView>
  </sheetViews>
  <sheetFormatPr defaultRowHeight="12.5"/>
  <cols>
    <col min="1" max="1" width="11" customWidth="1"/>
    <col min="2" max="5" width="18" style="1" customWidth="1"/>
    <col min="6" max="6" width="15.81640625" style="1" customWidth="1"/>
    <col min="7" max="7" width="15.81640625" style="6" customWidth="1"/>
    <col min="8" max="8" width="15" style="6" customWidth="1"/>
    <col min="9" max="10" width="14.1796875" style="6" bestFit="1" customWidth="1"/>
    <col min="11" max="11" width="14.1796875" style="6" customWidth="1"/>
    <col min="12" max="12" width="14.81640625" style="6" customWidth="1"/>
    <col min="13" max="13" width="12.54296875" style="6" customWidth="1"/>
    <col min="14" max="14" width="12.81640625" style="6" bestFit="1" customWidth="1"/>
    <col min="15" max="15" width="11.1796875" style="6" bestFit="1" customWidth="1"/>
    <col min="16" max="16" width="12.81640625" style="6" bestFit="1" customWidth="1"/>
    <col min="17" max="17" width="10.81640625" style="6" bestFit="1" customWidth="1"/>
    <col min="18" max="18" width="9.1796875" style="6"/>
    <col min="19" max="19" width="11.1796875" style="6" bestFit="1" customWidth="1"/>
  </cols>
  <sheetData>
    <row r="2" spans="1:24" ht="42" customHeight="1">
      <c r="B2" s="2" t="s">
        <v>7</v>
      </c>
      <c r="C2" s="2" t="s">
        <v>8</v>
      </c>
      <c r="D2" s="2" t="s">
        <v>40</v>
      </c>
      <c r="E2" s="2" t="s">
        <v>9</v>
      </c>
      <c r="F2" s="2" t="s">
        <v>1</v>
      </c>
      <c r="G2" s="7" t="s">
        <v>2</v>
      </c>
      <c r="H2" s="47" t="s">
        <v>108</v>
      </c>
      <c r="I2" s="269" t="s">
        <v>129</v>
      </c>
      <c r="J2" s="269" t="s">
        <v>248</v>
      </c>
      <c r="K2" s="48" t="s">
        <v>176</v>
      </c>
      <c r="L2" s="48" t="s">
        <v>175</v>
      </c>
      <c r="M2" s="49" t="s">
        <v>249</v>
      </c>
    </row>
    <row r="4" spans="1:24">
      <c r="A4" s="19"/>
      <c r="B4" s="41" t="s">
        <v>42</v>
      </c>
    </row>
    <row r="5" spans="1:24">
      <c r="B5"/>
      <c r="C5"/>
      <c r="D5"/>
      <c r="E5"/>
      <c r="F5"/>
      <c r="G5"/>
      <c r="H5"/>
      <c r="I5"/>
      <c r="J5"/>
      <c r="K5"/>
      <c r="L5"/>
      <c r="M5"/>
      <c r="N5"/>
      <c r="O5"/>
      <c r="P5"/>
      <c r="Q5"/>
      <c r="R5"/>
      <c r="S5"/>
    </row>
    <row r="7" spans="1:24">
      <c r="A7">
        <f>'Purchased Power Model '!A151</f>
        <v>2008</v>
      </c>
      <c r="B7" s="6">
        <f>'Purchased Power Model '!B151</f>
        <v>326411407.022681</v>
      </c>
      <c r="C7" s="6">
        <f>'Purchased Power Model '!Q151</f>
        <v>323310399.68448436</v>
      </c>
      <c r="D7" s="38">
        <f t="shared" ref="D7:D15" si="0">C7-B7</f>
        <v>-3101007.3381966352</v>
      </c>
      <c r="E7" s="5">
        <f t="shared" ref="E7:E15" si="1">D7/B7</f>
        <v>-9.5003032108530415E-3</v>
      </c>
      <c r="F7" s="53">
        <f t="shared" ref="F7:F15" si="2">1 +(B7-G7)/G7</f>
        <v>1.0584179349428064</v>
      </c>
      <c r="G7" s="28">
        <f t="shared" ref="G7:G16" si="3">SUM(H7:M7)</f>
        <v>308395574.41958809</v>
      </c>
      <c r="H7" s="40">
        <f>'Residential - Not Used'!B151</f>
        <v>115598926.71887398</v>
      </c>
      <c r="I7" s="40">
        <f>'GS &lt; 50 kW - Not Used'!B150</f>
        <v>62516619.849234834</v>
      </c>
      <c r="J7" s="40">
        <f>'GS &gt; 50 kW - Not Used'!B151</f>
        <v>127215657.84507839</v>
      </c>
      <c r="K7" s="40">
        <f>SUM('[14]Data Input'!$W$77:$W$88,'[16]PSP less Loss factor'!$R$86:$R$97)</f>
        <v>55047.351951634228</v>
      </c>
      <c r="L7" s="40">
        <f>SUM('[14]Data Input'!$Q$77:$Q$88,'[16]PSP less Loss factor'!$N$86:$N$97)</f>
        <v>2743016.3718118267</v>
      </c>
      <c r="M7" s="40">
        <f>SUM('[14]Data Input'!$AA$77:$AA$88,'[16]PSP less Loss factor'!$V$86:$V$97)</f>
        <v>266306.28263744566</v>
      </c>
      <c r="N7" s="28"/>
      <c r="O7" s="28"/>
      <c r="P7" s="28"/>
      <c r="Q7" s="28"/>
      <c r="R7" s="28"/>
      <c r="S7" s="28"/>
      <c r="T7" s="28"/>
      <c r="U7" s="28"/>
      <c r="W7" s="28"/>
      <c r="X7" s="28"/>
    </row>
    <row r="8" spans="1:24">
      <c r="A8">
        <f>'Purchased Power Model '!A152</f>
        <v>2009</v>
      </c>
      <c r="B8" s="6">
        <f>'Purchased Power Model '!B152</f>
        <v>318733350.66887528</v>
      </c>
      <c r="C8" s="6">
        <f>'Purchased Power Model '!Q152</f>
        <v>318072144.9707039</v>
      </c>
      <c r="D8" s="38">
        <f t="shared" si="0"/>
        <v>-661205.69817137718</v>
      </c>
      <c r="E8" s="5">
        <f t="shared" si="1"/>
        <v>-2.0744791744692214E-3</v>
      </c>
      <c r="F8" s="53">
        <f t="shared" si="2"/>
        <v>1.0662580508067088</v>
      </c>
      <c r="G8" s="28">
        <f t="shared" si="3"/>
        <v>298927028.43155861</v>
      </c>
      <c r="H8" s="40">
        <f>'Residential - Not Used'!B152</f>
        <v>114949768.99114111</v>
      </c>
      <c r="I8" s="40">
        <f>'GS &lt; 50 kW - Not Used'!B151</f>
        <v>59701648.212038539</v>
      </c>
      <c r="J8" s="40">
        <f>'GS &gt; 50 kW - Not Used'!B152</f>
        <v>121258614.71604007</v>
      </c>
      <c r="K8" s="40">
        <f>SUM('[14]Data Input'!$W$89:$W$100,'[16]PSP less Loss factor'!$R$98:$R$109)</f>
        <v>53346.640054789335</v>
      </c>
      <c r="L8" s="40">
        <f>SUM('[14]Data Input'!$Q$89:$Q$100,'[16]PSP less Loss factor'!$N$98:$N$109)</f>
        <v>2737942.8624598519</v>
      </c>
      <c r="M8" s="40">
        <f>SUM('[14]Data Input'!$AA$89:$AA$100,'[16]PSP less Loss factor'!$V$98:$V$109)</f>
        <v>225707.00982429617</v>
      </c>
      <c r="N8" s="28"/>
      <c r="O8" s="28"/>
      <c r="P8" s="28"/>
      <c r="Q8" s="28"/>
      <c r="R8" s="28"/>
      <c r="S8" s="28"/>
      <c r="T8" s="28"/>
      <c r="U8" s="28"/>
      <c r="W8" s="28"/>
      <c r="X8" s="28"/>
    </row>
    <row r="9" spans="1:24">
      <c r="A9">
        <f>'Purchased Power Model '!A153</f>
        <v>2010</v>
      </c>
      <c r="B9" s="6">
        <f>'Purchased Power Model '!B153</f>
        <v>311592501.22999996</v>
      </c>
      <c r="C9" s="6">
        <f>'Purchased Power Model '!Q153</f>
        <v>314109287.96190065</v>
      </c>
      <c r="D9" s="38">
        <f t="shared" si="0"/>
        <v>2516786.731900692</v>
      </c>
      <c r="E9" s="5">
        <f t="shared" si="1"/>
        <v>8.0771736224901722E-3</v>
      </c>
      <c r="F9" s="53">
        <f t="shared" si="2"/>
        <v>1.0720967014224141</v>
      </c>
      <c r="G9" s="28">
        <f t="shared" si="3"/>
        <v>290638429.17956167</v>
      </c>
      <c r="H9" s="40">
        <f>'Residential - Not Used'!B153</f>
        <v>111140547.82213493</v>
      </c>
      <c r="I9" s="40">
        <f>'GS &lt; 50 kW - Not Used'!B152</f>
        <v>58565208.650670692</v>
      </c>
      <c r="J9" s="40">
        <f>'GS &gt; 50 kW - Not Used'!B153</f>
        <v>117895987.59248064</v>
      </c>
      <c r="K9" s="40">
        <f>SUM('[14]Data Input'!$W$101:$W$112,'[16]PSP less Loss factor'!$R$110:$R$121)</f>
        <v>52931.663200453433</v>
      </c>
      <c r="L9" s="40">
        <f>SUM('[14]Data Input'!$Q$101:$Q$112,'[16]PSP less Loss factor'!$N$110:$N$121)</f>
        <v>2785830.7799999993</v>
      </c>
      <c r="M9" s="40">
        <f>SUM('[14]Data Input'!$AA$101:$AA$112,'[16]PSP less Loss factor'!$V$110:$V$121)</f>
        <v>197922.67107500471</v>
      </c>
      <c r="N9" s="28"/>
      <c r="O9" s="28"/>
      <c r="P9" s="28"/>
      <c r="Q9" s="28"/>
      <c r="R9" s="28"/>
      <c r="S9" s="28"/>
      <c r="T9" s="28"/>
      <c r="U9" s="28"/>
      <c r="W9" s="28"/>
      <c r="X9" s="28"/>
    </row>
    <row r="10" spans="1:24">
      <c r="A10">
        <f>'Purchased Power Model '!A154</f>
        <v>2011</v>
      </c>
      <c r="B10" s="6">
        <f>'Purchased Power Model '!B154</f>
        <v>312740386.70999998</v>
      </c>
      <c r="C10" s="6">
        <f>'Purchased Power Model '!Q154</f>
        <v>312681991.19873762</v>
      </c>
      <c r="D10" s="38">
        <f t="shared" si="0"/>
        <v>-58395.511262357235</v>
      </c>
      <c r="E10" s="5">
        <f t="shared" si="1"/>
        <v>-1.8672200247838992E-4</v>
      </c>
      <c r="F10" s="53">
        <f t="shared" si="2"/>
        <v>1.0766900011519738</v>
      </c>
      <c r="G10" s="28">
        <f t="shared" si="3"/>
        <v>290464652.19830436</v>
      </c>
      <c r="H10" s="40">
        <f>'Residential - Not Used'!B154</f>
        <v>110139623.46165061</v>
      </c>
      <c r="I10" s="40">
        <f>'GS &lt; 50 kW - Not Used'!B153</f>
        <v>58834929.519793175</v>
      </c>
      <c r="J10" s="40">
        <f>'GS &gt; 50 kW - Not Used'!B154</f>
        <v>118512672.21826127</v>
      </c>
      <c r="K10" s="40">
        <f>SUM('[14]Data Input'!$W$113:$W$124,'[16]PSP less Loss factor'!$R$122:$R$133)</f>
        <v>52659.977712015148</v>
      </c>
      <c r="L10" s="40">
        <f>SUM('[14]Data Input'!$Q$113:$Q$124,'[16]PSP less Loss factor'!$N$122:$N$133)</f>
        <v>2734864.312377525</v>
      </c>
      <c r="M10" s="40">
        <f>SUM('[14]Data Input'!$AA$113:$AA$124,'[16]PSP less Loss factor'!$V$122:$V$133)</f>
        <v>189902.70850976688</v>
      </c>
      <c r="N10" s="28"/>
      <c r="O10" s="28"/>
      <c r="P10" s="28"/>
      <c r="Q10" s="28"/>
      <c r="R10" s="28"/>
      <c r="S10" s="28"/>
      <c r="T10" s="28"/>
      <c r="U10" s="28"/>
      <c r="W10" s="28"/>
      <c r="X10" s="28"/>
    </row>
    <row r="11" spans="1:24">
      <c r="A11">
        <f>'Purchased Power Model '!A155</f>
        <v>2012</v>
      </c>
      <c r="B11" s="6">
        <f>'Purchased Power Model '!B155</f>
        <v>309445216.88000005</v>
      </c>
      <c r="C11" s="6">
        <f>'Purchased Power Model '!Q155</f>
        <v>310972360.0762741</v>
      </c>
      <c r="D11" s="38">
        <f t="shared" si="0"/>
        <v>1527143.1962740421</v>
      </c>
      <c r="E11" s="5">
        <f t="shared" si="1"/>
        <v>4.9351003440012906E-3</v>
      </c>
      <c r="F11" s="53">
        <f t="shared" si="2"/>
        <v>1.0740638868781875</v>
      </c>
      <c r="G11" s="28">
        <f t="shared" si="3"/>
        <v>288106900.02753538</v>
      </c>
      <c r="H11" s="40">
        <f>'Residential - Not Used'!B155</f>
        <v>107717982.53613377</v>
      </c>
      <c r="I11" s="40">
        <f>'GS &lt; 50 kW - Not Used'!B154</f>
        <v>57494464.880298831</v>
      </c>
      <c r="J11" s="40">
        <f>'GS &gt; 50 kW - Not Used'!B155</f>
        <v>120128918.53521234</v>
      </c>
      <c r="K11" s="40">
        <f>SUM('[14]Data Input'!$W$125:$W$136,'[16]PSP less Loss factor'!$R$134:$R$145)</f>
        <v>51557.59368304193</v>
      </c>
      <c r="L11" s="40">
        <f>SUM('[14]Data Input'!$Q$125:$Q$136,'[16]PSP less Loss factor'!$N$134:$N$145)</f>
        <v>2531984.3700786382</v>
      </c>
      <c r="M11" s="40">
        <f>SUM('[14]Data Input'!$AA$125:$AA$136,'[16]PSP less Loss factor'!$V$134:$V$145)</f>
        <v>181992.1121287815</v>
      </c>
    </row>
    <row r="12" spans="1:24">
      <c r="A12">
        <f>'Purchased Power Model '!A156</f>
        <v>2013</v>
      </c>
      <c r="B12" s="6">
        <f>'Purchased Power Model '!B156</f>
        <v>315512631.28999996</v>
      </c>
      <c r="C12" s="6">
        <f>'Purchased Power Model '!Q156</f>
        <v>312063888.01504695</v>
      </c>
      <c r="D12" s="38">
        <f t="shared" si="0"/>
        <v>-3448743.2749530077</v>
      </c>
      <c r="E12" s="5">
        <f t="shared" si="1"/>
        <v>-1.0930602875873876E-2</v>
      </c>
      <c r="F12" s="53">
        <f t="shared" si="2"/>
        <v>1.0758669287315898</v>
      </c>
      <c r="G12" s="28">
        <f t="shared" si="3"/>
        <v>293263621.05207425</v>
      </c>
      <c r="H12" s="40">
        <f>'Residential - Not Used'!B156</f>
        <v>113520549.72461653</v>
      </c>
      <c r="I12" s="40">
        <f>'GS &lt; 50 kW - Not Used'!B155</f>
        <v>57852243.801948376</v>
      </c>
      <c r="J12" s="40">
        <f>'GS &gt; 50 kW - Not Used'!B156</f>
        <v>119216710.25768617</v>
      </c>
      <c r="K12" s="40">
        <f>SUM('[14]Data Input'!$W$137:$W$148,'[16]PSP less Loss factor'!$R$146:$R$157)</f>
        <v>51381.522777315215</v>
      </c>
      <c r="L12" s="40">
        <f>SUM('[14]Data Input'!$Q$137:$Q$148,'[16]PSP less Loss factor'!$N$146:$N$157)</f>
        <v>2441055.6506799893</v>
      </c>
      <c r="M12" s="40">
        <f>SUM('[14]Data Input'!$AA$137:$AA$148,'[16]PSP less Loss factor'!$V$146:$V$157)</f>
        <v>181680.0943658062</v>
      </c>
    </row>
    <row r="13" spans="1:24">
      <c r="A13">
        <f>'Purchased Power Model '!A157</f>
        <v>2014</v>
      </c>
      <c r="B13" s="6">
        <f>'Purchased Power Model '!B157</f>
        <v>319149657</v>
      </c>
      <c r="C13" s="6">
        <f>'Purchased Power Model '!Q157</f>
        <v>315256865.74267906</v>
      </c>
      <c r="D13" s="38">
        <f t="shared" si="0"/>
        <v>-3892791.2573209405</v>
      </c>
      <c r="E13" s="5">
        <f t="shared" si="1"/>
        <v>-1.2197385057258391E-2</v>
      </c>
      <c r="F13" s="53">
        <f t="shared" si="2"/>
        <v>1.0731384565559634</v>
      </c>
      <c r="G13" s="28">
        <f t="shared" si="3"/>
        <v>297398397.24340039</v>
      </c>
      <c r="H13" s="40">
        <f>'Residential - Not Used'!B157</f>
        <v>114433382.22499122</v>
      </c>
      <c r="I13" s="40">
        <f>'GS &lt; 50 kW - Not Used'!B156</f>
        <v>58443482.099599421</v>
      </c>
      <c r="J13" s="40">
        <f>'GS &gt; 50 kW - Not Used'!B157</f>
        <v>121885729.22737581</v>
      </c>
      <c r="K13" s="40">
        <f>SUM('[14]Data Input'!$W$149:$W$160,'[16]PSP less Loss factor'!$R$158:$R$169)</f>
        <v>50003.862623739493</v>
      </c>
      <c r="L13" s="40">
        <f>SUM('[14]Data Input'!$Q$149:$Q$160,'[16]PSP less Loss factor'!$N$158:$N$169)</f>
        <v>2405634.7619215474</v>
      </c>
      <c r="M13" s="40">
        <f>SUM('[14]Data Input'!$AA$149:$AA$160,'[16]PSP less Loss factor'!$V$158:$V$169)</f>
        <v>180165.06688870379</v>
      </c>
    </row>
    <row r="14" spans="1:24">
      <c r="A14">
        <f>'Purchased Power Model '!A158</f>
        <v>2015</v>
      </c>
      <c r="B14" s="6">
        <f>'Purchased Power Model '!B158</f>
        <v>308961454</v>
      </c>
      <c r="C14" s="6">
        <f>'Purchased Power Model '!Q158</f>
        <v>310181325.00870436</v>
      </c>
      <c r="D14" s="38">
        <f t="shared" si="0"/>
        <v>1219871.0087043643</v>
      </c>
      <c r="E14" s="5">
        <f t="shared" si="1"/>
        <v>3.9482951446246249E-3</v>
      </c>
      <c r="F14" s="53">
        <f t="shared" si="2"/>
        <v>1.0699880223556937</v>
      </c>
      <c r="G14" s="28">
        <f t="shared" si="3"/>
        <v>288752254.73999995</v>
      </c>
      <c r="H14" s="40">
        <f>'Residential - Not Used'!B158</f>
        <v>108243956.44</v>
      </c>
      <c r="I14" s="40">
        <f>'GS &lt; 50 kW - Not Used'!B157</f>
        <v>58492111.439999998</v>
      </c>
      <c r="J14" s="40">
        <f>'GS &gt; 50 kW - Not Used'!B158</f>
        <v>119763837.52000001</v>
      </c>
      <c r="K14" s="40">
        <f>SUM('[14]Data Input'!$W$161:$W$172,'[16]PSP less Loss factor'!$R$170:$R$181)</f>
        <v>49108.440000000039</v>
      </c>
      <c r="L14" s="40">
        <f>SUM('[14]Data Input'!$Q$161:$Q$172,'[16]PSP less Loss factor'!$N$170:$N$181)</f>
        <v>2029684.9000000004</v>
      </c>
      <c r="M14" s="40">
        <f>SUM('[14]Data Input'!$AA$161:$AA$172,'[16]PSP less Loss factor'!$V$170:$V$181)</f>
        <v>173556</v>
      </c>
    </row>
    <row r="15" spans="1:24">
      <c r="A15">
        <v>2016</v>
      </c>
      <c r="B15" s="171">
        <f>'Purchased Power Model '!B159</f>
        <v>302232068</v>
      </c>
      <c r="C15" s="171">
        <f>'Purchased Power Model '!Q159</f>
        <v>305377241.82675278</v>
      </c>
      <c r="D15" s="38">
        <f t="shared" si="0"/>
        <v>3145173.8267527819</v>
      </c>
      <c r="E15" s="5">
        <f t="shared" si="1"/>
        <v>1.0406486140156318E-2</v>
      </c>
      <c r="F15" s="53">
        <f t="shared" si="2"/>
        <v>1.0774567014787861</v>
      </c>
      <c r="G15" s="28">
        <f t="shared" si="3"/>
        <v>280505070.49164295</v>
      </c>
      <c r="H15" s="173">
        <f>'Residential - Not Used'!B159</f>
        <v>104348161.31</v>
      </c>
      <c r="I15" s="173">
        <f>'GS &lt; 50 kW - Not Used'!B158</f>
        <v>58168701.330000006</v>
      </c>
      <c r="J15" s="173">
        <f>'GS &gt; 50 kW - Not Used'!B159</f>
        <v>116637108.60000002</v>
      </c>
      <c r="K15" s="40">
        <f>SUM('[14]Data Input'!$W$173:$W$184,'[16]PSP less Loss factor'!$R$182:$R$193)</f>
        <v>48745.79000000003</v>
      </c>
      <c r="L15" s="40">
        <f>SUM('[14]Data Input'!$Q$173:$Q$184,'[16]PSP less Loss factor'!$N$182:$N$193)</f>
        <v>1136285.4616429303</v>
      </c>
      <c r="M15" s="40">
        <f>SUM('[14]Data Input'!$AA$173:$AA$184,'[16]PSP less Loss factor'!$V$182:$V$193)</f>
        <v>166068</v>
      </c>
    </row>
    <row r="16" spans="1:24">
      <c r="A16">
        <v>2017</v>
      </c>
      <c r="B16" s="175">
        <f>'Purchased Power Model '!B160</f>
        <v>297287399</v>
      </c>
      <c r="C16" s="171">
        <f>'Purchased Power Model '!Q160</f>
        <v>300040567.3162716</v>
      </c>
      <c r="D16" s="38">
        <f t="shared" ref="D16" si="4">C16-B16</f>
        <v>2753168.3162716031</v>
      </c>
      <c r="E16" s="5">
        <f t="shared" ref="E16" si="5">D16/B16</f>
        <v>9.2609654009304411E-3</v>
      </c>
      <c r="F16" s="53">
        <f t="shared" ref="F16" si="6">1 +(B16-G16)/G16</f>
        <v>1.066183484186241</v>
      </c>
      <c r="G16" s="28">
        <f t="shared" si="3"/>
        <v>278833243.44205451</v>
      </c>
      <c r="H16" s="173">
        <f>'Residential - Not Used'!B160</f>
        <v>103129632.00000001</v>
      </c>
      <c r="I16" s="173">
        <f>'GS &lt; 50 kW - Not Used'!B159</f>
        <v>57585352</v>
      </c>
      <c r="J16" s="173">
        <f>'GS &gt; 50 kW - Not Used'!B160</f>
        <v>116753503.84363943</v>
      </c>
      <c r="K16" s="40">
        <f>SUM('[14]Data Input'!$W$185:$W$196,'[16]PSP less Loss factor'!$R$194:$R$205)</f>
        <v>44233.600000000035</v>
      </c>
      <c r="L16" s="40">
        <f>SUM('[14]Data Input'!$Q$185:$Q$196,'[16]PSP less Loss factor'!$N$194:$N$205)</f>
        <v>1154453.9984150699</v>
      </c>
      <c r="M16" s="40">
        <f>SUM('[14]Data Input'!$AA$185:$AA$196,'[16]PSP less Loss factor'!$V$194:$V$205)</f>
        <v>166068</v>
      </c>
      <c r="O16" s="35"/>
    </row>
    <row r="17" spans="1:24">
      <c r="A17">
        <v>2018</v>
      </c>
      <c r="B17" s="6"/>
      <c r="C17" s="171">
        <f>'Purchased Power Model '!Q161</f>
        <v>303681258.80928487</v>
      </c>
      <c r="G17" s="22">
        <f>C17/$F$20</f>
        <v>283145634.99940723</v>
      </c>
      <c r="H17" s="426"/>
      <c r="I17" s="427"/>
      <c r="J17" s="427"/>
      <c r="K17" s="427"/>
      <c r="L17" s="427"/>
      <c r="M17" s="427"/>
    </row>
    <row r="18" spans="1:24">
      <c r="A18">
        <f>'Purchased Power Model '!A162</f>
        <v>2019</v>
      </c>
      <c r="B18" s="171"/>
      <c r="C18" s="171">
        <f>'Purchased Power Model '!Q162</f>
        <v>303754462.5616833</v>
      </c>
      <c r="D18" s="172"/>
      <c r="E18" s="172"/>
      <c r="F18" s="172"/>
      <c r="G18" s="22">
        <f>C18/$F$20</f>
        <v>283213888.54603195</v>
      </c>
      <c r="H18" s="170"/>
      <c r="I18" s="171"/>
      <c r="J18" s="171"/>
      <c r="K18" s="171"/>
      <c r="L18" s="171"/>
      <c r="M18" s="171"/>
      <c r="N18" s="171"/>
      <c r="O18" s="171"/>
      <c r="P18" s="171"/>
      <c r="Q18" s="171"/>
      <c r="R18" s="171"/>
      <c r="S18" s="171"/>
    </row>
    <row r="20" spans="1:24" ht="13">
      <c r="A20" s="20" t="s">
        <v>14</v>
      </c>
      <c r="F20" s="53">
        <f>AVERAGE(F12:F16)</f>
        <v>1.0725267186616549</v>
      </c>
      <c r="M20" s="171"/>
      <c r="T20" s="6"/>
      <c r="U20" s="6"/>
      <c r="W20" s="6"/>
      <c r="X20" s="6"/>
    </row>
    <row r="21" spans="1:24">
      <c r="E21" s="19"/>
      <c r="F21" s="19" t="s">
        <v>69</v>
      </c>
      <c r="G21" s="22"/>
    </row>
    <row r="22" spans="1:24">
      <c r="F22" s="25">
        <f>AVERAGE(F7:F16)</f>
        <v>1.0710160168510368</v>
      </c>
    </row>
    <row r="23" spans="1:24" ht="13">
      <c r="A23" s="23" t="s">
        <v>16</v>
      </c>
      <c r="B23" s="13"/>
    </row>
    <row r="24" spans="1:24" ht="13.5" customHeight="1"/>
    <row r="25" spans="1:24">
      <c r="A25">
        <f t="shared" ref="A25:A36" si="7">A7</f>
        <v>2008</v>
      </c>
      <c r="H25" s="28">
        <f>H7/'Rate Class Customer Model'!B3</f>
        <v>11297.232027253747</v>
      </c>
      <c r="I25" s="28">
        <f>I7/'Rate Class Customer Model'!C3</f>
        <v>30564.24681975221</v>
      </c>
      <c r="J25" s="28">
        <f>J7/'Rate Class Customer Model'!D3</f>
        <v>772955.89576756489</v>
      </c>
      <c r="K25" s="28">
        <f>K7/'Rate Class Customer Model'!E3</f>
        <v>969.99739121822427</v>
      </c>
      <c r="L25" s="28">
        <f>L7/'Rate Class Customer Model'!F3</f>
        <v>866.12452535896011</v>
      </c>
      <c r="M25" s="28">
        <f>M7/'Rate Class Customer Model'!G3</f>
        <v>4009.6303533868854</v>
      </c>
    </row>
    <row r="26" spans="1:24">
      <c r="A26">
        <f t="shared" si="7"/>
        <v>2009</v>
      </c>
      <c r="H26" s="28">
        <f>H8/'Rate Class Customer Model'!B4</f>
        <v>11053.305243749295</v>
      </c>
      <c r="I26" s="28">
        <f>I8/'Rate Class Customer Model'!C4</f>
        <v>29177.314431231673</v>
      </c>
      <c r="J26" s="28">
        <f>J8/'Rate Class Customer Model'!D4</f>
        <v>729009.70771166368</v>
      </c>
      <c r="K26" s="28">
        <f>K8/'Rate Class Customer Model'!E4</f>
        <v>937.27625279278482</v>
      </c>
      <c r="L26" s="28">
        <f>L8/'Rate Class Customer Model'!F4</f>
        <v>858.02032668751235</v>
      </c>
      <c r="M26" s="28">
        <f>M8/'Rate Class Customer Model'!G4</f>
        <v>3645.3352865296824</v>
      </c>
    </row>
    <row r="27" spans="1:24">
      <c r="A27">
        <f t="shared" si="7"/>
        <v>2010</v>
      </c>
      <c r="H27" s="28">
        <f>H9/'Rate Class Customer Model'!B5</f>
        <v>10579.860016862098</v>
      </c>
      <c r="I27" s="28">
        <f>I9/'Rate Class Customer Model'!C5</f>
        <v>28591.639699269661</v>
      </c>
      <c r="J27" s="28">
        <f>J9/'Rate Class Customer Model'!D5</f>
        <v>710573.50633338408</v>
      </c>
      <c r="K27" s="28">
        <f>K9/'Rate Class Customer Model'!E5</f>
        <v>943.8038014939691</v>
      </c>
      <c r="L27" s="28">
        <f>L9/'Rate Class Customer Model'!F5</f>
        <v>873.02750861798791</v>
      </c>
      <c r="M27" s="28">
        <f>M9/'Rate Class Customer Model'!G5</f>
        <v>3345.1719054930372</v>
      </c>
    </row>
    <row r="28" spans="1:24">
      <c r="A28">
        <f t="shared" si="7"/>
        <v>2011</v>
      </c>
      <c r="H28" s="28">
        <f>H10/'Rate Class Customer Model'!B6</f>
        <v>10313.423083236239</v>
      </c>
      <c r="I28" s="28">
        <f>I10/'Rate Class Customer Model'!C6</f>
        <v>28461.628405930747</v>
      </c>
      <c r="J28" s="28">
        <f>J10/'Rate Class Customer Model'!D6</f>
        <v>717533.83785021969</v>
      </c>
      <c r="K28" s="28">
        <f>K10/'Rate Class Customer Model'!E6</f>
        <v>945.98762356913448</v>
      </c>
      <c r="L28" s="28">
        <f>L10/'Rate Class Customer Model'!F6</f>
        <v>872.64336706366464</v>
      </c>
      <c r="M28" s="28">
        <f>M10/'Rate Class Customer Model'!G6</f>
        <v>3302.6558001698586</v>
      </c>
    </row>
    <row r="29" spans="1:24">
      <c r="A29">
        <f t="shared" si="7"/>
        <v>2012</v>
      </c>
      <c r="H29" s="28">
        <f>H11/'Rate Class Customer Model'!B7</f>
        <v>9973.4255392003852</v>
      </c>
      <c r="I29" s="28">
        <f>I11/'Rate Class Customer Model'!C7</f>
        <v>27813.173367878175</v>
      </c>
      <c r="J29" s="28">
        <f>J11/'Rate Class Customer Model'!D7</f>
        <v>718976.07103368978</v>
      </c>
      <c r="K29" s="28">
        <f>K11/'Rate Class Customer Model'!E7</f>
        <v>907.17173635850895</v>
      </c>
      <c r="L29" s="28">
        <f>L11/'Rate Class Customer Model'!F7</f>
        <v>856.02672116255303</v>
      </c>
      <c r="M29" s="28">
        <f>M11/'Rate Class Customer Model'!G7</f>
        <v>3249.8591451568127</v>
      </c>
    </row>
    <row r="30" spans="1:24">
      <c r="A30">
        <f t="shared" si="7"/>
        <v>2013</v>
      </c>
      <c r="H30" s="28">
        <f>H12/'Rate Class Customer Model'!B8</f>
        <v>10424.611992220442</v>
      </c>
      <c r="I30" s="28">
        <f>I12/'Rate Class Customer Model'!C8</f>
        <v>27882.83900808822</v>
      </c>
      <c r="J30" s="28">
        <f>J12/'Rate Class Customer Model'!D8</f>
        <v>695817.37504486088</v>
      </c>
      <c r="K30" s="28">
        <f>K12/'Rate Class Customer Model'!E8</f>
        <v>870.87326741212223</v>
      </c>
      <c r="L30" s="28">
        <f>L12/'Rate Class Customer Model'!F8</f>
        <v>858.54414866085972</v>
      </c>
      <c r="M30" s="28">
        <f>M12/'Rate Class Customer Model'!G8</f>
        <v>3229.8683442809993</v>
      </c>
    </row>
    <row r="31" spans="1:24">
      <c r="A31">
        <f t="shared" si="7"/>
        <v>2014</v>
      </c>
      <c r="H31" s="28">
        <f>H13/'Rate Class Customer Model'!B9</f>
        <v>10437.113504700153</v>
      </c>
      <c r="I31" s="28">
        <f>I13/'Rate Class Customer Model'!C9</f>
        <v>27750.941167900961</v>
      </c>
      <c r="J31" s="28">
        <f>J13/'Rate Class Customer Model'!D9</f>
        <v>708637.96062427794</v>
      </c>
      <c r="K31" s="28">
        <f>K13/'Rate Class Customer Model'!E9</f>
        <v>882.42110512481463</v>
      </c>
      <c r="L31" s="28">
        <f>L13/'Rate Class Customer Model'!F9</f>
        <v>845.96228880138813</v>
      </c>
      <c r="M31" s="28">
        <f>M13/'Rate Class Customer Model'!G9</f>
        <v>3290.6861532183339</v>
      </c>
    </row>
    <row r="32" spans="1:24">
      <c r="A32">
        <f t="shared" si="7"/>
        <v>2015</v>
      </c>
      <c r="D32" s="6"/>
      <c r="H32" s="28">
        <f>H14/'Rate Class Customer Model'!B10</f>
        <v>9821.6835961920897</v>
      </c>
      <c r="I32" s="28">
        <f>I14/'Rate Class Customer Model'!C10</f>
        <v>27427.819830409124</v>
      </c>
      <c r="J32" s="28">
        <f>J14/'Rate Class Customer Model'!D10</f>
        <v>768537.99478074873</v>
      </c>
      <c r="K32" s="28">
        <f>K14/'Rate Class Customer Model'!E10</f>
        <v>926.57433962264224</v>
      </c>
      <c r="L32" s="28">
        <f>L14/'Rate Class Customer Model'!F10</f>
        <v>733.77575994938707</v>
      </c>
      <c r="M32" s="28">
        <f>M14/'Rate Class Customer Model'!G10</f>
        <v>3326.9520766773167</v>
      </c>
    </row>
    <row r="33" spans="1:19">
      <c r="A33">
        <f t="shared" si="7"/>
        <v>2016</v>
      </c>
      <c r="D33" s="6"/>
      <c r="H33" s="28">
        <f>H15/'Rate Class Customer Model'!B11</f>
        <v>9419.0500727390354</v>
      </c>
      <c r="I33" s="28">
        <f>I15/'Rate Class Customer Model'!C11</f>
        <v>27211.30578356464</v>
      </c>
      <c r="J33" s="28">
        <f>J15/'Rate Class Customer Model'!D11</f>
        <v>781052.06651785725</v>
      </c>
      <c r="K33" s="28">
        <f>K15/'Rate Class Customer Model'!E11</f>
        <v>931.4482165605101</v>
      </c>
      <c r="L33" s="28">
        <f>L15/'Rate Class Customer Model'!F11</f>
        <v>424.11899034883868</v>
      </c>
      <c r="M33" s="28">
        <f>M15/'Rate Class Customer Model'!G11</f>
        <v>3256.2352941176468</v>
      </c>
    </row>
    <row r="34" spans="1:19">
      <c r="A34">
        <f t="shared" si="7"/>
        <v>2017</v>
      </c>
      <c r="D34" s="6"/>
      <c r="H34" s="28">
        <f>H16/'Rate Class Customer Model'!B12</f>
        <v>9233.7667151650821</v>
      </c>
      <c r="I34" s="28">
        <f>I16/'Rate Class Customer Model'!C12</f>
        <v>26853.620798196869</v>
      </c>
      <c r="J34" s="28">
        <f>J16/'Rate Class Customer Model'!D12</f>
        <v>846551.08527110168</v>
      </c>
      <c r="K34" s="28">
        <f>K16/'Rate Class Customer Model'!E12</f>
        <v>972.16703296703372</v>
      </c>
      <c r="L34" s="28">
        <f>L16/'Rate Class Customer Model'!F12</f>
        <v>405.30860096491625</v>
      </c>
      <c r="M34" s="28">
        <f>M16/'Rate Class Customer Model'!G12</f>
        <v>3256.2352941176468</v>
      </c>
    </row>
    <row r="35" spans="1:19">
      <c r="A35">
        <f t="shared" si="7"/>
        <v>2018</v>
      </c>
      <c r="D35" s="6"/>
      <c r="H35" s="28">
        <f>H34*$H$48</f>
        <v>9233.7667151650821</v>
      </c>
      <c r="I35" s="28">
        <f>I34*$I$48</f>
        <v>26853.620798196869</v>
      </c>
      <c r="J35" s="28">
        <f>J34*$J$48</f>
        <v>846551.08527110168</v>
      </c>
      <c r="K35" s="28">
        <f>K34*$K$48</f>
        <v>972.16703296703372</v>
      </c>
      <c r="L35" s="28">
        <f>L34*$L$48</f>
        <v>405.30860096491625</v>
      </c>
      <c r="M35" s="28">
        <f>M34*$M$48</f>
        <v>3256.2352941176468</v>
      </c>
    </row>
    <row r="36" spans="1:19">
      <c r="A36">
        <f t="shared" si="7"/>
        <v>2019</v>
      </c>
      <c r="B36" s="172"/>
      <c r="C36" s="172"/>
      <c r="D36" s="171"/>
      <c r="E36" s="172"/>
      <c r="F36" s="172"/>
      <c r="G36" s="171"/>
      <c r="H36" s="28">
        <f>H35*$H$48</f>
        <v>9233.7667151650821</v>
      </c>
      <c r="I36" s="28">
        <f>I35*$I$48</f>
        <v>26853.620798196869</v>
      </c>
      <c r="J36" s="28">
        <f>J35*$J$48</f>
        <v>846551.08527110168</v>
      </c>
      <c r="K36" s="28">
        <f>K35*$K$48</f>
        <v>972.16703296703372</v>
      </c>
      <c r="L36" s="28">
        <f>L35*$L$48</f>
        <v>405.30860096491625</v>
      </c>
      <c r="M36" s="28">
        <f>M35*$M$48</f>
        <v>3256.2352941176468</v>
      </c>
      <c r="N36" s="171"/>
      <c r="O36" s="171"/>
      <c r="P36" s="171"/>
      <c r="Q36" s="171"/>
      <c r="R36" s="171"/>
      <c r="S36" s="171"/>
    </row>
    <row r="37" spans="1:19">
      <c r="D37" s="6"/>
      <c r="H37" s="26"/>
      <c r="I37" s="26"/>
      <c r="J37" s="26"/>
      <c r="K37" s="26"/>
      <c r="L37" s="26"/>
      <c r="M37" s="26"/>
    </row>
    <row r="38" spans="1:19">
      <c r="A38" s="39">
        <v>2009</v>
      </c>
      <c r="D38" s="6"/>
      <c r="H38" s="26">
        <f t="shared" ref="H38:M46" si="8">H26/H25</f>
        <v>0.97840827001552266</v>
      </c>
      <c r="I38" s="26">
        <f t="shared" si="8"/>
        <v>0.9546223927355465</v>
      </c>
      <c r="J38" s="26">
        <f t="shared" si="8"/>
        <v>0.94314528384279739</v>
      </c>
      <c r="K38" s="26">
        <f t="shared" si="8"/>
        <v>0.96626677687829154</v>
      </c>
      <c r="L38" s="26">
        <f t="shared" si="8"/>
        <v>0.99064314837628109</v>
      </c>
      <c r="M38" s="26">
        <f t="shared" si="8"/>
        <v>0.90914497478564638</v>
      </c>
    </row>
    <row r="39" spans="1:19">
      <c r="A39" s="39">
        <v>2010</v>
      </c>
      <c r="D39" s="6"/>
      <c r="H39" s="26">
        <f t="shared" si="8"/>
        <v>0.957167090164733</v>
      </c>
      <c r="I39" s="26">
        <f t="shared" si="8"/>
        <v>0.97992705143091918</v>
      </c>
      <c r="J39" s="26">
        <f t="shared" si="8"/>
        <v>0.97471062294060495</v>
      </c>
      <c r="K39" s="26">
        <f t="shared" si="8"/>
        <v>1.0069643807593911</v>
      </c>
      <c r="L39" s="26">
        <f t="shared" si="8"/>
        <v>1.0174904736679287</v>
      </c>
      <c r="M39" s="26">
        <f t="shared" si="8"/>
        <v>0.91765822415682441</v>
      </c>
    </row>
    <row r="40" spans="1:19">
      <c r="A40" s="39">
        <v>2011</v>
      </c>
      <c r="D40" s="6"/>
      <c r="H40" s="26">
        <f t="shared" si="8"/>
        <v>0.97481659178843449</v>
      </c>
      <c r="I40" s="26">
        <f t="shared" si="8"/>
        <v>0.99545282135944679</v>
      </c>
      <c r="J40" s="26">
        <f t="shared" si="8"/>
        <v>1.0097953715622632</v>
      </c>
      <c r="K40" s="26">
        <f t="shared" si="8"/>
        <v>1.0023138517472685</v>
      </c>
      <c r="L40" s="26">
        <f t="shared" si="8"/>
        <v>0.99955998917499023</v>
      </c>
      <c r="M40" s="26">
        <f t="shared" si="8"/>
        <v>0.98729030778556881</v>
      </c>
    </row>
    <row r="41" spans="1:19">
      <c r="A41" s="39">
        <v>2012</v>
      </c>
      <c r="B41" s="110"/>
      <c r="C41" s="110"/>
      <c r="D41" s="6"/>
      <c r="E41" s="110"/>
      <c r="F41" s="110"/>
      <c r="H41" s="26">
        <f t="shared" si="8"/>
        <v>0.9670334920528475</v>
      </c>
      <c r="I41" s="26">
        <f t="shared" si="8"/>
        <v>0.9772165166095188</v>
      </c>
      <c r="J41" s="26">
        <f t="shared" si="8"/>
        <v>1.0020099862994492</v>
      </c>
      <c r="K41" s="26">
        <f t="shared" si="8"/>
        <v>0.95896786993451744</v>
      </c>
      <c r="L41" s="26">
        <f t="shared" si="8"/>
        <v>0.98095826252937146</v>
      </c>
      <c r="M41" s="26">
        <f t="shared" si="8"/>
        <v>0.98401387906958682</v>
      </c>
    </row>
    <row r="42" spans="1:19">
      <c r="A42" s="39">
        <v>2013</v>
      </c>
      <c r="B42" s="110"/>
      <c r="C42" s="110"/>
      <c r="D42" s="6"/>
      <c r="E42" s="110"/>
      <c r="F42" s="110"/>
      <c r="H42" s="26">
        <f t="shared" si="8"/>
        <v>1.045238865146852</v>
      </c>
      <c r="I42" s="26">
        <f t="shared" si="8"/>
        <v>1.0025047713645832</v>
      </c>
      <c r="J42" s="26">
        <f t="shared" si="8"/>
        <v>0.96778933691696711</v>
      </c>
      <c r="K42" s="26">
        <f t="shared" si="8"/>
        <v>0.95998721356543482</v>
      </c>
      <c r="L42" s="26">
        <f t="shared" si="8"/>
        <v>1.0029408281728494</v>
      </c>
      <c r="M42" s="26">
        <f t="shared" si="8"/>
        <v>0.99384871774962769</v>
      </c>
    </row>
    <row r="43" spans="1:19">
      <c r="A43" s="39">
        <v>2014</v>
      </c>
      <c r="B43" s="110"/>
      <c r="C43" s="110"/>
      <c r="D43" s="6"/>
      <c r="E43" s="110"/>
      <c r="F43" s="110"/>
      <c r="H43" s="26">
        <f t="shared" si="8"/>
        <v>1.0011992304834982</v>
      </c>
      <c r="I43" s="26">
        <f t="shared" si="8"/>
        <v>0.99526956920889587</v>
      </c>
      <c r="J43" s="26">
        <f t="shared" si="8"/>
        <v>1.0184252162122145</v>
      </c>
      <c r="K43" s="26">
        <f t="shared" si="8"/>
        <v>1.0132600668143228</v>
      </c>
      <c r="L43" s="26">
        <f t="shared" si="8"/>
        <v>0.98534512187975831</v>
      </c>
      <c r="M43" s="26">
        <f t="shared" si="8"/>
        <v>1.0188298105230891</v>
      </c>
    </row>
    <row r="44" spans="1:19">
      <c r="A44" s="39">
        <v>2015</v>
      </c>
      <c r="B44" s="110"/>
      <c r="C44" s="110"/>
      <c r="D44" s="6"/>
      <c r="E44" s="110"/>
      <c r="F44" s="110"/>
      <c r="H44" s="26">
        <f t="shared" si="8"/>
        <v>0.9410344720088637</v>
      </c>
      <c r="I44" s="26">
        <f t="shared" si="8"/>
        <v>0.98835638274259374</v>
      </c>
      <c r="J44" s="26">
        <f t="shared" si="8"/>
        <v>1.0845284016448986</v>
      </c>
      <c r="K44" s="26">
        <f t="shared" si="8"/>
        <v>1.0500364669899667</v>
      </c>
      <c r="L44" s="26">
        <f t="shared" si="8"/>
        <v>0.86738589847668757</v>
      </c>
      <c r="M44" s="26">
        <f t="shared" si="8"/>
        <v>1.0110207785763812</v>
      </c>
    </row>
    <row r="45" spans="1:19">
      <c r="A45" s="39">
        <v>2016</v>
      </c>
      <c r="B45" s="110"/>
      <c r="C45" s="110"/>
      <c r="D45" s="6"/>
      <c r="E45" s="110"/>
      <c r="F45" s="110"/>
      <c r="H45" s="26">
        <f t="shared" si="8"/>
        <v>0.95900565116868997</v>
      </c>
      <c r="I45" s="26">
        <f t="shared" si="8"/>
        <v>0.99210604239843969</v>
      </c>
      <c r="J45" s="26">
        <f t="shared" si="8"/>
        <v>1.0162829578005166</v>
      </c>
      <c r="K45" s="26">
        <f t="shared" si="8"/>
        <v>1.0052601035118809</v>
      </c>
      <c r="L45" s="26">
        <f t="shared" si="8"/>
        <v>0.57799536792833373</v>
      </c>
      <c r="M45" s="26">
        <f t="shared" si="8"/>
        <v>0.97874427375873241</v>
      </c>
    </row>
    <row r="46" spans="1:19">
      <c r="A46" s="39">
        <v>2017</v>
      </c>
      <c r="B46" s="180"/>
      <c r="C46" s="180"/>
      <c r="D46" s="179"/>
      <c r="E46" s="180"/>
      <c r="F46" s="180"/>
      <c r="G46" s="179"/>
      <c r="H46" s="26">
        <f t="shared" si="8"/>
        <v>0.98032887009378922</v>
      </c>
      <c r="I46" s="26">
        <f t="shared" si="8"/>
        <v>0.9868552803671844</v>
      </c>
      <c r="J46" s="26">
        <f t="shared" si="8"/>
        <v>1.0838599903400254</v>
      </c>
      <c r="K46" s="26">
        <f t="shared" si="8"/>
        <v>1.0437155986587026</v>
      </c>
      <c r="L46" s="26">
        <f t="shared" si="8"/>
        <v>0.95564832084399043</v>
      </c>
      <c r="M46" s="26">
        <f t="shared" si="8"/>
        <v>1</v>
      </c>
      <c r="N46" s="179"/>
      <c r="O46" s="179"/>
      <c r="P46" s="179"/>
      <c r="Q46" s="179"/>
      <c r="R46" s="179"/>
      <c r="S46" s="179"/>
    </row>
    <row r="47" spans="1:19">
      <c r="A47" s="3"/>
      <c r="D47" s="6"/>
      <c r="E47" s="6"/>
      <c r="F47" s="6"/>
    </row>
    <row r="48" spans="1:19">
      <c r="A48" t="s">
        <v>18</v>
      </c>
      <c r="D48" s="6"/>
      <c r="H48" s="26">
        <v>1</v>
      </c>
      <c r="I48" s="26">
        <v>1</v>
      </c>
      <c r="J48" s="26">
        <v>1</v>
      </c>
      <c r="K48" s="26">
        <v>1</v>
      </c>
      <c r="L48" s="26">
        <v>1</v>
      </c>
      <c r="M48" s="26">
        <v>1</v>
      </c>
    </row>
    <row r="49" spans="1:19">
      <c r="A49" s="3"/>
      <c r="D49" s="6"/>
      <c r="H49" s="13"/>
      <c r="I49" s="13"/>
      <c r="L49" s="11"/>
      <c r="M49" s="11"/>
    </row>
    <row r="50" spans="1:19">
      <c r="A50" t="s">
        <v>15</v>
      </c>
      <c r="D50" s="6"/>
      <c r="H50" s="26">
        <f>GEOMEAN(H38:H46)</f>
        <v>0.97783916463494658</v>
      </c>
      <c r="I50" s="26">
        <f t="shared" ref="I50:M50" si="9">GEOMEAN(I38:I46)</f>
        <v>0.98572177503481806</v>
      </c>
      <c r="J50" s="26">
        <f t="shared" si="9"/>
        <v>1.0101566272161</v>
      </c>
      <c r="K50" s="26">
        <f t="shared" si="9"/>
        <v>1.0002482810705411</v>
      </c>
      <c r="L50" s="26">
        <f t="shared" si="9"/>
        <v>0.91908602981278464</v>
      </c>
      <c r="M50" s="26">
        <f t="shared" si="9"/>
        <v>0.97714007893704757</v>
      </c>
    </row>
    <row r="51" spans="1:19">
      <c r="D51" s="6"/>
      <c r="H51" s="26"/>
      <c r="I51" s="26"/>
      <c r="J51" s="26"/>
      <c r="K51" s="26"/>
      <c r="L51" s="26"/>
      <c r="M51" s="26"/>
    </row>
    <row r="52" spans="1:19" ht="13">
      <c r="A52" s="20" t="s">
        <v>44</v>
      </c>
    </row>
    <row r="53" spans="1:19">
      <c r="A53">
        <v>2018</v>
      </c>
      <c r="G53" s="38">
        <f t="shared" ref="G53" si="10">SUM(H53:M53)</f>
        <v>277668149.96856654</v>
      </c>
      <c r="H53" s="38">
        <f>H35*'Rate Class Customer Model'!B13</f>
        <v>103492057.34357025</v>
      </c>
      <c r="I53" s="38">
        <f>I35*'Rate Class Customer Model'!C13</f>
        <v>57681577.474526875</v>
      </c>
      <c r="J53" s="38">
        <f>J35*'Rate Class Customer Model'!D13</f>
        <v>115130947.59686983</v>
      </c>
      <c r="K53" s="38">
        <f>K35*'Rate Class Customer Model'!E13</f>
        <v>42775.349450549482</v>
      </c>
      <c r="L53" s="38">
        <f>L35*'Rate Class Customer Model'!F13</f>
        <v>1154724.2041490464</v>
      </c>
      <c r="M53" s="38">
        <f>M35*'Rate Class Customer Model'!G13</f>
        <v>166068</v>
      </c>
      <c r="N53" s="38"/>
    </row>
    <row r="54" spans="1:19">
      <c r="A54">
        <v>2019</v>
      </c>
      <c r="B54" s="172"/>
      <c r="C54" s="172"/>
      <c r="D54" s="172"/>
      <c r="E54" s="172"/>
      <c r="F54" s="172"/>
      <c r="G54" s="38">
        <f t="shared" ref="G54" si="11">SUM(H54:M54)</f>
        <v>277668149.96856654</v>
      </c>
      <c r="H54" s="38">
        <f>H36*'Rate Class Customer Model'!B14</f>
        <v>103492057.34357025</v>
      </c>
      <c r="I54" s="38">
        <f>I36*'Rate Class Customer Model'!C14</f>
        <v>57681577.474526875</v>
      </c>
      <c r="J54" s="38">
        <f>J36*'Rate Class Customer Model'!D14</f>
        <v>115130947.59686983</v>
      </c>
      <c r="K54" s="38">
        <f>K36*'Rate Class Customer Model'!E14</f>
        <v>42775.349450549482</v>
      </c>
      <c r="L54" s="38">
        <f>L36*'Rate Class Customer Model'!F14</f>
        <v>1154724.2041490464</v>
      </c>
      <c r="M54" s="38">
        <f>M36*'Rate Class Customer Model'!G14</f>
        <v>166068</v>
      </c>
      <c r="N54" s="38"/>
      <c r="O54" s="171"/>
      <c r="P54" s="171"/>
      <c r="Q54" s="171"/>
      <c r="R54" s="171"/>
      <c r="S54" s="171"/>
    </row>
    <row r="55" spans="1:19">
      <c r="G55" s="38"/>
      <c r="H55" s="38"/>
      <c r="I55" s="38"/>
      <c r="J55" s="38"/>
      <c r="K55" s="38"/>
      <c r="L55" s="38"/>
      <c r="M55" s="38"/>
      <c r="N55" s="38"/>
    </row>
    <row r="56" spans="1:19" ht="13">
      <c r="A56" s="20" t="s">
        <v>43</v>
      </c>
      <c r="G56" s="38"/>
      <c r="H56" s="38"/>
      <c r="I56" s="38"/>
      <c r="J56" s="38"/>
      <c r="K56" s="38"/>
      <c r="L56" s="38"/>
      <c r="M56" s="38"/>
      <c r="N56" s="38" t="s">
        <v>17</v>
      </c>
    </row>
    <row r="57" spans="1:19">
      <c r="A57">
        <v>2018</v>
      </c>
      <c r="G57" s="56">
        <f>G17</f>
        <v>283145634.99940723</v>
      </c>
      <c r="H57" s="38">
        <f t="shared" ref="H57:M58" si="12">H53+H65-H69</f>
        <v>105412758.65379637</v>
      </c>
      <c r="I57" s="38">
        <f t="shared" si="12"/>
        <v>58910419.30617138</v>
      </c>
      <c r="J57" s="38">
        <f t="shared" si="12"/>
        <v>116142202.48783723</v>
      </c>
      <c r="K57" s="38">
        <f t="shared" si="12"/>
        <v>42775.349450549482</v>
      </c>
      <c r="L57" s="38">
        <f t="shared" si="12"/>
        <v>1154724.2041490464</v>
      </c>
      <c r="M57" s="38">
        <f t="shared" si="12"/>
        <v>166068</v>
      </c>
      <c r="N57" s="38">
        <f>SUM(H57:M57)</f>
        <v>281828948.00140458</v>
      </c>
      <c r="O57" s="171">
        <f t="shared" ref="O57:O58" si="13">G57-N57</f>
        <v>1316686.9980026484</v>
      </c>
      <c r="P57" s="171">
        <f>O57-G69</f>
        <v>-2.8870999813079834E-8</v>
      </c>
    </row>
    <row r="58" spans="1:19">
      <c r="A58">
        <v>2019</v>
      </c>
      <c r="B58" s="172"/>
      <c r="C58" s="172"/>
      <c r="D58" s="172"/>
      <c r="E58" s="172"/>
      <c r="F58" s="172"/>
      <c r="G58" s="56">
        <f>G18</f>
        <v>283213888.54603195</v>
      </c>
      <c r="H58" s="38">
        <f t="shared" si="12"/>
        <v>104688526.15422076</v>
      </c>
      <c r="I58" s="38">
        <f t="shared" si="12"/>
        <v>58782610.726187877</v>
      </c>
      <c r="J58" s="38">
        <f t="shared" si="12"/>
        <v>114521128.4638157</v>
      </c>
      <c r="K58" s="38">
        <f t="shared" si="12"/>
        <v>42775.349450549482</v>
      </c>
      <c r="L58" s="38">
        <f t="shared" si="12"/>
        <v>1154724.2041490464</v>
      </c>
      <c r="M58" s="38">
        <f t="shared" si="12"/>
        <v>166068</v>
      </c>
      <c r="N58" s="38">
        <f t="shared" ref="N58" si="14">SUM(H58:M58)</f>
        <v>279355832.89782393</v>
      </c>
      <c r="O58" s="171">
        <f t="shared" si="13"/>
        <v>3858055.6482080221</v>
      </c>
      <c r="P58" s="171">
        <f>O58-G70</f>
        <v>-9.7788870334625244E-9</v>
      </c>
      <c r="Q58" s="171"/>
      <c r="R58" s="171"/>
      <c r="S58" s="171"/>
    </row>
    <row r="59" spans="1:19">
      <c r="G59" s="38"/>
      <c r="H59" s="38"/>
      <c r="I59" s="38"/>
      <c r="J59" s="38"/>
      <c r="K59" s="38"/>
      <c r="L59" s="38"/>
      <c r="M59" s="38"/>
      <c r="N59" s="38"/>
    </row>
    <row r="60" spans="1:19">
      <c r="A60" s="52" t="s">
        <v>45</v>
      </c>
      <c r="G60" s="38"/>
      <c r="H60" s="57">
        <f>(100%+J60)/2</f>
        <v>0.77500000000000002</v>
      </c>
      <c r="I60" s="57">
        <f>H60</f>
        <v>0.77500000000000002</v>
      </c>
      <c r="J60" s="57">
        <v>0.55000000000000004</v>
      </c>
      <c r="K60" s="57"/>
      <c r="L60" s="57"/>
      <c r="M60" s="57"/>
      <c r="N60" s="38" t="s">
        <v>17</v>
      </c>
    </row>
    <row r="61" spans="1:19">
      <c r="A61">
        <v>2018</v>
      </c>
      <c r="G61" s="38">
        <f>G57-G53</f>
        <v>5477485.0308406949</v>
      </c>
      <c r="H61" s="38">
        <f>H53*$H$60</f>
        <v>80206344.441266939</v>
      </c>
      <c r="I61" s="38">
        <f>I53*$I$60</f>
        <v>44703222.542758331</v>
      </c>
      <c r="J61" s="38">
        <f>J53*$J$60</f>
        <v>63322021.178278409</v>
      </c>
      <c r="K61" s="38">
        <f>K53*$K$60</f>
        <v>0</v>
      </c>
      <c r="L61" s="38">
        <f>L53*$L$60</f>
        <v>0</v>
      </c>
      <c r="M61" s="38">
        <f>M53*$M$60</f>
        <v>0</v>
      </c>
      <c r="N61" s="38">
        <f t="shared" ref="N61:N62" si="15">SUM(H61:M61)</f>
        <v>188231588.16230369</v>
      </c>
    </row>
    <row r="62" spans="1:19">
      <c r="A62">
        <v>2019</v>
      </c>
      <c r="B62" s="172"/>
      <c r="C62" s="172"/>
      <c r="D62" s="172"/>
      <c r="E62" s="172"/>
      <c r="F62" s="172"/>
      <c r="G62" s="38">
        <f>G58-G54</f>
        <v>5545738.577465415</v>
      </c>
      <c r="H62" s="38">
        <f>H54*$H$60</f>
        <v>80206344.441266939</v>
      </c>
      <c r="I62" s="38">
        <f>I54*$I$60</f>
        <v>44703222.542758331</v>
      </c>
      <c r="J62" s="38">
        <f>J54*$J$60</f>
        <v>63322021.178278409</v>
      </c>
      <c r="K62" s="38">
        <f>K54*$K$60</f>
        <v>0</v>
      </c>
      <c r="L62" s="38">
        <f>L54*$L$60</f>
        <v>0</v>
      </c>
      <c r="M62" s="38">
        <f>M54*$M$60</f>
        <v>0</v>
      </c>
      <c r="N62" s="38">
        <f t="shared" si="15"/>
        <v>188231588.16230369</v>
      </c>
      <c r="O62" s="171"/>
      <c r="P62" s="171"/>
      <c r="Q62" s="171"/>
      <c r="R62" s="171"/>
      <c r="S62" s="171"/>
    </row>
    <row r="63" spans="1:19" ht="12" customHeight="1">
      <c r="G63" s="38"/>
      <c r="H63" s="38"/>
      <c r="I63" s="38"/>
      <c r="J63" s="38"/>
      <c r="K63" s="38"/>
      <c r="L63" s="38"/>
      <c r="M63" s="38"/>
      <c r="N63" s="38"/>
    </row>
    <row r="64" spans="1:19">
      <c r="A64" t="s">
        <v>46</v>
      </c>
      <c r="G64" s="38"/>
      <c r="H64" s="38"/>
      <c r="I64" s="38"/>
      <c r="J64" s="38"/>
      <c r="K64" s="38"/>
      <c r="L64" s="38"/>
      <c r="M64" s="38"/>
      <c r="N64" s="38"/>
    </row>
    <row r="65" spans="1:19">
      <c r="A65">
        <v>2018</v>
      </c>
      <c r="H65" s="38">
        <f t="shared" ref="H65:M65" si="16">H61/$N$61*$G$61</f>
        <v>2333981.5348988003</v>
      </c>
      <c r="I65" s="38">
        <f t="shared" si="16"/>
        <v>1300850.9076445031</v>
      </c>
      <c r="J65" s="38">
        <f t="shared" si="16"/>
        <v>1842652.5882973908</v>
      </c>
      <c r="K65" s="38">
        <f t="shared" si="16"/>
        <v>0</v>
      </c>
      <c r="L65" s="38">
        <f t="shared" si="16"/>
        <v>0</v>
      </c>
      <c r="M65" s="38">
        <f t="shared" si="16"/>
        <v>0</v>
      </c>
      <c r="N65" s="38">
        <f>SUM(H65:M65)</f>
        <v>5477485.0308406949</v>
      </c>
    </row>
    <row r="66" spans="1:19">
      <c r="A66">
        <v>2019</v>
      </c>
      <c r="B66" s="172"/>
      <c r="C66" s="172"/>
      <c r="D66" s="172"/>
      <c r="E66" s="172"/>
      <c r="F66" s="172"/>
      <c r="G66" s="171"/>
      <c r="H66" s="38">
        <f t="shared" ref="H66:M66" si="17">H62/$N$62*$G$62</f>
        <v>2363064.684668541</v>
      </c>
      <c r="I66" s="38">
        <f t="shared" si="17"/>
        <v>1317060.4796610051</v>
      </c>
      <c r="J66" s="38">
        <f t="shared" si="17"/>
        <v>1865613.4131358687</v>
      </c>
      <c r="K66" s="38">
        <f t="shared" si="17"/>
        <v>0</v>
      </c>
      <c r="L66" s="38">
        <f t="shared" si="17"/>
        <v>0</v>
      </c>
      <c r="M66" s="38">
        <f t="shared" si="17"/>
        <v>0</v>
      </c>
      <c r="N66" s="38">
        <f>SUM(H66:M66)</f>
        <v>5545738.577465415</v>
      </c>
      <c r="O66" s="171"/>
      <c r="P66" s="171"/>
      <c r="Q66" s="171"/>
      <c r="R66" s="171"/>
      <c r="S66" s="171"/>
    </row>
    <row r="67" spans="1:19" ht="13.5" customHeight="1">
      <c r="H67" s="38"/>
      <c r="I67" s="38"/>
      <c r="J67" s="38"/>
      <c r="K67" s="38"/>
      <c r="L67" s="38"/>
      <c r="M67" s="38"/>
      <c r="N67" s="38"/>
    </row>
    <row r="68" spans="1:19">
      <c r="A68" t="s">
        <v>110</v>
      </c>
    </row>
    <row r="69" spans="1:19">
      <c r="A69">
        <v>2018</v>
      </c>
      <c r="G69" s="38">
        <f>SUM('CDM Activity'!R4/2)</f>
        <v>1316686.9980026772</v>
      </c>
      <c r="H69" s="38">
        <f>'CDM Activity'!R11-'CDM Activity'!R9/2</f>
        <v>413280.22467267729</v>
      </c>
      <c r="I69" s="38">
        <f>'CDM Activity'!R16-'CDM Activity'!R14/2</f>
        <v>72009.075999999986</v>
      </c>
      <c r="J69" s="38">
        <f>'CDM Activity'!R21-'CDM Activity'!R19/2</f>
        <v>831397.69733</v>
      </c>
      <c r="L69" s="38"/>
      <c r="M69" s="38"/>
      <c r="N69" s="38">
        <f t="shared" ref="N69" si="18">SUM(H69:M69)</f>
        <v>1316686.9980026772</v>
      </c>
      <c r="O69" s="171">
        <f t="shared" ref="O69" si="19">N69-G69</f>
        <v>0</v>
      </c>
    </row>
    <row r="70" spans="1:19" ht="13.5" customHeight="1">
      <c r="A70">
        <v>2019</v>
      </c>
      <c r="G70" s="6">
        <f>'CDM Activity'!S4+'CDM Activity'!S5*0.5</f>
        <v>3858055.6482080319</v>
      </c>
      <c r="H70" s="38">
        <f>'CDM Activity'!S11-'CDM Activity'!S10/2</f>
        <v>1166595.8740180321</v>
      </c>
      <c r="I70" s="38">
        <f>'CDM Activity'!S16-'CDM Activity'!S15/2</f>
        <v>216027.22799999994</v>
      </c>
      <c r="J70" s="38">
        <f>'CDM Activity'!S21-'CDM Activity'!S20/2</f>
        <v>2475432.5461900001</v>
      </c>
      <c r="L70" s="38"/>
      <c r="M70" s="38"/>
      <c r="N70" s="38">
        <f t="shared" ref="N70" si="20">SUM(H70:M70)</f>
        <v>3858055.6482080324</v>
      </c>
      <c r="O70" s="179">
        <f t="shared" ref="O70" si="21">N70-G70</f>
        <v>0</v>
      </c>
    </row>
  </sheetData>
  <mergeCells count="1">
    <mergeCell ref="H17:M17"/>
  </mergeCells>
  <phoneticPr fontId="0" type="noConversion"/>
  <pageMargins left="0.38" right="0.75" top="0.73" bottom="0.74" header="0.5" footer="0.5"/>
  <pageSetup scale="66"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9</vt:i4>
      </vt:variant>
    </vt:vector>
  </HeadingPairs>
  <TitlesOfParts>
    <vt:vector size="24" baseType="lpstr">
      <vt:lpstr>Exhibit 3 Tables</vt:lpstr>
      <vt:lpstr>Summary</vt:lpstr>
      <vt:lpstr>Stats Sum</vt:lpstr>
      <vt:lpstr>Purchased Power Model </vt:lpstr>
      <vt:lpstr>Purchased Power Model - WN</vt:lpstr>
      <vt:lpstr>Residential - Not Used</vt:lpstr>
      <vt:lpstr>GS &lt; 50 kW - Not Used</vt:lpstr>
      <vt:lpstr>GS &gt; 50 kW - Not Used</vt:lpstr>
      <vt:lpstr>Rate Class Energy Model</vt:lpstr>
      <vt:lpstr>Rate Class Customer Model</vt:lpstr>
      <vt:lpstr>Rate Class Load Model</vt:lpstr>
      <vt:lpstr>CDM Activity</vt:lpstr>
      <vt:lpstr>Weather Analysis</vt:lpstr>
      <vt:lpstr>2018 COP Forecast</vt:lpstr>
      <vt:lpstr>2019 COP Forecast</vt:lpstr>
      <vt:lpstr>'CDM Activity'!Print_Area</vt:lpstr>
      <vt:lpstr>'GS &lt; 50 kW - Not Used'!Print_Area</vt:lpstr>
      <vt:lpstr>'GS &gt; 50 kW - Not Used'!Print_Area</vt:lpstr>
      <vt:lpstr>'Purchased Power Model '!Print_Area</vt:lpstr>
      <vt:lpstr>'Purchased Power Model - WN'!Print_Area</vt:lpstr>
      <vt:lpstr>'Rate Class Customer Model'!Print_Area</vt:lpstr>
      <vt:lpstr>'Rate Class Energy Model'!Print_Area</vt:lpstr>
      <vt:lpstr>'Rate Class Load Model'!Print_Area</vt:lpstr>
      <vt:lpstr>'Residential - Not Used'!Print_Area</vt:lpstr>
    </vt:vector>
  </TitlesOfParts>
  <Company>London Hydro</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Bruce Bacon</dc:creator>
  <cp:lastModifiedBy>Bacon, Bruce</cp:lastModifiedBy>
  <cp:lastPrinted>2012-03-02T19:33:05Z</cp:lastPrinted>
  <dcterms:created xsi:type="dcterms:W3CDTF">2008-02-06T18:24:44Z</dcterms:created>
  <dcterms:modified xsi:type="dcterms:W3CDTF">2019-01-16T16:52:01Z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M_Links_Updated">
    <vt:bool>true</vt:bool>
  </property>
</Properties>
</file>