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TC 1\"/>
    </mc:Choice>
  </mc:AlternateContent>
  <bookViews>
    <workbookView xWindow="0" yWindow="0" windowWidth="28800" windowHeight="11700"/>
  </bookViews>
  <sheets>
    <sheet name="TH CIR vs IRM 2015 -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D25" i="1"/>
  <c r="D24" i="1" l="1"/>
  <c r="I15" i="1"/>
  <c r="D20" i="1"/>
  <c r="G112" i="1"/>
  <c r="G111" i="1"/>
  <c r="G110" i="1"/>
  <c r="G109" i="1"/>
  <c r="G108" i="1"/>
  <c r="G107" i="1"/>
  <c r="G106" i="1"/>
  <c r="E20" i="1" l="1"/>
  <c r="F20" i="1" s="1"/>
  <c r="G20" i="1" s="1"/>
  <c r="H20" i="1" s="1"/>
  <c r="K24" i="1" l="1"/>
  <c r="P23" i="1"/>
  <c r="P22" i="1"/>
  <c r="I23" i="1"/>
  <c r="I22" i="1"/>
  <c r="I5" i="1"/>
  <c r="I4" i="1"/>
  <c r="P15" i="1"/>
  <c r="O14" i="1"/>
  <c r="N14" i="1"/>
  <c r="M14" i="1"/>
  <c r="L14" i="1"/>
  <c r="O12" i="1"/>
  <c r="N12" i="1"/>
  <c r="M12" i="1"/>
  <c r="L12" i="1"/>
  <c r="K12" i="1"/>
  <c r="P11" i="1"/>
  <c r="P10" i="1"/>
  <c r="K9" i="1"/>
  <c r="L8" i="1"/>
  <c r="M8" i="1" s="1"/>
  <c r="P7" i="1"/>
  <c r="K6" i="1"/>
  <c r="K20" i="1" s="1"/>
  <c r="L20" i="1" s="1"/>
  <c r="M20" i="1" s="1"/>
  <c r="N20" i="1" s="1"/>
  <c r="O20" i="1" s="1"/>
  <c r="L5" i="1"/>
  <c r="M5" i="1" s="1"/>
  <c r="P4" i="1"/>
  <c r="H14" i="1"/>
  <c r="G14" i="1"/>
  <c r="F14" i="1"/>
  <c r="E14" i="1"/>
  <c r="H12" i="1"/>
  <c r="G12" i="1"/>
  <c r="F12" i="1"/>
  <c r="E12" i="1"/>
  <c r="D12" i="1"/>
  <c r="I11" i="1"/>
  <c r="I10" i="1"/>
  <c r="H7" i="1"/>
  <c r="G7" i="1"/>
  <c r="F7" i="1"/>
  <c r="E7" i="1"/>
  <c r="D7" i="1"/>
  <c r="D9" i="1" s="1"/>
  <c r="I6" i="1"/>
  <c r="P31" i="1" l="1"/>
  <c r="I31" i="1"/>
  <c r="Q31" i="1"/>
  <c r="R31" i="1" s="1"/>
  <c r="S31" i="1" s="1"/>
  <c r="D13" i="1"/>
  <c r="D21" i="1"/>
  <c r="R12" i="1"/>
  <c r="S12" i="1" s="1"/>
  <c r="K13" i="1"/>
  <c r="K21" i="1"/>
  <c r="L21" i="1" s="1"/>
  <c r="M21" i="1" s="1"/>
  <c r="N21" i="1" s="1"/>
  <c r="O21" i="1" s="1"/>
  <c r="T15" i="1"/>
  <c r="U15" i="1" s="1"/>
  <c r="J31" i="1"/>
  <c r="I20" i="1"/>
  <c r="P12" i="1"/>
  <c r="L6" i="1"/>
  <c r="L9" i="1"/>
  <c r="L13" i="1" s="1"/>
  <c r="N5" i="1"/>
  <c r="M6" i="1"/>
  <c r="N8" i="1"/>
  <c r="M9" i="1"/>
  <c r="M13" i="1" s="1"/>
  <c r="I12" i="1"/>
  <c r="I7" i="1"/>
  <c r="E8" i="1"/>
  <c r="I29" i="1" l="1"/>
  <c r="J29" i="1" s="1"/>
  <c r="T12" i="1"/>
  <c r="U12" i="1"/>
  <c r="K25" i="1"/>
  <c r="L25" i="1"/>
  <c r="R13" i="1"/>
  <c r="S13" i="1" s="1"/>
  <c r="P20" i="1"/>
  <c r="E21" i="1"/>
  <c r="M25" i="1"/>
  <c r="N9" i="1"/>
  <c r="N13" i="1" s="1"/>
  <c r="O8" i="1"/>
  <c r="O9" i="1" s="1"/>
  <c r="O13" i="1" s="1"/>
  <c r="N6" i="1"/>
  <c r="O5" i="1"/>
  <c r="E9" i="1"/>
  <c r="E13" i="1" s="1"/>
  <c r="F8" i="1"/>
  <c r="F21" i="1" l="1"/>
  <c r="E25" i="1"/>
  <c r="N25" i="1"/>
  <c r="O25" i="1"/>
  <c r="P8" i="1"/>
  <c r="P9" i="1" s="1"/>
  <c r="P13" i="1" s="1"/>
  <c r="O6" i="1"/>
  <c r="P5" i="1"/>
  <c r="P6" i="1" s="1"/>
  <c r="F9" i="1"/>
  <c r="F13" i="1" s="1"/>
  <c r="G8" i="1"/>
  <c r="P29" i="1" l="1"/>
  <c r="Q29" i="1" s="1"/>
  <c r="R29" i="1" s="1"/>
  <c r="S29" i="1" s="1"/>
  <c r="P25" i="1"/>
  <c r="G21" i="1"/>
  <c r="F25" i="1"/>
  <c r="P21" i="1"/>
  <c r="G9" i="1"/>
  <c r="G13" i="1" s="1"/>
  <c r="H8" i="1"/>
  <c r="Q32" i="1" l="1"/>
  <c r="P32" i="1"/>
  <c r="P30" i="1"/>
  <c r="Q30" i="1" s="1"/>
  <c r="H21" i="1"/>
  <c r="G25" i="1"/>
  <c r="H9" i="1"/>
  <c r="H13" i="1" s="1"/>
  <c r="I8" i="1"/>
  <c r="I9" i="1" s="1"/>
  <c r="I13" i="1" s="1"/>
  <c r="T13" i="1" s="1"/>
  <c r="U13" i="1" s="1"/>
  <c r="H25" i="1" l="1"/>
  <c r="I21" i="1"/>
  <c r="I32" i="1" l="1"/>
  <c r="J32" i="1" s="1"/>
  <c r="R32" i="1" s="1"/>
  <c r="S32" i="1" s="1"/>
  <c r="I30" i="1"/>
  <c r="J30" i="1" s="1"/>
  <c r="R30" i="1" s="1"/>
  <c r="S30" i="1" s="1"/>
</calcChain>
</file>

<file path=xl/sharedStrings.xml><?xml version="1.0" encoding="utf-8"?>
<sst xmlns="http://schemas.openxmlformats.org/spreadsheetml/2006/main" count="122" uniqueCount="112">
  <si>
    <t xml:space="preserve">TH 2015-2019 CIR (Funded) </t>
  </si>
  <si>
    <t xml:space="preserve">Rate Base </t>
  </si>
  <si>
    <t>Funded CRR</t>
  </si>
  <si>
    <t>Stretch Factor Reduction to Depreciation</t>
  </si>
  <si>
    <t>Funded Depreciation</t>
  </si>
  <si>
    <t>Funded RR</t>
  </si>
  <si>
    <t>Net Capex / Rate Base</t>
  </si>
  <si>
    <t>Funded Depreciation / Net Capex</t>
  </si>
  <si>
    <t>Rate Base Growth (Term)</t>
  </si>
  <si>
    <t>Stretch Factor Reduction to CRR</t>
  </si>
  <si>
    <t xml:space="preserve">5 yr Total / Average </t>
  </si>
  <si>
    <t xml:space="preserve">TH 2020-2024 CIR (Proposed) </t>
  </si>
  <si>
    <t>Approved/Proposed Net Capex</t>
  </si>
  <si>
    <t>Funded/Proposed Funded CRR</t>
  </si>
  <si>
    <t>Funded/Proposed Funded RR</t>
  </si>
  <si>
    <t xml:space="preserve">Proposed Net CAPEX </t>
  </si>
  <si>
    <t>Net CAPEX / Average Rate Base</t>
  </si>
  <si>
    <t>Funded Depreciation / Net CAPEX</t>
  </si>
  <si>
    <t>TH 2015-2019 IRM (Alternative)</t>
  </si>
  <si>
    <t xml:space="preserve">TH 2020-2024 IRM (Alternative) </t>
  </si>
  <si>
    <t>TH 2015-2019 CIR (Funded) vs IRM (Alternative)</t>
  </si>
  <si>
    <t>TH 2020-2024 CIR (Proposed) vs IRM (Alternative)</t>
  </si>
  <si>
    <t>Test Year 2015 vs 2020</t>
  </si>
  <si>
    <t>Term 2015-2019 vs Term 2020-2024</t>
  </si>
  <si>
    <t>Change (%)</t>
  </si>
  <si>
    <t>Proportional Change (%)</t>
  </si>
  <si>
    <t xml:space="preserve">Inflation </t>
  </si>
  <si>
    <t>TH Stretch</t>
  </si>
  <si>
    <t>I-X</t>
  </si>
  <si>
    <t>2020A</t>
  </si>
  <si>
    <t>CRR Funding</t>
  </si>
  <si>
    <t>Depreciation Funding</t>
  </si>
  <si>
    <t>RR Funding</t>
  </si>
  <si>
    <t>Term Funded Depreciation / Net CAPEX</t>
  </si>
  <si>
    <t>Notes/References:</t>
  </si>
  <si>
    <t>Line 7 + Line 8</t>
  </si>
  <si>
    <t>Annual Net Capex Growth</t>
  </si>
  <si>
    <t>2015-2019 CIR: 1B-Staff-21(a)</t>
  </si>
  <si>
    <t>2020-2024 CIR: Ex. 1B / T4 / S1 / T2 / L1</t>
  </si>
  <si>
    <t>2020-2024 CIR: Ex. 1B / T4 / S1 / T2 / L6</t>
  </si>
  <si>
    <t>2015-2019 CIR: Ex. 9 / T1 / S1 / p.12/ L3</t>
  </si>
  <si>
    <t>2015-2019 CIR: Ex. 9 / T1 / S1 / p.12/ L4</t>
  </si>
  <si>
    <t>2020-2024 CIR: Line 4*0.3% Stretch + Prior Year</t>
  </si>
  <si>
    <t>Line 4 + Line 5</t>
  </si>
  <si>
    <t>Ref:</t>
  </si>
  <si>
    <t>2020-2024 CIR: Ex. 1B / T4 / S1 / T2 / L4</t>
  </si>
  <si>
    <t>2015-2019 CIR: Line 7*0.6% Stretch + Previous Year</t>
  </si>
  <si>
    <t>2020-2024 CIR: Line 7*0.3% Stretch + Previous Year</t>
  </si>
  <si>
    <t>2015-2019 CIR: 1B-Staff-23 (b)</t>
  </si>
  <si>
    <t>2020-2024 CIR: 1B-Staff-23 (a)</t>
  </si>
  <si>
    <t>2015-2019 CIR: 2B-Staff-75 (Adx. A, 2015-2019 CIR Filing - 10%)</t>
  </si>
  <si>
    <t>2020-2024 CIR: 2B-Staff-75 (Adx. A, 2020-2024 TOTAL EXPENDITURE)</t>
  </si>
  <si>
    <t>2015-2019 CIR: Line 11 / Line 3</t>
  </si>
  <si>
    <t>2020-2024 CIR: Line 11 / Line 3</t>
  </si>
  <si>
    <t>2015 vs 2020 Change (%): K12-D12</t>
  </si>
  <si>
    <t>2015 vs 2020 Proportional Change (%): R12/D12</t>
  </si>
  <si>
    <t>Term 2015-2019 vs Term 2020-2024 Change (%): P12-I12</t>
  </si>
  <si>
    <t>Term 2015-2019 vs Term 2020-2024 Proportional Change (%): T12/I12</t>
  </si>
  <si>
    <t>2015-2019 CIR: Line 22 / Line 24</t>
  </si>
  <si>
    <t>2020-2024 CIR: Line 22 / Line 24</t>
  </si>
  <si>
    <t>2015 vs 2020 Change (%): K13-D13</t>
  </si>
  <si>
    <t>2015 vs 2020 Proportional Change (%): R13/D13</t>
  </si>
  <si>
    <t>Term 2015-2019 vs Term 2020-2024 Change (%): P13-I13</t>
  </si>
  <si>
    <t>Term 2015-2019 vs Term 2020-2024 Proportional Change (%): T13/I13</t>
  </si>
  <si>
    <t>2015-2019 CIR: (H3-D3)/D3</t>
  </si>
  <si>
    <t>2020-2024 CIR: (O3-K3)/K3</t>
  </si>
  <si>
    <t>Term 2015-2019 vs Term 2020-2024 Change (%): P15-I15</t>
  </si>
  <si>
    <t>Term 2015-2019 vs Term 2020-2024 Proportional Change (%): T15/I15</t>
  </si>
  <si>
    <t>2015-2019 IRM: 1B-Staff-21(a)</t>
  </si>
  <si>
    <t>2020-2024 IRM: Ex. 1B / T4 / S1 / T2 / L1</t>
  </si>
  <si>
    <t>2015-2019 IRM: Ex. 9 / T1 / S1 / L5 - 2015 then escalated for I-X (Note 24 - Table 1)</t>
  </si>
  <si>
    <t>Table 1 - I-X Calculations:</t>
  </si>
  <si>
    <t>Shortfall ($/%)</t>
  </si>
  <si>
    <t>Proportional Shortfall (%)</t>
  </si>
  <si>
    <t>Change in Proportional Shortfall (%)</t>
  </si>
  <si>
    <t>Relative Change in Proportional Shortfall (%)</t>
  </si>
  <si>
    <t>2020-2024 IRM: Ex. 1B / T4 / S1 / T2 / L6 - 2020 then escalated for I-X (Note 24 - Table 1)</t>
  </si>
  <si>
    <t>2015-2019 IRM: 1B-Staff-21(a)  - 2015 then escalated for I-X (Note 24 - Table 1)</t>
  </si>
  <si>
    <t>2020-2024 IRM: Ex. 1B / T4 / S1 / T2 / L4 - 2020 then escalated for I-X (Note 24 - Table 1)</t>
  </si>
  <si>
    <t>2015-2019 IRM: 1B-Staff-23(b)</t>
  </si>
  <si>
    <t>2020-2024 IRM: 1B-Staff-23(b)</t>
  </si>
  <si>
    <t>2015-2019 IRM: 2B-Staff-75 (Adx. A, 2015-2019 CIR Filing - 10%)</t>
  </si>
  <si>
    <t>2020-2024 IRM: 2B-Staff-75 (Adx. A, 2020-2024 TOTAL EXPENDITURE)</t>
  </si>
  <si>
    <t>Line 23 / Line 19</t>
  </si>
  <si>
    <t>Line 21 / Line 23</t>
  </si>
  <si>
    <t>2015-2019 CIR vs IRM Shortfall: (I20-I6)*-1</t>
  </si>
  <si>
    <t>2015-2019 CIR vs IRM Proportional Shortfall: I29/I6</t>
  </si>
  <si>
    <t>2020-2024 CIR vs IRM Shortfall: (P20-P6)*-1</t>
  </si>
  <si>
    <t>2024-2024 CIR vs IRM Proportional Shortfall: P29/P6</t>
  </si>
  <si>
    <t>Term 2015-2019 (IRM vs CIR) vs Term 2020-2024 (IRM vs CIR) Change in Proportional Shortfall: Q29-J29</t>
  </si>
  <si>
    <t>Term 2015-2019 (IRM vs CIR) vs Term 2020-2024 (IRM vs CIR) Relative Change in Proportional Shortfall: R29/J29</t>
  </si>
  <si>
    <t>2015-2019 CIR vs IRM Shortfall: (I22-I10)*-1</t>
  </si>
  <si>
    <t>2015-2019 CIR vs IRM Shortfall: (I21-I19)*-1</t>
  </si>
  <si>
    <t>2015-2019 CIR vs IRM Proportional Shortfall: I30/I9</t>
  </si>
  <si>
    <t>2020-2024 CIR vs IRM Shortfall: (P21-P9)*-1</t>
  </si>
  <si>
    <t>2024-2024 CIR vs IRM Proportional Shortfall: P30/P9</t>
  </si>
  <si>
    <t>Term 2015-2019 (IRM vs CIR) vs Term 2020-2024 (IRM vs CIR) Change in Proportional Shortfall: Q30-J30</t>
  </si>
  <si>
    <t>Term 2015-2019 (IRM vs CIR) vs Term 2020-2024 (IRM vs CIR) Relative Change in Proportional Shortfall: R30/J30</t>
  </si>
  <si>
    <t>2015-2019 CIR vs IRM Proportional Shortfall: I31/I10</t>
  </si>
  <si>
    <t>2020-2024 CIR vs IRM Shortfall: (P22-P10)*-1</t>
  </si>
  <si>
    <t>2024-2024 CIR vs IRM Proportional Shortfall: P31/P10</t>
  </si>
  <si>
    <t>Term 2015-2019 (IRM vs CIR) vs Term 2020-2024 (IRM vs CIR) Change in Proportional Shortfall: Q31-J31</t>
  </si>
  <si>
    <t>Term 2015-2019 (IRM vs CIR) vs Term 2020-2024 (IRM vs CIR) Relative Change in Proportional Shortfall: R31/J31</t>
  </si>
  <si>
    <t>2015-2019 CIR vs IRM Shortfall: (I25-I13)*-1</t>
  </si>
  <si>
    <t>2015-2019 CIR vs IRM Proportional Shortfall: I32/I13</t>
  </si>
  <si>
    <t>2020-2024 CIR vs IRM Shortfall: (P25-P13)*-1</t>
  </si>
  <si>
    <t>2024-2024 CIR vs IRM Proportional Shortfall: P32/P13</t>
  </si>
  <si>
    <t>Term 2015-2019 (IRM vs CIR) vs Term 2020-2024 (IRM vs CIR) Change in Proportional Shortfall: Q32-J32</t>
  </si>
  <si>
    <t>Term 2015-2019 (IRM vs CIR) vs Term 2020-2024 (IRM vs CIR) Relative Change in Proportional Shortfall: R32/J32</t>
  </si>
  <si>
    <t>Approved/Proposed CRR</t>
  </si>
  <si>
    <t xml:space="preserve">Approved/Proposed Depreciation </t>
  </si>
  <si>
    <t>Funded/Proposed Funded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</si>
</sst>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2" fillId="0" borderId="0" xfId="0" applyFont="1" applyFill="1"/>
    <xf numFmtId="44" fontId="2" fillId="0" borderId="0" xfId="1" applyFont="1" applyFill="1"/>
    <xf numFmtId="44" fontId="2" fillId="0" borderId="0" xfId="1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/>
    <xf numFmtId="0" fontId="2" fillId="0" borderId="0" xfId="0" applyFont="1" applyFill="1" applyBorder="1"/>
    <xf numFmtId="0" fontId="4" fillId="0" borderId="0" xfId="0" applyFont="1" applyFill="1" applyAlignment="1">
      <alignment horizontal="center"/>
    </xf>
    <xf numFmtId="44" fontId="2" fillId="0" borderId="11" xfId="1" applyFont="1" applyFill="1" applyBorder="1"/>
    <xf numFmtId="44" fontId="2" fillId="0" borderId="12" xfId="1" applyFont="1" applyFill="1" applyBorder="1"/>
    <xf numFmtId="44" fontId="2" fillId="0" borderId="14" xfId="1" applyFont="1" applyFill="1" applyBorder="1"/>
    <xf numFmtId="44" fontId="2" fillId="0" borderId="0" xfId="1" applyFont="1" applyFill="1" applyBorder="1"/>
    <xf numFmtId="44" fontId="2" fillId="0" borderId="0" xfId="0" applyNumberFormat="1" applyFont="1" applyFill="1" applyBorder="1"/>
    <xf numFmtId="44" fontId="2" fillId="0" borderId="0" xfId="1" applyFont="1" applyBorder="1"/>
    <xf numFmtId="44" fontId="2" fillId="0" borderId="15" xfId="0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2" fillId="0" borderId="15" xfId="1" applyFont="1" applyBorder="1"/>
    <xf numFmtId="0" fontId="2" fillId="0" borderId="14" xfId="0" applyFont="1" applyFill="1" applyBorder="1"/>
    <xf numFmtId="44" fontId="2" fillId="0" borderId="14" xfId="0" applyNumberFormat="1" applyFont="1" applyFill="1" applyBorder="1"/>
    <xf numFmtId="10" fontId="4" fillId="0" borderId="14" xfId="2" applyNumberFormat="1" applyFont="1" applyFill="1" applyBorder="1"/>
    <xf numFmtId="10" fontId="2" fillId="0" borderId="0" xfId="2" applyNumberFormat="1" applyFont="1" applyFill="1" applyBorder="1"/>
    <xf numFmtId="10" fontId="2" fillId="0" borderId="0" xfId="2" applyNumberFormat="1" applyFont="1" applyBorder="1"/>
    <xf numFmtId="10" fontId="4" fillId="0" borderId="15" xfId="2" applyNumberFormat="1" applyFont="1" applyBorder="1"/>
    <xf numFmtId="10" fontId="4" fillId="0" borderId="0" xfId="2" applyNumberFormat="1" applyFont="1" applyFill="1" applyBorder="1"/>
    <xf numFmtId="0" fontId="2" fillId="0" borderId="15" xfId="0" applyFont="1" applyBorder="1"/>
    <xf numFmtId="0" fontId="2" fillId="0" borderId="16" xfId="0" applyFont="1" applyFill="1" applyBorder="1"/>
    <xf numFmtId="0" fontId="2" fillId="0" borderId="17" xfId="0" applyFont="1" applyFill="1" applyBorder="1"/>
    <xf numFmtId="44" fontId="4" fillId="0" borderId="17" xfId="0" applyNumberFormat="1" applyFont="1" applyFill="1" applyBorder="1"/>
    <xf numFmtId="10" fontId="4" fillId="0" borderId="17" xfId="2" applyNumberFormat="1" applyFont="1" applyFill="1" applyBorder="1"/>
    <xf numFmtId="0" fontId="2" fillId="0" borderId="17" xfId="0" applyFont="1" applyBorder="1"/>
    <xf numFmtId="10" fontId="4" fillId="0" borderId="18" xfId="2" applyNumberFormat="1" applyFont="1" applyBorder="1"/>
    <xf numFmtId="0" fontId="2" fillId="0" borderId="11" xfId="0" applyFont="1" applyBorder="1"/>
    <xf numFmtId="0" fontId="2" fillId="0" borderId="12" xfId="0" applyFont="1" applyBorder="1"/>
    <xf numFmtId="10" fontId="4" fillId="0" borderId="14" xfId="0" applyNumberFormat="1" applyFont="1" applyBorder="1"/>
    <xf numFmtId="10" fontId="4" fillId="0" borderId="0" xfId="0" applyNumberFormat="1" applyFont="1" applyBorder="1"/>
    <xf numFmtId="10" fontId="4" fillId="0" borderId="15" xfId="0" applyNumberFormat="1" applyFont="1" applyBorder="1"/>
    <xf numFmtId="10" fontId="4" fillId="0" borderId="16" xfId="0" applyNumberFormat="1" applyFont="1" applyBorder="1"/>
    <xf numFmtId="10" fontId="4" fillId="0" borderId="17" xfId="0" applyNumberFormat="1" applyFont="1" applyBorder="1"/>
    <xf numFmtId="10" fontId="4" fillId="0" borderId="18" xfId="0" applyNumberFormat="1" applyFont="1" applyBorder="1"/>
    <xf numFmtId="10" fontId="4" fillId="0" borderId="11" xfId="2" applyNumberFormat="1" applyFont="1" applyFill="1" applyBorder="1"/>
    <xf numFmtId="10" fontId="2" fillId="0" borderId="12" xfId="2" applyNumberFormat="1" applyFont="1" applyFill="1" applyBorder="1"/>
    <xf numFmtId="10" fontId="4" fillId="0" borderId="12" xfId="0" applyNumberFormat="1" applyFont="1" applyFill="1" applyBorder="1"/>
    <xf numFmtId="10" fontId="2" fillId="0" borderId="12" xfId="2" applyNumberFormat="1" applyFont="1" applyBorder="1"/>
    <xf numFmtId="10" fontId="4" fillId="0" borderId="13" xfId="2" applyNumberFormat="1" applyFont="1" applyBorder="1"/>
    <xf numFmtId="0" fontId="2" fillId="0" borderId="12" xfId="0" applyFont="1" applyFill="1" applyBorder="1"/>
    <xf numFmtId="10" fontId="4" fillId="0" borderId="11" xfId="0" applyNumberFormat="1" applyFont="1" applyBorder="1"/>
    <xf numFmtId="10" fontId="4" fillId="0" borderId="12" xfId="0" applyNumberFormat="1" applyFont="1" applyBorder="1"/>
    <xf numFmtId="10" fontId="4" fillId="0" borderId="13" xfId="0" applyNumberFormat="1" applyFont="1" applyBorder="1"/>
    <xf numFmtId="0" fontId="2" fillId="0" borderId="14" xfId="0" applyFont="1" applyBorder="1"/>
    <xf numFmtId="0" fontId="2" fillId="0" borderId="16" xfId="0" applyFont="1" applyBorder="1"/>
    <xf numFmtId="44" fontId="2" fillId="0" borderId="14" xfId="1" applyFont="1" applyBorder="1"/>
    <xf numFmtId="44" fontId="2" fillId="0" borderId="14" xfId="0" applyNumberFormat="1" applyFont="1" applyBorder="1"/>
    <xf numFmtId="10" fontId="4" fillId="0" borderId="11" xfId="2" applyNumberFormat="1" applyFont="1" applyBorder="1"/>
    <xf numFmtId="10" fontId="4" fillId="0" borderId="14" xfId="2" applyNumberFormat="1" applyFont="1" applyBorder="1"/>
    <xf numFmtId="0" fontId="3" fillId="0" borderId="23" xfId="0" applyFont="1" applyFill="1" applyBorder="1" applyAlignment="1">
      <alignment horizontal="center"/>
    </xf>
    <xf numFmtId="44" fontId="4" fillId="0" borderId="0" xfId="0" applyNumberFormat="1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  <xf numFmtId="10" fontId="4" fillId="0" borderId="18" xfId="2" applyNumberFormat="1" applyFont="1" applyFill="1" applyBorder="1"/>
    <xf numFmtId="44" fontId="2" fillId="0" borderId="27" xfId="0" applyNumberFormat="1" applyFont="1" applyFill="1" applyBorder="1"/>
    <xf numFmtId="44" fontId="2" fillId="0" borderId="28" xfId="0" applyNumberFormat="1" applyFont="1" applyFill="1" applyBorder="1"/>
    <xf numFmtId="44" fontId="2" fillId="0" borderId="28" xfId="1" applyFont="1" applyFill="1" applyBorder="1"/>
    <xf numFmtId="10" fontId="4" fillId="0" borderId="29" xfId="0" applyNumberFormat="1" applyFont="1" applyFill="1" applyBorder="1"/>
    <xf numFmtId="10" fontId="4" fillId="0" borderId="28" xfId="2" applyNumberFormat="1" applyFont="1" applyFill="1" applyBorder="1"/>
    <xf numFmtId="0" fontId="2" fillId="0" borderId="28" xfId="0" applyFont="1" applyFill="1" applyBorder="1"/>
    <xf numFmtId="10" fontId="4" fillId="0" borderId="30" xfId="2" applyNumberFormat="1" applyFont="1" applyFill="1" applyBorder="1"/>
    <xf numFmtId="10" fontId="4" fillId="0" borderId="12" xfId="2" applyNumberFormat="1" applyFont="1" applyFill="1" applyBorder="1"/>
    <xf numFmtId="44" fontId="2" fillId="0" borderId="13" xfId="1" applyFont="1" applyFill="1" applyBorder="1"/>
    <xf numFmtId="0" fontId="2" fillId="0" borderId="24" xfId="0" applyFont="1" applyBorder="1"/>
    <xf numFmtId="44" fontId="2" fillId="0" borderId="18" xfId="0" applyNumberFormat="1" applyFont="1" applyBorder="1"/>
    <xf numFmtId="44" fontId="2" fillId="0" borderId="31" xfId="1" applyFont="1" applyBorder="1"/>
    <xf numFmtId="44" fontId="2" fillId="0" borderId="16" xfId="1" applyFont="1" applyFill="1" applyBorder="1"/>
    <xf numFmtId="10" fontId="4" fillId="0" borderId="16" xfId="2" applyNumberFormat="1" applyFont="1" applyBorder="1"/>
    <xf numFmtId="0" fontId="4" fillId="2" borderId="2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0" borderId="10" xfId="0" applyFont="1" applyBorder="1"/>
    <xf numFmtId="164" fontId="2" fillId="0" borderId="10" xfId="3" applyNumberFormat="1" applyFont="1" applyBorder="1"/>
    <xf numFmtId="165" fontId="2" fillId="0" borderId="10" xfId="0" applyNumberFormat="1" applyFont="1" applyBorder="1"/>
    <xf numFmtId="0" fontId="2" fillId="0" borderId="10" xfId="0" applyFont="1" applyBorder="1" applyAlignment="1">
      <alignment horizontal="right"/>
    </xf>
    <xf numFmtId="0" fontId="4" fillId="2" borderId="7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2"/>
  <sheetViews>
    <sheetView tabSelected="1" zoomScaleNormal="100" workbookViewId="0">
      <selection activeCell="B11" sqref="B11"/>
    </sheetView>
  </sheetViews>
  <sheetFormatPr defaultColWidth="9.140625" defaultRowHeight="12.75" x14ac:dyDescent="0.2"/>
  <cols>
    <col min="1" max="1" width="3.28515625" style="1" customWidth="1"/>
    <col min="2" max="2" width="34.5703125" style="1" customWidth="1"/>
    <col min="3" max="3" width="4.5703125" style="1" customWidth="1"/>
    <col min="4" max="16" width="10.5703125" style="1" customWidth="1"/>
    <col min="17" max="17" width="11.140625" style="1" customWidth="1"/>
    <col min="18" max="21" width="11.28515625" style="1" customWidth="1"/>
    <col min="22" max="16384" width="9.140625" style="1"/>
  </cols>
  <sheetData>
    <row r="1" spans="1:22" ht="30.75" customHeight="1" x14ac:dyDescent="0.2">
      <c r="D1" s="101" t="s">
        <v>0</v>
      </c>
      <c r="E1" s="102"/>
      <c r="F1" s="102"/>
      <c r="G1" s="102"/>
      <c r="H1" s="102"/>
      <c r="I1" s="103"/>
      <c r="J1" s="62"/>
      <c r="K1" s="101" t="s">
        <v>11</v>
      </c>
      <c r="L1" s="102"/>
      <c r="M1" s="102"/>
      <c r="N1" s="102"/>
      <c r="O1" s="102"/>
      <c r="P1" s="103"/>
      <c r="R1" s="97" t="s">
        <v>22</v>
      </c>
      <c r="S1" s="98"/>
      <c r="T1" s="99" t="s">
        <v>23</v>
      </c>
      <c r="U1" s="100"/>
      <c r="V1" s="6"/>
    </row>
    <row r="2" spans="1:22" ht="27" customHeight="1" thickBot="1" x14ac:dyDescent="0.25">
      <c r="A2" s="10"/>
      <c r="B2" s="2"/>
      <c r="C2" s="14" t="s">
        <v>44</v>
      </c>
      <c r="D2" s="3">
        <v>2015</v>
      </c>
      <c r="E2" s="4">
        <v>2016</v>
      </c>
      <c r="F2" s="4">
        <v>2017</v>
      </c>
      <c r="G2" s="4">
        <v>2018</v>
      </c>
      <c r="H2" s="4">
        <v>2019</v>
      </c>
      <c r="I2" s="5" t="s">
        <v>10</v>
      </c>
      <c r="J2" s="68"/>
      <c r="K2" s="3">
        <v>2020</v>
      </c>
      <c r="L2" s="4">
        <v>2021</v>
      </c>
      <c r="M2" s="4">
        <v>2022</v>
      </c>
      <c r="N2" s="4">
        <v>2023</v>
      </c>
      <c r="O2" s="4">
        <v>2024</v>
      </c>
      <c r="P2" s="5" t="s">
        <v>10</v>
      </c>
      <c r="Q2" s="2"/>
      <c r="R2" s="64" t="s">
        <v>24</v>
      </c>
      <c r="S2" s="65" t="s">
        <v>25</v>
      </c>
      <c r="T2" s="66" t="s">
        <v>24</v>
      </c>
      <c r="U2" s="67" t="s">
        <v>25</v>
      </c>
      <c r="V2" s="12"/>
    </row>
    <row r="3" spans="1:22" x14ac:dyDescent="0.2">
      <c r="A3" s="10"/>
      <c r="B3" s="1" t="s">
        <v>1</v>
      </c>
      <c r="C3" s="1">
        <v>1</v>
      </c>
      <c r="D3" s="17">
        <v>3232</v>
      </c>
      <c r="E3" s="18">
        <v>3575.2</v>
      </c>
      <c r="F3" s="18">
        <v>3890.2</v>
      </c>
      <c r="G3" s="18">
        <v>4075.3</v>
      </c>
      <c r="H3" s="18">
        <v>4253.8</v>
      </c>
      <c r="I3" s="70"/>
      <c r="J3" s="19"/>
      <c r="K3" s="58">
        <v>4615.3</v>
      </c>
      <c r="L3" s="20">
        <v>4829</v>
      </c>
      <c r="M3" s="20">
        <v>5081.6000000000004</v>
      </c>
      <c r="N3" s="20">
        <v>5374.5</v>
      </c>
      <c r="O3" s="20">
        <v>5650</v>
      </c>
      <c r="P3" s="32"/>
      <c r="Q3" s="6"/>
      <c r="R3" s="56"/>
      <c r="S3" s="22"/>
      <c r="T3" s="56"/>
      <c r="U3" s="32"/>
    </row>
    <row r="4" spans="1:22" x14ac:dyDescent="0.2">
      <c r="A4" s="10"/>
      <c r="B4" s="1" t="s">
        <v>109</v>
      </c>
      <c r="C4" s="1">
        <v>2</v>
      </c>
      <c r="D4" s="17">
        <v>430.5</v>
      </c>
      <c r="E4" s="18">
        <v>456.3</v>
      </c>
      <c r="F4" s="18">
        <v>506.6</v>
      </c>
      <c r="G4" s="18">
        <v>549.5</v>
      </c>
      <c r="H4" s="18">
        <v>583.20000000000005</v>
      </c>
      <c r="I4" s="71">
        <f>SUM(D4:H4)</f>
        <v>2526.1000000000004</v>
      </c>
      <c r="J4" s="19"/>
      <c r="K4" s="58">
        <v>567</v>
      </c>
      <c r="L4" s="20">
        <v>594.29999999999995</v>
      </c>
      <c r="M4" s="20">
        <v>616</v>
      </c>
      <c r="N4" s="20">
        <v>653.6</v>
      </c>
      <c r="O4" s="20">
        <v>690.3</v>
      </c>
      <c r="P4" s="21">
        <f>SUM(K4:O4)</f>
        <v>3121.2</v>
      </c>
      <c r="Q4" s="6"/>
      <c r="R4" s="41"/>
      <c r="S4" s="42"/>
      <c r="T4" s="41"/>
      <c r="U4" s="43"/>
    </row>
    <row r="5" spans="1:22" x14ac:dyDescent="0.2">
      <c r="A5" s="10"/>
      <c r="B5" s="1" t="s">
        <v>9</v>
      </c>
      <c r="C5" s="1">
        <v>3</v>
      </c>
      <c r="D5" s="17"/>
      <c r="E5" s="18">
        <v>-2.6</v>
      </c>
      <c r="F5" s="18">
        <v>-5.4</v>
      </c>
      <c r="G5" s="18">
        <v>-8.4</v>
      </c>
      <c r="H5" s="18">
        <v>-11.7</v>
      </c>
      <c r="I5" s="71">
        <f>SUM(D5:H5)</f>
        <v>-28.099999999999998</v>
      </c>
      <c r="J5" s="19"/>
      <c r="K5" s="56"/>
      <c r="L5" s="23">
        <f>K4*-0.003</f>
        <v>-1.7010000000000001</v>
      </c>
      <c r="M5" s="23">
        <f>(L4*-0.003)+L5</f>
        <v>-3.4839000000000002</v>
      </c>
      <c r="N5" s="23">
        <f>(M4*-0.003)+M5</f>
        <v>-5.3319000000000001</v>
      </c>
      <c r="O5" s="23">
        <f>(N4*-0.003)+N5</f>
        <v>-7.2927</v>
      </c>
      <c r="P5" s="21">
        <f>SUM(L5:O5)</f>
        <v>-17.8095</v>
      </c>
      <c r="Q5" s="6"/>
      <c r="R5" s="41"/>
      <c r="S5" s="42"/>
      <c r="T5" s="41"/>
      <c r="U5" s="43"/>
    </row>
    <row r="6" spans="1:22" x14ac:dyDescent="0.2">
      <c r="A6" s="10"/>
      <c r="B6" s="1" t="s">
        <v>13</v>
      </c>
      <c r="C6" s="1">
        <v>4</v>
      </c>
      <c r="D6" s="17">
        <v>430.5</v>
      </c>
      <c r="E6" s="18">
        <v>453.7</v>
      </c>
      <c r="F6" s="18">
        <v>501.2</v>
      </c>
      <c r="G6" s="18">
        <v>541</v>
      </c>
      <c r="H6" s="18">
        <v>571.5</v>
      </c>
      <c r="I6" s="71">
        <f>SUM(D6:H6)</f>
        <v>2497.9</v>
      </c>
      <c r="J6" s="19"/>
      <c r="K6" s="59">
        <f>K4+K5</f>
        <v>567</v>
      </c>
      <c r="L6" s="23">
        <f t="shared" ref="L6:P6" si="0">L4+L5</f>
        <v>592.59899999999993</v>
      </c>
      <c r="M6" s="23">
        <f t="shared" si="0"/>
        <v>612.51610000000005</v>
      </c>
      <c r="N6" s="23">
        <f t="shared" si="0"/>
        <v>648.2681</v>
      </c>
      <c r="O6" s="23">
        <f t="shared" si="0"/>
        <v>683.00729999999999</v>
      </c>
      <c r="P6" s="21">
        <f t="shared" si="0"/>
        <v>3103.3905</v>
      </c>
      <c r="Q6" s="6"/>
      <c r="R6" s="41"/>
      <c r="S6" s="42"/>
      <c r="T6" s="41"/>
      <c r="U6" s="43"/>
    </row>
    <row r="7" spans="1:22" x14ac:dyDescent="0.2">
      <c r="A7" s="10"/>
      <c r="B7" s="1" t="s">
        <v>110</v>
      </c>
      <c r="C7" s="1">
        <v>5</v>
      </c>
      <c r="D7" s="17">
        <f>206.02</f>
        <v>206.02</v>
      </c>
      <c r="E7" s="18">
        <f>218.8</f>
        <v>218.8</v>
      </c>
      <c r="F7" s="18">
        <f>242.2</f>
        <v>242.2</v>
      </c>
      <c r="G7" s="18">
        <f>257.7</f>
        <v>257.7</v>
      </c>
      <c r="H7" s="18">
        <f>275</f>
        <v>275</v>
      </c>
      <c r="I7" s="71">
        <f>SUM(D7:H7)</f>
        <v>1199.72</v>
      </c>
      <c r="J7" s="19"/>
      <c r="K7" s="58">
        <v>268.7</v>
      </c>
      <c r="L7" s="20">
        <v>281.89999999999998</v>
      </c>
      <c r="M7" s="20">
        <v>293</v>
      </c>
      <c r="N7" s="20">
        <v>310.89999999999998</v>
      </c>
      <c r="O7" s="20">
        <v>325.39999999999998</v>
      </c>
      <c r="P7" s="24">
        <f>SUM(K7:O7)</f>
        <v>1479.9</v>
      </c>
      <c r="Q7" s="6"/>
      <c r="R7" s="41"/>
      <c r="S7" s="42"/>
      <c r="T7" s="41"/>
      <c r="U7" s="43"/>
    </row>
    <row r="8" spans="1:22" x14ac:dyDescent="0.2">
      <c r="A8" s="10"/>
      <c r="B8" s="1" t="s">
        <v>3</v>
      </c>
      <c r="C8" s="1">
        <v>6</v>
      </c>
      <c r="D8" s="25"/>
      <c r="E8" s="19">
        <f>D7*-0.006</f>
        <v>-1.2361200000000001</v>
      </c>
      <c r="F8" s="19">
        <f>(E7*-0.006)+E8</f>
        <v>-2.5489200000000003</v>
      </c>
      <c r="G8" s="19">
        <f>(F7*-0.006)+F8</f>
        <v>-4.0021200000000006</v>
      </c>
      <c r="H8" s="19">
        <f>(G7*-0.006)+G8</f>
        <v>-5.5483200000000004</v>
      </c>
      <c r="I8" s="71">
        <f>SUM(E8:H8)</f>
        <v>-13.33548</v>
      </c>
      <c r="J8" s="19"/>
      <c r="K8" s="56"/>
      <c r="L8" s="23">
        <f>K7*-0.003</f>
        <v>-0.80609999999999993</v>
      </c>
      <c r="M8" s="23">
        <f>(L7*-0.003)+L8</f>
        <v>-1.6517999999999997</v>
      </c>
      <c r="N8" s="23">
        <f>(M7*-0.003)+M8</f>
        <v>-2.5307999999999997</v>
      </c>
      <c r="O8" s="23">
        <f>(N7*-0.003)+N8</f>
        <v>-3.4634999999999998</v>
      </c>
      <c r="P8" s="21">
        <f>SUM(L8:O8)</f>
        <v>-8.4521999999999995</v>
      </c>
      <c r="Q8" s="6"/>
      <c r="R8" s="41"/>
      <c r="S8" s="42"/>
      <c r="T8" s="41"/>
      <c r="U8" s="43"/>
    </row>
    <row r="9" spans="1:22" x14ac:dyDescent="0.2">
      <c r="A9" s="10"/>
      <c r="B9" s="1" t="s">
        <v>111</v>
      </c>
      <c r="C9" s="1">
        <v>7</v>
      </c>
      <c r="D9" s="26">
        <f>D7+D8</f>
        <v>206.02</v>
      </c>
      <c r="E9" s="19">
        <f t="shared" ref="E9:I9" si="1">E7+E8</f>
        <v>217.56388000000001</v>
      </c>
      <c r="F9" s="19">
        <f t="shared" si="1"/>
        <v>239.65107999999998</v>
      </c>
      <c r="G9" s="19">
        <f t="shared" si="1"/>
        <v>253.69788</v>
      </c>
      <c r="H9" s="19">
        <f t="shared" si="1"/>
        <v>269.45168000000001</v>
      </c>
      <c r="I9" s="71">
        <f t="shared" si="1"/>
        <v>1186.3845200000001</v>
      </c>
      <c r="J9" s="19"/>
      <c r="K9" s="59">
        <f>K7+K8</f>
        <v>268.7</v>
      </c>
      <c r="L9" s="23">
        <f t="shared" ref="L9:P9" si="2">L7+L8</f>
        <v>281.09389999999996</v>
      </c>
      <c r="M9" s="23">
        <f t="shared" si="2"/>
        <v>291.34820000000002</v>
      </c>
      <c r="N9" s="23">
        <f t="shared" si="2"/>
        <v>308.36919999999998</v>
      </c>
      <c r="O9" s="23">
        <f t="shared" si="2"/>
        <v>321.93649999999997</v>
      </c>
      <c r="P9" s="21">
        <f t="shared" si="2"/>
        <v>1471.4478000000001</v>
      </c>
      <c r="Q9" s="6"/>
      <c r="R9" s="41"/>
      <c r="S9" s="42"/>
      <c r="T9" s="41"/>
      <c r="U9" s="43"/>
    </row>
    <row r="10" spans="1:22" x14ac:dyDescent="0.2">
      <c r="A10" s="10"/>
      <c r="B10" s="1" t="s">
        <v>14</v>
      </c>
      <c r="C10" s="1">
        <v>8</v>
      </c>
      <c r="D10" s="17">
        <v>633.1</v>
      </c>
      <c r="E10" s="18">
        <v>657.3</v>
      </c>
      <c r="F10" s="18">
        <v>705.1</v>
      </c>
      <c r="G10" s="18">
        <v>743.3</v>
      </c>
      <c r="H10" s="18">
        <v>772.5</v>
      </c>
      <c r="I10" s="72">
        <f>SUM(D10:H10)</f>
        <v>3511.3</v>
      </c>
      <c r="J10" s="18"/>
      <c r="K10" s="58">
        <v>796.8</v>
      </c>
      <c r="L10" s="20">
        <v>822.8</v>
      </c>
      <c r="M10" s="20">
        <v>843</v>
      </c>
      <c r="N10" s="20">
        <v>878.8</v>
      </c>
      <c r="O10" s="20">
        <v>913.3</v>
      </c>
      <c r="P10" s="24">
        <f>SUM(K10:O10)</f>
        <v>4254.7</v>
      </c>
      <c r="Q10" s="6"/>
      <c r="R10" s="41"/>
      <c r="S10" s="42"/>
      <c r="T10" s="41"/>
      <c r="U10" s="43"/>
    </row>
    <row r="11" spans="1:22" x14ac:dyDescent="0.2">
      <c r="A11" s="10"/>
      <c r="B11" s="1" t="s">
        <v>12</v>
      </c>
      <c r="C11" s="1">
        <v>9</v>
      </c>
      <c r="D11" s="17">
        <v>478</v>
      </c>
      <c r="E11" s="18">
        <v>466.9</v>
      </c>
      <c r="F11" s="18">
        <v>420.6</v>
      </c>
      <c r="G11" s="18">
        <v>423</v>
      </c>
      <c r="H11" s="18">
        <v>451.9</v>
      </c>
      <c r="I11" s="71">
        <f>SUM(D11:H11)</f>
        <v>2240.4</v>
      </c>
      <c r="J11" s="19"/>
      <c r="K11" s="58">
        <v>518.4</v>
      </c>
      <c r="L11" s="20">
        <v>581.79999999999995</v>
      </c>
      <c r="M11" s="20">
        <v>587.1</v>
      </c>
      <c r="N11" s="20">
        <v>565.70000000000005</v>
      </c>
      <c r="O11" s="20">
        <v>574.4</v>
      </c>
      <c r="P11" s="24">
        <f>SUM(K11:O11)</f>
        <v>2827.4</v>
      </c>
      <c r="Q11" s="6"/>
      <c r="R11" s="41"/>
      <c r="S11" s="42"/>
      <c r="T11" s="41"/>
      <c r="U11" s="43"/>
    </row>
    <row r="12" spans="1:22" x14ac:dyDescent="0.2">
      <c r="A12" s="10"/>
      <c r="B12" s="39" t="s">
        <v>6</v>
      </c>
      <c r="C12" s="40">
        <v>10</v>
      </c>
      <c r="D12" s="47">
        <f>D11/D3</f>
        <v>0.14789603960396039</v>
      </c>
      <c r="E12" s="48">
        <f>E11/E3</f>
        <v>0.13059409263817409</v>
      </c>
      <c r="F12" s="48">
        <f>F11/F3</f>
        <v>0.10811783455863452</v>
      </c>
      <c r="G12" s="48">
        <f>G11/G3</f>
        <v>0.10379603955537015</v>
      </c>
      <c r="H12" s="48">
        <f>H11/H3</f>
        <v>0.10623442568997131</v>
      </c>
      <c r="I12" s="73">
        <f>AVERAGE(D12:H12)</f>
        <v>0.11932768640922209</v>
      </c>
      <c r="J12" s="49"/>
      <c r="K12" s="60">
        <f>K11/K3</f>
        <v>0.11232205923775268</v>
      </c>
      <c r="L12" s="50">
        <f t="shared" ref="L12:O12" si="3">L11/L3</f>
        <v>0.1204804307310002</v>
      </c>
      <c r="M12" s="50">
        <f t="shared" si="3"/>
        <v>0.11553447732997481</v>
      </c>
      <c r="N12" s="50">
        <f t="shared" si="3"/>
        <v>0.10525630291189879</v>
      </c>
      <c r="O12" s="50">
        <f t="shared" si="3"/>
        <v>0.10166371681415928</v>
      </c>
      <c r="P12" s="51">
        <f>AVERAGE(K12:O12)</f>
        <v>0.11105139740495715</v>
      </c>
      <c r="Q12" s="52"/>
      <c r="R12" s="53">
        <f>K12-D12</f>
        <v>-3.5573980366207708E-2</v>
      </c>
      <c r="S12" s="54">
        <f>R12/D12</f>
        <v>-0.24053369151377263</v>
      </c>
      <c r="T12" s="53">
        <f>P12-I12</f>
        <v>-8.2762890042649417E-3</v>
      </c>
      <c r="U12" s="55">
        <f>T12/I12</f>
        <v>-6.9357659176280811E-2</v>
      </c>
    </row>
    <row r="13" spans="1:22" x14ac:dyDescent="0.2">
      <c r="A13" s="10"/>
      <c r="B13" s="56" t="s">
        <v>7</v>
      </c>
      <c r="C13" s="22">
        <v>11</v>
      </c>
      <c r="D13" s="27">
        <f>D9/D11</f>
        <v>0.43100418410041841</v>
      </c>
      <c r="E13" s="28">
        <f t="shared" ref="E13:H13" si="4">E9/E11</f>
        <v>0.46597532662240315</v>
      </c>
      <c r="F13" s="28">
        <f t="shared" si="4"/>
        <v>0.56978383262006649</v>
      </c>
      <c r="G13" s="28">
        <f t="shared" si="4"/>
        <v>0.59975858156028372</v>
      </c>
      <c r="H13" s="28">
        <f t="shared" si="4"/>
        <v>0.59626395220181461</v>
      </c>
      <c r="I13" s="74">
        <f>I9/I11</f>
        <v>0.5295413854668809</v>
      </c>
      <c r="J13" s="31"/>
      <c r="K13" s="61">
        <f>K9/K11</f>
        <v>0.51832561728395066</v>
      </c>
      <c r="L13" s="29">
        <f t="shared" ref="L13:P13" si="5">L9/L11</f>
        <v>0.48314523891371602</v>
      </c>
      <c r="M13" s="29">
        <f t="shared" si="5"/>
        <v>0.49624970192471474</v>
      </c>
      <c r="N13" s="29">
        <f t="shared" si="5"/>
        <v>0.54511083613222544</v>
      </c>
      <c r="O13" s="29">
        <f t="shared" si="5"/>
        <v>0.56047440807799442</v>
      </c>
      <c r="P13" s="30">
        <f t="shared" si="5"/>
        <v>0.5204243474570277</v>
      </c>
      <c r="Q13" s="13"/>
      <c r="R13" s="41">
        <f>K13-D13</f>
        <v>8.7321433183532249E-2</v>
      </c>
      <c r="S13" s="42">
        <f>R13/D13</f>
        <v>0.20259996632233965</v>
      </c>
      <c r="T13" s="41">
        <f>P13-I13</f>
        <v>-9.1170380098531956E-3</v>
      </c>
      <c r="U13" s="43">
        <f>T13/I13</f>
        <v>-1.7216856434771333E-2</v>
      </c>
    </row>
    <row r="14" spans="1:22" x14ac:dyDescent="0.2">
      <c r="A14" s="10"/>
      <c r="B14" s="56" t="s">
        <v>36</v>
      </c>
      <c r="C14" s="22"/>
      <c r="D14" s="25"/>
      <c r="E14" s="28">
        <f>(E11-D11)/D11</f>
        <v>-2.3221757322175778E-2</v>
      </c>
      <c r="F14" s="28">
        <f t="shared" ref="F14:H14" si="6">(F11-E11)/E11</f>
        <v>-9.9164703362604315E-2</v>
      </c>
      <c r="G14" s="28">
        <f t="shared" si="6"/>
        <v>5.7061340941511581E-3</v>
      </c>
      <c r="H14" s="28">
        <f t="shared" si="6"/>
        <v>6.8321513002364012E-2</v>
      </c>
      <c r="I14" s="75"/>
      <c r="J14" s="13"/>
      <c r="K14" s="56"/>
      <c r="L14" s="29">
        <f>(L11-K11)/K11</f>
        <v>0.12229938271604934</v>
      </c>
      <c r="M14" s="29">
        <f t="shared" ref="M14:O14" si="7">(M11-L11)/L11</f>
        <v>9.1096596768650197E-3</v>
      </c>
      <c r="N14" s="29">
        <f t="shared" si="7"/>
        <v>-3.6450349173905598E-2</v>
      </c>
      <c r="O14" s="29">
        <f t="shared" si="7"/>
        <v>1.5379176241824166E-2</v>
      </c>
      <c r="P14" s="32"/>
      <c r="Q14" s="22"/>
      <c r="R14" s="41"/>
      <c r="S14" s="42"/>
      <c r="T14" s="41"/>
      <c r="U14" s="43"/>
    </row>
    <row r="15" spans="1:22" x14ac:dyDescent="0.2">
      <c r="A15" s="10"/>
      <c r="B15" s="57" t="s">
        <v>8</v>
      </c>
      <c r="C15" s="37">
        <v>12</v>
      </c>
      <c r="D15" s="33"/>
      <c r="E15" s="34"/>
      <c r="F15" s="34"/>
      <c r="G15" s="34"/>
      <c r="H15" s="35"/>
      <c r="I15" s="76">
        <f>(H3-D3)/D3</f>
        <v>0.31615099009900993</v>
      </c>
      <c r="J15" s="36"/>
      <c r="K15" s="57"/>
      <c r="L15" s="37"/>
      <c r="M15" s="37"/>
      <c r="N15" s="37"/>
      <c r="O15" s="37"/>
      <c r="P15" s="38">
        <f>(O3-K3)/K3</f>
        <v>0.22418911013368573</v>
      </c>
      <c r="Q15" s="37"/>
      <c r="R15" s="44"/>
      <c r="S15" s="45"/>
      <c r="T15" s="44">
        <f>P15-I15</f>
        <v>-9.1961879965324206E-2</v>
      </c>
      <c r="U15" s="46">
        <f>T15/I15</f>
        <v>-0.29087962032484616</v>
      </c>
    </row>
    <row r="16" spans="1:22" ht="13.5" thickBot="1" x14ac:dyDescent="0.25">
      <c r="D16" s="6"/>
      <c r="E16" s="6"/>
      <c r="F16" s="6"/>
      <c r="G16" s="6"/>
      <c r="H16" s="6"/>
      <c r="I16" s="6"/>
      <c r="J16" s="6"/>
    </row>
    <row r="17" spans="2:19" x14ac:dyDescent="0.2">
      <c r="D17" s="101" t="s">
        <v>18</v>
      </c>
      <c r="E17" s="102"/>
      <c r="F17" s="102"/>
      <c r="G17" s="102"/>
      <c r="H17" s="102"/>
      <c r="I17" s="103"/>
      <c r="J17" s="62"/>
      <c r="K17" s="101" t="s">
        <v>19</v>
      </c>
      <c r="L17" s="102"/>
      <c r="M17" s="102"/>
      <c r="N17" s="102"/>
      <c r="O17" s="102"/>
      <c r="P17" s="103"/>
    </row>
    <row r="18" spans="2:19" ht="26.25" thickBot="1" x14ac:dyDescent="0.25">
      <c r="D18" s="3">
        <v>2015</v>
      </c>
      <c r="E18" s="4">
        <v>2016</v>
      </c>
      <c r="F18" s="4">
        <v>2017</v>
      </c>
      <c r="G18" s="4">
        <v>2018</v>
      </c>
      <c r="H18" s="4">
        <v>2019</v>
      </c>
      <c r="I18" s="5" t="s">
        <v>10</v>
      </c>
      <c r="J18" s="68"/>
      <c r="K18" s="3">
        <v>2020</v>
      </c>
      <c r="L18" s="4">
        <v>2021</v>
      </c>
      <c r="M18" s="4">
        <v>2022</v>
      </c>
      <c r="N18" s="4">
        <v>2023</v>
      </c>
      <c r="O18" s="4">
        <v>2024</v>
      </c>
      <c r="P18" s="5" t="s">
        <v>10</v>
      </c>
    </row>
    <row r="19" spans="2:19" x14ac:dyDescent="0.2">
      <c r="B19" s="1" t="s">
        <v>1</v>
      </c>
      <c r="C19" s="1">
        <v>13</v>
      </c>
      <c r="D19" s="81">
        <v>3232</v>
      </c>
      <c r="I19" s="79"/>
      <c r="K19" s="81">
        <v>4615.3</v>
      </c>
      <c r="Q19" s="56"/>
    </row>
    <row r="20" spans="2:19" x14ac:dyDescent="0.2">
      <c r="B20" s="1" t="s">
        <v>2</v>
      </c>
      <c r="C20" s="1">
        <v>14</v>
      </c>
      <c r="D20" s="58">
        <f>D6</f>
        <v>430.5</v>
      </c>
      <c r="E20" s="8">
        <f>D20*G107</f>
        <v>436.95749999999998</v>
      </c>
      <c r="F20" s="8">
        <f>E20*G108</f>
        <v>442.63794749999994</v>
      </c>
      <c r="G20" s="8">
        <f>F20*G109</f>
        <v>445.29377518499996</v>
      </c>
      <c r="H20" s="8">
        <f>G20*G110</f>
        <v>449.30141916166491</v>
      </c>
      <c r="I20" s="24">
        <f>SUM(D20:H20)</f>
        <v>2204.6906418466647</v>
      </c>
      <c r="J20" s="8"/>
      <c r="K20" s="58">
        <f>K6</f>
        <v>567</v>
      </c>
      <c r="L20" s="8">
        <f>K20*G111</f>
        <v>572.10300000000007</v>
      </c>
      <c r="M20" s="8">
        <f>L20*G111</f>
        <v>577.25192700000014</v>
      </c>
      <c r="N20" s="8">
        <f>M20*G111</f>
        <v>582.44719434300021</v>
      </c>
      <c r="O20" s="8">
        <f>N20*G111</f>
        <v>587.68921909208723</v>
      </c>
      <c r="P20" s="8">
        <f>SUM(K20:O20)</f>
        <v>2886.4913404350877</v>
      </c>
      <c r="Q20" s="56"/>
    </row>
    <row r="21" spans="2:19" x14ac:dyDescent="0.2">
      <c r="B21" s="1" t="s">
        <v>4</v>
      </c>
      <c r="C21" s="1">
        <v>15</v>
      </c>
      <c r="D21" s="58">
        <f>D9</f>
        <v>206.02</v>
      </c>
      <c r="E21" s="8">
        <f>D21*G107</f>
        <v>209.1103</v>
      </c>
      <c r="F21" s="8">
        <f>E21*G108</f>
        <v>211.82873389999997</v>
      </c>
      <c r="G21" s="8">
        <f>F21*G109</f>
        <v>213.09970630339998</v>
      </c>
      <c r="H21" s="8">
        <f>G21*G110</f>
        <v>215.01760366013056</v>
      </c>
      <c r="I21" s="24">
        <f>SUM(D21:H21)</f>
        <v>1055.0763438635306</v>
      </c>
      <c r="J21" s="8"/>
      <c r="K21" s="58">
        <f>K9</f>
        <v>268.7</v>
      </c>
      <c r="L21" s="8">
        <f>K21*G111</f>
        <v>271.11830000000003</v>
      </c>
      <c r="M21" s="8">
        <f>L21*G111</f>
        <v>273.55836470000008</v>
      </c>
      <c r="N21" s="8">
        <f>M21*G111</f>
        <v>276.02038998230012</v>
      </c>
      <c r="O21" s="8">
        <f>N21*G111</f>
        <v>278.50457349214088</v>
      </c>
      <c r="P21" s="8">
        <f>SUM(K21:O21)</f>
        <v>1367.9016281744412</v>
      </c>
      <c r="Q21" s="56"/>
    </row>
    <row r="22" spans="2:19" x14ac:dyDescent="0.2">
      <c r="B22" s="1" t="s">
        <v>5</v>
      </c>
      <c r="C22" s="1">
        <v>16</v>
      </c>
      <c r="D22" s="58">
        <v>633.1</v>
      </c>
      <c r="E22" s="8">
        <v>642.6</v>
      </c>
      <c r="F22" s="8">
        <v>651</v>
      </c>
      <c r="G22" s="8">
        <v>654.9</v>
      </c>
      <c r="H22" s="8">
        <v>660.7</v>
      </c>
      <c r="I22" s="24">
        <f>SUM(D22:H22)</f>
        <v>3242.3</v>
      </c>
      <c r="J22" s="8"/>
      <c r="K22" s="58">
        <v>796.8</v>
      </c>
      <c r="L22" s="8">
        <v>804</v>
      </c>
      <c r="M22" s="8">
        <v>811.2</v>
      </c>
      <c r="N22" s="8">
        <v>818.5</v>
      </c>
      <c r="O22" s="8">
        <v>825.9</v>
      </c>
      <c r="P22" s="8">
        <f>SUM(K22:O22)</f>
        <v>4056.4</v>
      </c>
      <c r="Q22" s="56"/>
    </row>
    <row r="23" spans="2:19" x14ac:dyDescent="0.2">
      <c r="B23" s="1" t="s">
        <v>15</v>
      </c>
      <c r="C23" s="1">
        <v>17</v>
      </c>
      <c r="D23" s="82">
        <v>478</v>
      </c>
      <c r="E23" s="7">
        <v>466.9</v>
      </c>
      <c r="F23" s="7">
        <v>420.6</v>
      </c>
      <c r="G23" s="7">
        <v>423</v>
      </c>
      <c r="H23" s="7">
        <v>451.9</v>
      </c>
      <c r="I23" s="80">
        <f>SUM(D23:H23)</f>
        <v>2240.4</v>
      </c>
      <c r="J23" s="9"/>
      <c r="K23" s="58">
        <v>518.4</v>
      </c>
      <c r="L23" s="8">
        <v>581.79999999999995</v>
      </c>
      <c r="M23" s="8">
        <v>587.1</v>
      </c>
      <c r="N23" s="8">
        <v>565.70000000000005</v>
      </c>
      <c r="O23" s="8">
        <v>574.4</v>
      </c>
      <c r="P23" s="8">
        <f>SUM(K23:O23)</f>
        <v>2827.4</v>
      </c>
      <c r="Q23" s="56"/>
    </row>
    <row r="24" spans="2:19" x14ac:dyDescent="0.2">
      <c r="B24" s="39" t="s">
        <v>16</v>
      </c>
      <c r="C24" s="40">
        <v>18</v>
      </c>
      <c r="D24" s="77">
        <f>D23/D19</f>
        <v>0.14789603960396039</v>
      </c>
      <c r="E24" s="16"/>
      <c r="F24" s="16"/>
      <c r="G24" s="16"/>
      <c r="H24" s="16"/>
      <c r="I24" s="16"/>
      <c r="J24" s="15"/>
      <c r="K24" s="47">
        <f>K23/K19</f>
        <v>0.11232205923775268</v>
      </c>
      <c r="L24" s="16"/>
      <c r="M24" s="16"/>
      <c r="N24" s="16"/>
      <c r="O24" s="16"/>
      <c r="P24" s="78"/>
    </row>
    <row r="25" spans="2:19" x14ac:dyDescent="0.2">
      <c r="B25" s="57" t="s">
        <v>17</v>
      </c>
      <c r="C25" s="37">
        <v>19</v>
      </c>
      <c r="D25" s="36">
        <f>D21/D23</f>
        <v>0.43100418410041841</v>
      </c>
      <c r="E25" s="36">
        <f t="shared" ref="E25:H25" si="8">E21/E23</f>
        <v>0.4478695652173913</v>
      </c>
      <c r="F25" s="36">
        <f t="shared" si="8"/>
        <v>0.50363465026153109</v>
      </c>
      <c r="G25" s="36">
        <f t="shared" si="8"/>
        <v>0.50378181159196211</v>
      </c>
      <c r="H25" s="36">
        <f t="shared" si="8"/>
        <v>0.47580793020608669</v>
      </c>
      <c r="I25" s="36">
        <f>AVERAGE(D25:H25)</f>
        <v>0.4724196282754779</v>
      </c>
      <c r="J25" s="76"/>
      <c r="K25" s="36">
        <f>K21/K23</f>
        <v>0.51832561728395066</v>
      </c>
      <c r="L25" s="36">
        <f t="shared" ref="L25:O25" si="9">L21/L23</f>
        <v>0.46599914059814379</v>
      </c>
      <c r="M25" s="36">
        <f t="shared" si="9"/>
        <v>0.46594850059615067</v>
      </c>
      <c r="N25" s="36">
        <f t="shared" si="9"/>
        <v>0.48792715216952465</v>
      </c>
      <c r="O25" s="36">
        <f t="shared" si="9"/>
        <v>0.48486172265344862</v>
      </c>
      <c r="P25" s="69">
        <f>AVERAGE(K25:O25)</f>
        <v>0.48461242666024368</v>
      </c>
    </row>
    <row r="26" spans="2:19" ht="13.5" thickBot="1" x14ac:dyDescent="0.25"/>
    <row r="27" spans="2:19" ht="26.25" customHeight="1" thickBot="1" x14ac:dyDescent="0.25">
      <c r="D27" s="104" t="s">
        <v>20</v>
      </c>
      <c r="E27" s="105"/>
      <c r="F27" s="105"/>
      <c r="G27" s="105"/>
      <c r="H27" s="105"/>
      <c r="I27" s="105"/>
      <c r="J27" s="106"/>
      <c r="K27" s="104" t="s">
        <v>21</v>
      </c>
      <c r="L27" s="105"/>
      <c r="M27" s="105"/>
      <c r="N27" s="105"/>
      <c r="O27" s="105"/>
      <c r="P27" s="105"/>
      <c r="Q27" s="106"/>
      <c r="R27" s="95" t="s">
        <v>23</v>
      </c>
      <c r="S27" s="96"/>
    </row>
    <row r="28" spans="2:19" ht="51" x14ac:dyDescent="0.2">
      <c r="D28" s="84"/>
      <c r="E28" s="85"/>
      <c r="F28" s="85"/>
      <c r="G28" s="85"/>
      <c r="H28" s="85"/>
      <c r="I28" s="86" t="s">
        <v>72</v>
      </c>
      <c r="J28" s="87" t="s">
        <v>73</v>
      </c>
      <c r="K28" s="85"/>
      <c r="L28" s="85"/>
      <c r="M28" s="85"/>
      <c r="N28" s="85"/>
      <c r="O28" s="85"/>
      <c r="P28" s="86" t="s">
        <v>72</v>
      </c>
      <c r="Q28" s="87" t="s">
        <v>73</v>
      </c>
      <c r="R28" s="88" t="s">
        <v>74</v>
      </c>
      <c r="S28" s="89" t="s">
        <v>75</v>
      </c>
    </row>
    <row r="29" spans="2:19" x14ac:dyDescent="0.2">
      <c r="B29" s="11" t="s">
        <v>30</v>
      </c>
      <c r="C29" s="1">
        <v>20</v>
      </c>
      <c r="D29" s="56"/>
      <c r="E29" s="22"/>
      <c r="F29" s="22"/>
      <c r="G29" s="22"/>
      <c r="H29" s="22"/>
      <c r="I29" s="63">
        <f>(I20-I6)*-1</f>
        <v>293.20935815333542</v>
      </c>
      <c r="J29" s="30">
        <f>I29/I6</f>
        <v>0.11738234443065591</v>
      </c>
      <c r="K29" s="22"/>
      <c r="L29" s="22"/>
      <c r="M29" s="22"/>
      <c r="N29" s="22"/>
      <c r="O29" s="22"/>
      <c r="P29" s="63">
        <f>(P20-P6)*-1</f>
        <v>216.89915956491222</v>
      </c>
      <c r="Q29" s="30">
        <f>P29/P6</f>
        <v>6.9891030331153042E-2</v>
      </c>
      <c r="R29" s="53">
        <f>Q29-J29</f>
        <v>-4.7491314099502871E-2</v>
      </c>
      <c r="S29" s="55">
        <f>R29/J29</f>
        <v>-0.40458651878058677</v>
      </c>
    </row>
    <row r="30" spans="2:19" x14ac:dyDescent="0.2">
      <c r="B30" s="11" t="s">
        <v>31</v>
      </c>
      <c r="C30" s="1">
        <v>21</v>
      </c>
      <c r="D30" s="56"/>
      <c r="E30" s="22"/>
      <c r="F30" s="22"/>
      <c r="G30" s="22"/>
      <c r="H30" s="22"/>
      <c r="I30" s="63">
        <f>(I21-I9)*-1</f>
        <v>131.30817613646946</v>
      </c>
      <c r="J30" s="30">
        <f>I30/I9</f>
        <v>0.11067927297000592</v>
      </c>
      <c r="K30" s="22"/>
      <c r="L30" s="22"/>
      <c r="M30" s="22"/>
      <c r="N30" s="22"/>
      <c r="O30" s="22"/>
      <c r="P30" s="63">
        <f>(P21-P9)*-1</f>
        <v>103.54617182555899</v>
      </c>
      <c r="Q30" s="30">
        <f>P30/P9</f>
        <v>7.0370265139924754E-2</v>
      </c>
      <c r="R30" s="61">
        <f>Q30-J30</f>
        <v>-4.0309007830081164E-2</v>
      </c>
      <c r="S30" s="30">
        <f>R30/J30</f>
        <v>-0.36419653606691926</v>
      </c>
    </row>
    <row r="31" spans="2:19" x14ac:dyDescent="0.2">
      <c r="B31" s="11" t="s">
        <v>32</v>
      </c>
      <c r="C31" s="1">
        <v>22</v>
      </c>
      <c r="D31" s="56"/>
      <c r="E31" s="22"/>
      <c r="F31" s="22"/>
      <c r="G31" s="22"/>
      <c r="H31" s="22"/>
      <c r="I31" s="63">
        <f>(I22-I10)*-1</f>
        <v>269</v>
      </c>
      <c r="J31" s="30">
        <f>I31/I10</f>
        <v>7.6609802637199895E-2</v>
      </c>
      <c r="K31" s="22"/>
      <c r="L31" s="22"/>
      <c r="M31" s="22"/>
      <c r="N31" s="22"/>
      <c r="O31" s="22"/>
      <c r="P31" s="63">
        <f>(P22-P10)*-1</f>
        <v>198.29999999999973</v>
      </c>
      <c r="Q31" s="30">
        <f>P31/P10</f>
        <v>4.6607281359437737E-2</v>
      </c>
      <c r="R31" s="61">
        <f>Q31-J31</f>
        <v>-3.0002521277762158E-2</v>
      </c>
      <c r="S31" s="30">
        <f>R31/J31</f>
        <v>-0.39162770618069243</v>
      </c>
    </row>
    <row r="32" spans="2:19" x14ac:dyDescent="0.2">
      <c r="B32" s="11" t="s">
        <v>33</v>
      </c>
      <c r="C32" s="1">
        <v>23</v>
      </c>
      <c r="D32" s="57"/>
      <c r="E32" s="37"/>
      <c r="F32" s="37"/>
      <c r="G32" s="37"/>
      <c r="H32" s="37"/>
      <c r="I32" s="45">
        <f>(I25-I13)*-1</f>
        <v>5.7121757191403E-2</v>
      </c>
      <c r="J32" s="38">
        <f>I32/I13</f>
        <v>0.10787024160734943</v>
      </c>
      <c r="K32" s="37"/>
      <c r="L32" s="37"/>
      <c r="M32" s="37"/>
      <c r="N32" s="37"/>
      <c r="O32" s="37"/>
      <c r="P32" s="45">
        <f>(P25-P13)*-1</f>
        <v>3.5811920796784025E-2</v>
      </c>
      <c r="Q32" s="38">
        <f>P32/P13</f>
        <v>6.8812923476338841E-2</v>
      </c>
      <c r="R32" s="83">
        <f>Q32-J32</f>
        <v>-3.9057318131010585E-2</v>
      </c>
      <c r="S32" s="38">
        <f>R32/J32</f>
        <v>-0.36207685779716958</v>
      </c>
    </row>
    <row r="34" spans="1:2" x14ac:dyDescent="0.2">
      <c r="B34" s="1" t="s">
        <v>34</v>
      </c>
    </row>
    <row r="36" spans="1:2" x14ac:dyDescent="0.2">
      <c r="A36" s="10">
        <v>1</v>
      </c>
      <c r="B36" s="1" t="s">
        <v>37</v>
      </c>
    </row>
    <row r="37" spans="1:2" x14ac:dyDescent="0.2">
      <c r="A37" s="10"/>
      <c r="B37" s="1" t="s">
        <v>38</v>
      </c>
    </row>
    <row r="38" spans="1:2" x14ac:dyDescent="0.2">
      <c r="A38" s="10">
        <v>2</v>
      </c>
      <c r="B38" s="1" t="s">
        <v>40</v>
      </c>
    </row>
    <row r="39" spans="1:2" x14ac:dyDescent="0.2">
      <c r="A39" s="10"/>
      <c r="B39" s="1" t="s">
        <v>39</v>
      </c>
    </row>
    <row r="40" spans="1:2" x14ac:dyDescent="0.2">
      <c r="A40" s="10">
        <v>3</v>
      </c>
      <c r="B40" s="1" t="s">
        <v>41</v>
      </c>
    </row>
    <row r="41" spans="1:2" x14ac:dyDescent="0.2">
      <c r="A41" s="10"/>
      <c r="B41" s="1" t="s">
        <v>42</v>
      </c>
    </row>
    <row r="42" spans="1:2" x14ac:dyDescent="0.2">
      <c r="A42" s="10">
        <v>4</v>
      </c>
      <c r="B42" s="1" t="s">
        <v>43</v>
      </c>
    </row>
    <row r="43" spans="1:2" x14ac:dyDescent="0.2">
      <c r="A43" s="10">
        <v>5</v>
      </c>
      <c r="B43" s="1" t="s">
        <v>37</v>
      </c>
    </row>
    <row r="44" spans="1:2" x14ac:dyDescent="0.2">
      <c r="A44" s="10"/>
      <c r="B44" s="1" t="s">
        <v>45</v>
      </c>
    </row>
    <row r="45" spans="1:2" x14ac:dyDescent="0.2">
      <c r="A45" s="10">
        <v>6</v>
      </c>
      <c r="B45" s="1" t="s">
        <v>46</v>
      </c>
    </row>
    <row r="46" spans="1:2" x14ac:dyDescent="0.2">
      <c r="A46" s="10"/>
      <c r="B46" s="1" t="s">
        <v>47</v>
      </c>
    </row>
    <row r="47" spans="1:2" x14ac:dyDescent="0.2">
      <c r="A47" s="10">
        <v>7</v>
      </c>
      <c r="B47" s="1" t="s">
        <v>35</v>
      </c>
    </row>
    <row r="48" spans="1:2" x14ac:dyDescent="0.2">
      <c r="A48" s="10">
        <v>8</v>
      </c>
      <c r="B48" s="1" t="s">
        <v>48</v>
      </c>
    </row>
    <row r="49" spans="1:2" x14ac:dyDescent="0.2">
      <c r="A49" s="10"/>
      <c r="B49" s="1" t="s">
        <v>49</v>
      </c>
    </row>
    <row r="50" spans="1:2" x14ac:dyDescent="0.2">
      <c r="A50" s="10">
        <v>9</v>
      </c>
      <c r="B50" s="1" t="s">
        <v>50</v>
      </c>
    </row>
    <row r="51" spans="1:2" x14ac:dyDescent="0.2">
      <c r="A51" s="10"/>
      <c r="B51" s="1" t="s">
        <v>51</v>
      </c>
    </row>
    <row r="52" spans="1:2" x14ac:dyDescent="0.2">
      <c r="A52" s="10">
        <v>10</v>
      </c>
      <c r="B52" s="1" t="s">
        <v>52</v>
      </c>
    </row>
    <row r="53" spans="1:2" x14ac:dyDescent="0.2">
      <c r="A53" s="10"/>
      <c r="B53" s="1" t="s">
        <v>53</v>
      </c>
    </row>
    <row r="54" spans="1:2" x14ac:dyDescent="0.2">
      <c r="A54" s="10"/>
      <c r="B54" s="1" t="s">
        <v>54</v>
      </c>
    </row>
    <row r="55" spans="1:2" x14ac:dyDescent="0.2">
      <c r="A55" s="10"/>
      <c r="B55" s="1" t="s">
        <v>55</v>
      </c>
    </row>
    <row r="56" spans="1:2" x14ac:dyDescent="0.2">
      <c r="A56" s="10"/>
      <c r="B56" s="1" t="s">
        <v>56</v>
      </c>
    </row>
    <row r="57" spans="1:2" x14ac:dyDescent="0.2">
      <c r="A57" s="10"/>
      <c r="B57" s="1" t="s">
        <v>57</v>
      </c>
    </row>
    <row r="58" spans="1:2" x14ac:dyDescent="0.2">
      <c r="A58" s="10">
        <v>11</v>
      </c>
      <c r="B58" s="1" t="s">
        <v>58</v>
      </c>
    </row>
    <row r="59" spans="1:2" x14ac:dyDescent="0.2">
      <c r="B59" s="1" t="s">
        <v>59</v>
      </c>
    </row>
    <row r="60" spans="1:2" x14ac:dyDescent="0.2">
      <c r="B60" s="1" t="s">
        <v>60</v>
      </c>
    </row>
    <row r="61" spans="1:2" x14ac:dyDescent="0.2">
      <c r="B61" s="1" t="s">
        <v>61</v>
      </c>
    </row>
    <row r="62" spans="1:2" x14ac:dyDescent="0.2">
      <c r="B62" s="1" t="s">
        <v>62</v>
      </c>
    </row>
    <row r="63" spans="1:2" x14ac:dyDescent="0.2">
      <c r="B63" s="1" t="s">
        <v>63</v>
      </c>
    </row>
    <row r="64" spans="1:2" x14ac:dyDescent="0.2">
      <c r="A64" s="1">
        <v>12</v>
      </c>
      <c r="B64" s="1" t="s">
        <v>64</v>
      </c>
    </row>
    <row r="65" spans="1:2" x14ac:dyDescent="0.2">
      <c r="B65" s="1" t="s">
        <v>65</v>
      </c>
    </row>
    <row r="66" spans="1:2" x14ac:dyDescent="0.2">
      <c r="B66" s="1" t="s">
        <v>66</v>
      </c>
    </row>
    <row r="67" spans="1:2" x14ac:dyDescent="0.2">
      <c r="B67" s="1" t="s">
        <v>67</v>
      </c>
    </row>
    <row r="68" spans="1:2" x14ac:dyDescent="0.2">
      <c r="A68" s="1">
        <v>13</v>
      </c>
      <c r="B68" s="1" t="s">
        <v>68</v>
      </c>
    </row>
    <row r="69" spans="1:2" x14ac:dyDescent="0.2">
      <c r="B69" s="1" t="s">
        <v>69</v>
      </c>
    </row>
    <row r="70" spans="1:2" x14ac:dyDescent="0.2">
      <c r="A70" s="1">
        <v>14</v>
      </c>
      <c r="B70" s="1" t="s">
        <v>70</v>
      </c>
    </row>
    <row r="71" spans="1:2" x14ac:dyDescent="0.2">
      <c r="B71" s="1" t="s">
        <v>76</v>
      </c>
    </row>
    <row r="72" spans="1:2" x14ac:dyDescent="0.2">
      <c r="A72" s="1">
        <v>15</v>
      </c>
      <c r="B72" s="1" t="s">
        <v>77</v>
      </c>
    </row>
    <row r="73" spans="1:2" x14ac:dyDescent="0.2">
      <c r="B73" s="1" t="s">
        <v>78</v>
      </c>
    </row>
    <row r="74" spans="1:2" x14ac:dyDescent="0.2">
      <c r="A74" s="1">
        <v>16</v>
      </c>
      <c r="B74" s="1" t="s">
        <v>79</v>
      </c>
    </row>
    <row r="75" spans="1:2" x14ac:dyDescent="0.2">
      <c r="B75" s="1" t="s">
        <v>80</v>
      </c>
    </row>
    <row r="76" spans="1:2" x14ac:dyDescent="0.2">
      <c r="A76" s="1">
        <v>17</v>
      </c>
      <c r="B76" s="1" t="s">
        <v>81</v>
      </c>
    </row>
    <row r="77" spans="1:2" x14ac:dyDescent="0.2">
      <c r="B77" s="1" t="s">
        <v>82</v>
      </c>
    </row>
    <row r="78" spans="1:2" x14ac:dyDescent="0.2">
      <c r="A78" s="1">
        <v>18</v>
      </c>
      <c r="B78" s="1" t="s">
        <v>83</v>
      </c>
    </row>
    <row r="79" spans="1:2" x14ac:dyDescent="0.2">
      <c r="A79" s="1">
        <v>19</v>
      </c>
      <c r="B79" s="1" t="s">
        <v>84</v>
      </c>
    </row>
    <row r="80" spans="1:2" x14ac:dyDescent="0.2">
      <c r="A80" s="1">
        <v>20</v>
      </c>
      <c r="B80" s="1" t="s">
        <v>85</v>
      </c>
    </row>
    <row r="81" spans="1:2" x14ac:dyDescent="0.2">
      <c r="B81" s="1" t="s">
        <v>86</v>
      </c>
    </row>
    <row r="82" spans="1:2" x14ac:dyDescent="0.2">
      <c r="B82" s="1" t="s">
        <v>87</v>
      </c>
    </row>
    <row r="83" spans="1:2" x14ac:dyDescent="0.2">
      <c r="B83" s="1" t="s">
        <v>88</v>
      </c>
    </row>
    <row r="84" spans="1:2" x14ac:dyDescent="0.2">
      <c r="B84" s="1" t="s">
        <v>89</v>
      </c>
    </row>
    <row r="85" spans="1:2" x14ac:dyDescent="0.2">
      <c r="B85" s="1" t="s">
        <v>90</v>
      </c>
    </row>
    <row r="86" spans="1:2" x14ac:dyDescent="0.2">
      <c r="A86" s="1">
        <v>21</v>
      </c>
      <c r="B86" s="1" t="s">
        <v>92</v>
      </c>
    </row>
    <row r="87" spans="1:2" x14ac:dyDescent="0.2">
      <c r="B87" s="1" t="s">
        <v>93</v>
      </c>
    </row>
    <row r="88" spans="1:2" x14ac:dyDescent="0.2">
      <c r="B88" s="1" t="s">
        <v>94</v>
      </c>
    </row>
    <row r="89" spans="1:2" x14ac:dyDescent="0.2">
      <c r="B89" s="1" t="s">
        <v>95</v>
      </c>
    </row>
    <row r="90" spans="1:2" x14ac:dyDescent="0.2">
      <c r="B90" s="1" t="s">
        <v>96</v>
      </c>
    </row>
    <row r="91" spans="1:2" x14ac:dyDescent="0.2">
      <c r="B91" s="1" t="s">
        <v>97</v>
      </c>
    </row>
    <row r="92" spans="1:2" x14ac:dyDescent="0.2">
      <c r="A92" s="1">
        <v>22</v>
      </c>
      <c r="B92" s="1" t="s">
        <v>91</v>
      </c>
    </row>
    <row r="93" spans="1:2" x14ac:dyDescent="0.2">
      <c r="B93" s="1" t="s">
        <v>98</v>
      </c>
    </row>
    <row r="94" spans="1:2" x14ac:dyDescent="0.2">
      <c r="B94" s="1" t="s">
        <v>99</v>
      </c>
    </row>
    <row r="95" spans="1:2" x14ac:dyDescent="0.2">
      <c r="B95" s="1" t="s">
        <v>100</v>
      </c>
    </row>
    <row r="96" spans="1:2" x14ac:dyDescent="0.2">
      <c r="B96" s="1" t="s">
        <v>101</v>
      </c>
    </row>
    <row r="97" spans="1:7" x14ac:dyDescent="0.2">
      <c r="B97" s="1" t="s">
        <v>102</v>
      </c>
    </row>
    <row r="98" spans="1:7" x14ac:dyDescent="0.2">
      <c r="A98" s="1">
        <v>23</v>
      </c>
      <c r="B98" s="1" t="s">
        <v>103</v>
      </c>
    </row>
    <row r="99" spans="1:7" x14ac:dyDescent="0.2">
      <c r="B99" s="1" t="s">
        <v>104</v>
      </c>
    </row>
    <row r="100" spans="1:7" x14ac:dyDescent="0.2">
      <c r="B100" s="1" t="s">
        <v>105</v>
      </c>
    </row>
    <row r="101" spans="1:7" x14ac:dyDescent="0.2">
      <c r="B101" s="1" t="s">
        <v>106</v>
      </c>
    </row>
    <row r="102" spans="1:7" x14ac:dyDescent="0.2">
      <c r="B102" s="1" t="s">
        <v>107</v>
      </c>
    </row>
    <row r="103" spans="1:7" x14ac:dyDescent="0.2">
      <c r="B103" s="1" t="s">
        <v>108</v>
      </c>
    </row>
    <row r="105" spans="1:7" x14ac:dyDescent="0.2">
      <c r="A105" s="1">
        <v>24</v>
      </c>
      <c r="B105" s="1" t="s">
        <v>71</v>
      </c>
      <c r="D105" s="90"/>
      <c r="E105" s="91" t="s">
        <v>26</v>
      </c>
      <c r="F105" s="91" t="s">
        <v>27</v>
      </c>
      <c r="G105" s="91" t="s">
        <v>28</v>
      </c>
    </row>
    <row r="106" spans="1:7" x14ac:dyDescent="0.2">
      <c r="D106" s="91">
        <v>2015</v>
      </c>
      <c r="E106" s="92">
        <v>1.016</v>
      </c>
      <c r="F106" s="91">
        <v>6.0000000000000001E-3</v>
      </c>
      <c r="G106" s="93">
        <f>E106-F106</f>
        <v>1.01</v>
      </c>
    </row>
    <row r="107" spans="1:7" x14ac:dyDescent="0.2">
      <c r="D107" s="91">
        <v>2016</v>
      </c>
      <c r="E107" s="92">
        <v>1.0209999999999999</v>
      </c>
      <c r="F107" s="91">
        <v>6.0000000000000001E-3</v>
      </c>
      <c r="G107" s="93">
        <f t="shared" ref="G107:G112" si="10">E107-F107</f>
        <v>1.0149999999999999</v>
      </c>
    </row>
    <row r="108" spans="1:7" x14ac:dyDescent="0.2">
      <c r="D108" s="91">
        <v>2017</v>
      </c>
      <c r="E108" s="92">
        <v>1.0189999999999999</v>
      </c>
      <c r="F108" s="91">
        <v>6.0000000000000001E-3</v>
      </c>
      <c r="G108" s="93">
        <f t="shared" si="10"/>
        <v>1.0129999999999999</v>
      </c>
    </row>
    <row r="109" spans="1:7" x14ac:dyDescent="0.2">
      <c r="D109" s="91">
        <v>2018</v>
      </c>
      <c r="E109" s="92">
        <v>1.012</v>
      </c>
      <c r="F109" s="91">
        <v>6.0000000000000001E-3</v>
      </c>
      <c r="G109" s="93">
        <f t="shared" si="10"/>
        <v>1.006</v>
      </c>
    </row>
    <row r="110" spans="1:7" x14ac:dyDescent="0.2">
      <c r="D110" s="91">
        <v>2019</v>
      </c>
      <c r="E110" s="92">
        <v>1.0149999999999999</v>
      </c>
      <c r="F110" s="91">
        <v>6.0000000000000001E-3</v>
      </c>
      <c r="G110" s="93">
        <f t="shared" si="10"/>
        <v>1.0089999999999999</v>
      </c>
    </row>
    <row r="111" spans="1:7" x14ac:dyDescent="0.2">
      <c r="D111" s="91">
        <v>2020</v>
      </c>
      <c r="E111" s="92">
        <v>1.012</v>
      </c>
      <c r="F111" s="91">
        <v>3.0000000000000001E-3</v>
      </c>
      <c r="G111" s="93">
        <f t="shared" si="10"/>
        <v>1.0090000000000001</v>
      </c>
    </row>
    <row r="112" spans="1:7" x14ac:dyDescent="0.2">
      <c r="D112" s="94" t="s">
        <v>29</v>
      </c>
      <c r="E112" s="92">
        <v>1.012</v>
      </c>
      <c r="F112" s="91">
        <v>6.0000000000000001E-3</v>
      </c>
      <c r="G112" s="93">
        <f t="shared" si="10"/>
        <v>1.006</v>
      </c>
    </row>
  </sheetData>
  <mergeCells count="9">
    <mergeCell ref="R27:S27"/>
    <mergeCell ref="R1:S1"/>
    <mergeCell ref="T1:U1"/>
    <mergeCell ref="D1:I1"/>
    <mergeCell ref="K1:P1"/>
    <mergeCell ref="D17:I17"/>
    <mergeCell ref="K17:P17"/>
    <mergeCell ref="D27:J27"/>
    <mergeCell ref="K27:Q27"/>
  </mergeCells>
  <pageMargins left="0.7" right="0.7" top="0.75" bottom="0.75" header="0.3" footer="0.3"/>
  <pageSetup scale="66" orientation="landscape" r:id="rId1"/>
  <ignoredErrors>
    <ignoredError sqref="I12 I25" formula="1"/>
    <ignoredError sqref="I4:I11 I22: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CIR vs IRM 2015 - 2024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cp:lastPrinted>2019-02-04T22:42:32Z</cp:lastPrinted>
  <dcterms:created xsi:type="dcterms:W3CDTF">2019-02-04T22:24:14Z</dcterms:created>
  <dcterms:modified xsi:type="dcterms:W3CDTF">2019-02-07T14:28:13Z</dcterms:modified>
</cp:coreProperties>
</file>