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T:\5. TESI UTILITIES\Hydro 2000\IRM 2019\IRs\"/>
    </mc:Choice>
  </mc:AlternateContent>
  <xr:revisionPtr revIDLastSave="0" documentId="8_{073F4434-26CE-4887-82D3-A32278034A17}" xr6:coauthVersionLast="40" xr6:coauthVersionMax="40" xr10:uidLastSave="{00000000-0000-0000-0000-000000000000}"/>
  <bookViews>
    <workbookView xWindow="-120" yWindow="-120" windowWidth="57840" windowHeight="15840" xr2:uid="{00000000-000D-0000-FFFF-FFFF00000000}"/>
  </bookViews>
  <sheets>
    <sheet name="Hydro 2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11" i="1"/>
  <c r="J11" i="1"/>
  <c r="I11" i="1"/>
  <c r="H11" i="1"/>
  <c r="G11" i="1"/>
  <c r="F11" i="1"/>
  <c r="D10" i="1"/>
  <c r="D9" i="1"/>
  <c r="D8" i="1"/>
  <c r="E8" i="1" s="1"/>
  <c r="L8" i="1" s="1"/>
  <c r="D7" i="1"/>
  <c r="E7" i="1" s="1"/>
  <c r="L7" i="1" s="1"/>
  <c r="D6" i="1"/>
  <c r="E6" i="1" s="1"/>
  <c r="L6" i="1" s="1"/>
  <c r="E10" i="1"/>
  <c r="L10" i="1" s="1"/>
  <c r="E9" i="1"/>
  <c r="L9" i="1" s="1"/>
  <c r="C11" i="1"/>
  <c r="L11" i="1" l="1"/>
  <c r="N6" i="1"/>
  <c r="R6" i="1"/>
  <c r="N7" i="1"/>
  <c r="Q7" i="1" s="1"/>
  <c r="R7" i="1"/>
  <c r="S7" i="1" s="1"/>
  <c r="R8" i="1"/>
  <c r="N8" i="1"/>
  <c r="Q8" i="1" s="1"/>
  <c r="R9" i="1"/>
  <c r="N9" i="1"/>
  <c r="Q9" i="1" s="1"/>
  <c r="N10" i="1"/>
  <c r="Q10" i="1" s="1"/>
  <c r="R10" i="1"/>
  <c r="S10" i="1" s="1"/>
  <c r="E11" i="1"/>
  <c r="F24" i="1" l="1"/>
  <c r="U10" i="1"/>
  <c r="S9" i="1"/>
  <c r="S8" i="1"/>
  <c r="F21" i="1"/>
  <c r="U7" i="1"/>
  <c r="N11" i="1"/>
  <c r="Q6" i="1"/>
  <c r="S6" i="1" s="1"/>
  <c r="C36" i="1"/>
  <c r="C35" i="1"/>
  <c r="C34" i="1"/>
  <c r="C33" i="1"/>
  <c r="C32" i="1"/>
  <c r="C31" i="1"/>
  <c r="C25" i="1"/>
  <c r="G25" i="1" s="1"/>
  <c r="C24" i="1"/>
  <c r="C23" i="1"/>
  <c r="C22" i="1"/>
  <c r="C21" i="1"/>
  <c r="C20" i="1"/>
  <c r="F20" i="1" l="1"/>
  <c r="G20" i="1" s="1"/>
  <c r="U6" i="1"/>
  <c r="O22" i="1"/>
  <c r="P22" i="1" s="1"/>
  <c r="O24" i="1"/>
  <c r="P24" i="1" s="1"/>
  <c r="G24" i="1"/>
  <c r="O23" i="1"/>
  <c r="P23" i="1" s="1"/>
  <c r="G23" i="1"/>
  <c r="O20" i="1"/>
  <c r="P20" i="1" s="1"/>
  <c r="O21" i="1"/>
  <c r="P21" i="1" s="1"/>
  <c r="G21" i="1"/>
  <c r="F22" i="1"/>
  <c r="G22" i="1" s="1"/>
  <c r="U8" i="1"/>
  <c r="U9" i="1"/>
  <c r="F23" i="1"/>
  <c r="E36" i="1"/>
  <c r="E35" i="1"/>
  <c r="E34" i="1"/>
  <c r="E33" i="1"/>
  <c r="E32" i="1"/>
  <c r="E31" i="1"/>
  <c r="E25" i="1"/>
  <c r="E24" i="1"/>
  <c r="E23" i="1"/>
  <c r="E22" i="1"/>
  <c r="E21" i="1"/>
  <c r="E20" i="1"/>
  <c r="G26" i="1" l="1"/>
  <c r="U11" i="1"/>
  <c r="E37" i="1"/>
  <c r="E26" i="1"/>
  <c r="E39" i="1" l="1"/>
</calcChain>
</file>

<file path=xl/sharedStrings.xml><?xml version="1.0" encoding="utf-8"?>
<sst xmlns="http://schemas.openxmlformats.org/spreadsheetml/2006/main" count="72" uniqueCount="41">
  <si>
    <t>Rate Class</t>
  </si>
  <si>
    <t>Unit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</si>
  <si>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</si>
  <si>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</si>
  <si>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</si>
  <si>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</si>
  <si>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</si>
  <si>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STREET LIGHTING SERVICE CLASSIFICATION</t>
  </si>
  <si>
    <t>UNMETERED SCATTERED LOAD SERVICE CLASSIFICATION</t>
  </si>
  <si>
    <t>microFIT SERVICE CLASSIFICATION</t>
  </si>
  <si>
    <t>TOTAL</t>
  </si>
  <si>
    <t>Calculated Rate Rider as Approved by OEB</t>
  </si>
  <si>
    <t>Consumption May-July 2016</t>
  </si>
  <si>
    <t>Estimated missing amounts</t>
  </si>
  <si>
    <t>Group 1 and Group 2 Balances excluding Account 1589 - Global Adjustment</t>
  </si>
  <si>
    <t>Account 1589 - Global Adjustments</t>
  </si>
  <si>
    <t>Consumption May 2016</t>
  </si>
  <si>
    <t>Consumption June 2016</t>
  </si>
  <si>
    <t>Consumption July 2016</t>
  </si>
  <si>
    <t>Amount for 1595 included in Rate Rider</t>
  </si>
  <si>
    <t>Amount not included but approved</t>
  </si>
  <si>
    <t>Total approved in decision for 1595</t>
  </si>
  <si>
    <t>Total approved in decision (Other than GA)</t>
  </si>
  <si>
    <t>Total approved in decision for 1550</t>
  </si>
  <si>
    <t>Total approved in decision for 1551</t>
  </si>
  <si>
    <t>Total approved in decision for 1580</t>
  </si>
  <si>
    <t>Total approved in decision for 1584</t>
  </si>
  <si>
    <t>Total approved in decision for 1586</t>
  </si>
  <si>
    <t>Total approved in decision for 1588</t>
  </si>
  <si>
    <t>KW</t>
  </si>
  <si>
    <t>Actual Rate Rider</t>
  </si>
  <si>
    <t>Total considered in rate rider</t>
  </si>
  <si>
    <t>Calculated Rate Rider</t>
  </si>
  <si>
    <t>Difference in rate</t>
  </si>
  <si>
    <t>Consumption in kWh or KW</t>
  </si>
  <si>
    <t>Missing recoveries</t>
  </si>
  <si>
    <t>A - Rate Riders underestimated in account 1595</t>
  </si>
  <si>
    <t>B - Rate Riders applied in August instead of  May</t>
  </si>
  <si>
    <t>Underestimated Rate Rider</t>
  </si>
  <si>
    <t>Total kWh or KW</t>
  </si>
  <si>
    <t>Actual kWh or KW vs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</si>
</sst>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Verdana"/>
      <family val="2"/>
    </font>
    <font>
      <b/>
      <i/>
      <sz val="18"/>
      <color rgb="FFFF0000"/>
      <name val="Verdana"/>
      <family val="2"/>
    </font>
    <font>
      <b/>
      <sz val="11"/>
      <color rgb="FFFF0000"/>
      <name val="Arial"/>
      <family val="2"/>
    </font>
    <font>
      <b/>
      <sz val="10"/>
      <color rgb="FFFF000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5" fillId="0" borderId="0" xfId="0" applyFont="1"/>
    <xf numFmtId="0" fontId="4" fillId="0" borderId="0" xfId="0" applyFont="1" applyAlignment="1">
      <alignment horizontal="center" wrapText="1"/>
    </xf>
    <xf numFmtId="164" fontId="0" fillId="0" borderId="0" xfId="1" applyNumberFormat="1" applyFont="1" applyProtection="1"/>
    <xf numFmtId="164" fontId="0" fillId="0" borderId="0" xfId="1" applyNumberFormat="1" applyFont="1"/>
    <xf numFmtId="164" fontId="0" fillId="0" borderId="0" xfId="1" applyNumberFormat="1" applyFont="1" applyBorder="1" applyProtection="1"/>
    <xf numFmtId="164" fontId="0" fillId="0" borderId="3" xfId="1" applyNumberFormat="1" applyFont="1" applyBorder="1"/>
    <xf numFmtId="164" fontId="0" fillId="0" borderId="0" xfId="0" applyNumberFormat="1"/>
    <xf numFmtId="165" fontId="0" fillId="0" borderId="0" xfId="0" applyNumberFormat="1"/>
    <xf numFmtId="164" fontId="6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164" fontId="7" fillId="0" borderId="3" xfId="1" applyNumberFormat="1" applyFont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9"/>
  <sheetViews>
    <sheetView tabSelected="1" topLeftCell="A14" zoomScale="94" workbookViewId="0">
      <selection activeCell="G30" sqref="G30"/>
    </sheetView>
  </sheetViews>
  <sheetFormatPr defaultRowHeight="12.75" x14ac:dyDescent="0.2"/>
  <cols>
    <col min="1" max="1" width="52.875" bestFit="1" customWidth="1"/>
    <col min="3" max="3" width="10.75" bestFit="1" customWidth="1"/>
    <col min="4" max="4" width="12.75" bestFit="1" customWidth="1"/>
    <col min="5" max="5" width="9.75" bestFit="1" customWidth="1"/>
    <col min="6" max="6" width="10.5" bestFit="1" customWidth="1"/>
    <col min="7" max="7" width="11.375" bestFit="1" customWidth="1"/>
    <col min="8" max="8" width="15.125" bestFit="1" customWidth="1"/>
    <col min="9" max="9" width="8.875" bestFit="1" customWidth="1"/>
    <col min="10" max="10" width="9.375" bestFit="1" customWidth="1"/>
    <col min="11" max="11" width="10.375" bestFit="1" customWidth="1"/>
    <col min="12" max="12" width="11.875" customWidth="1"/>
    <col min="15" max="15" width="11.375" bestFit="1" customWidth="1"/>
    <col min="16" max="16" width="10.375" bestFit="1" customWidth="1"/>
    <col min="17" max="17" width="9.875" bestFit="1" customWidth="1"/>
    <col min="18" max="18" width="10.625" customWidth="1"/>
    <col min="19" max="19" width="10.375" customWidth="1"/>
    <col min="20" max="20" width="13" bestFit="1" customWidth="1"/>
    <col min="21" max="21" width="10.375" bestFit="1" customWidth="1"/>
  </cols>
  <sheetData>
    <row r="2" spans="1:21" ht="22.5" x14ac:dyDescent="0.3">
      <c r="A2" s="13" t="s">
        <v>36</v>
      </c>
    </row>
    <row r="4" spans="1:21" s="14" customFormat="1" ht="63.75" x14ac:dyDescent="0.2">
      <c r="C4" s="14" t="s">
        <v>19</v>
      </c>
      <c r="D4" s="14" t="s">
        <v>20</v>
      </c>
      <c r="E4" s="14" t="s">
        <v>21</v>
      </c>
      <c r="F4" s="14" t="s">
        <v>23</v>
      </c>
      <c r="G4" s="14" t="s">
        <v>24</v>
      </c>
      <c r="H4" s="14" t="s">
        <v>25</v>
      </c>
      <c r="I4" s="14" t="s">
        <v>26</v>
      </c>
      <c r="J4" s="14" t="s">
        <v>27</v>
      </c>
      <c r="K4" s="14" t="s">
        <v>28</v>
      </c>
      <c r="L4" s="14" t="s">
        <v>22</v>
      </c>
      <c r="N4" s="14" t="s">
        <v>31</v>
      </c>
      <c r="O4" s="14" t="s">
        <v>3</v>
      </c>
      <c r="P4" s="14" t="s">
        <v>29</v>
      </c>
      <c r="Q4" s="14" t="s">
        <v>30</v>
      </c>
      <c r="R4" s="14" t="s">
        <v>32</v>
      </c>
      <c r="S4" s="14" t="s">
        <v>33</v>
      </c>
      <c r="T4" s="14" t="s">
        <v>34</v>
      </c>
      <c r="U4" s="14" t="s">
        <v>35</v>
      </c>
    </row>
    <row r="6" spans="1:21" ht="14.25" x14ac:dyDescent="0.2">
      <c r="A6" s="2" t="s">
        <v>2</v>
      </c>
      <c r="C6" s="15">
        <v>71.5428</v>
      </c>
      <c r="D6" s="16">
        <f>+D$11*C6/C$11</f>
        <v>16769.144914491451</v>
      </c>
      <c r="E6" s="16">
        <f>SUM(C6:D6)</f>
        <v>16840.687714491451</v>
      </c>
      <c r="F6" s="15">
        <v>20757.565902309267</v>
      </c>
      <c r="G6" s="15">
        <v>-36.759265681818185</v>
      </c>
      <c r="H6" s="15">
        <v>-10063.486932827334</v>
      </c>
      <c r="I6" s="15">
        <v>-595.54577171545486</v>
      </c>
      <c r="J6" s="15">
        <v>-1194.7087089016593</v>
      </c>
      <c r="K6" s="15">
        <v>28102.499984587441</v>
      </c>
      <c r="L6" s="19">
        <f>SUM(E6:K6)</f>
        <v>53810.252922261898</v>
      </c>
      <c r="N6" s="19">
        <f>+L6-D6</f>
        <v>37041.108007770446</v>
      </c>
      <c r="O6" s="19">
        <v>13902355</v>
      </c>
      <c r="Q6" s="20">
        <f>ROUND(+N6/O6,4)</f>
        <v>2.7000000000000001E-3</v>
      </c>
      <c r="R6" s="20">
        <f>ROUND(+L6/O6,4)</f>
        <v>3.8999999999999998E-3</v>
      </c>
      <c r="S6" s="20">
        <f>+R6-Q6</f>
        <v>1.1999999999999997E-3</v>
      </c>
      <c r="T6" s="16">
        <v>9659441</v>
      </c>
      <c r="U6" s="19">
        <f>+T6*S6</f>
        <v>11591.329199999996</v>
      </c>
    </row>
    <row r="7" spans="1:21" ht="14.25" x14ac:dyDescent="0.2">
      <c r="A7" s="2" t="s">
        <v>4</v>
      </c>
      <c r="C7" s="15">
        <v>22.9313</v>
      </c>
      <c r="D7" s="16">
        <f t="shared" ref="D7:D10" si="0">+D$11*C7/C$11</f>
        <v>5374.940494049406</v>
      </c>
      <c r="E7" s="16">
        <f t="shared" ref="E7:E10" si="1">SUM(C7:D7)</f>
        <v>5397.8717940494062</v>
      </c>
      <c r="F7" s="15">
        <v>6425.4433226365227</v>
      </c>
      <c r="G7" s="15">
        <v>-4.8485093181818186</v>
      </c>
      <c r="H7" s="15">
        <v>-3115.1227084762213</v>
      </c>
      <c r="I7" s="15">
        <v>-184.34943770395415</v>
      </c>
      <c r="J7" s="15">
        <v>-369.81855831438588</v>
      </c>
      <c r="K7" s="15">
        <v>8699.0460117133462</v>
      </c>
      <c r="L7" s="19">
        <f t="shared" ref="L7:L10" si="2">SUM(E7:K7)</f>
        <v>16848.221914586531</v>
      </c>
      <c r="N7" s="19">
        <f t="shared" ref="N7:N10" si="3">+L7-D7</f>
        <v>11473.281420537125</v>
      </c>
      <c r="O7" s="19">
        <v>4303433</v>
      </c>
      <c r="Q7" s="20">
        <f>ROUND(+N7/O7,4)</f>
        <v>2.7000000000000001E-3</v>
      </c>
      <c r="R7" s="20">
        <f>ROUND(+L7/O7,4)</f>
        <v>3.8999999999999998E-3</v>
      </c>
      <c r="S7" s="20">
        <f t="shared" ref="S7:S10" si="4">+R7-Q7</f>
        <v>1.1999999999999997E-3</v>
      </c>
      <c r="T7" s="16">
        <v>3221489</v>
      </c>
      <c r="U7" s="19">
        <f t="shared" ref="U7:U10" si="5">+T7*S7</f>
        <v>3865.7867999999989</v>
      </c>
    </row>
    <row r="8" spans="1:21" ht="14.25" x14ac:dyDescent="0.2">
      <c r="A8" s="2" t="s">
        <v>5</v>
      </c>
      <c r="C8" s="15">
        <v>22.7409</v>
      </c>
      <c r="D8" s="16">
        <f t="shared" si="0"/>
        <v>5330.3120312031206</v>
      </c>
      <c r="E8" s="16">
        <f t="shared" si="1"/>
        <v>5353.0529312031204</v>
      </c>
      <c r="F8" s="15">
        <v>6603.5772718828921</v>
      </c>
      <c r="G8" s="15">
        <v>0</v>
      </c>
      <c r="H8" s="15">
        <v>-3201.4839263073704</v>
      </c>
      <c r="I8" s="15">
        <v>-189.46019687349863</v>
      </c>
      <c r="J8" s="15">
        <v>-380.07111786386599</v>
      </c>
      <c r="K8" s="15">
        <v>8940.2115380332543</v>
      </c>
      <c r="L8" s="19">
        <f t="shared" si="2"/>
        <v>17125.826500074534</v>
      </c>
      <c r="N8" s="19">
        <f t="shared" si="3"/>
        <v>11795.514468871414</v>
      </c>
      <c r="O8" s="19"/>
      <c r="P8" s="19">
        <v>11149</v>
      </c>
      <c r="Q8" s="20">
        <f>ROUND(+N8/P8,4)</f>
        <v>1.0580000000000001</v>
      </c>
      <c r="R8" s="20">
        <f>ROUND(+L8/P8,4)</f>
        <v>1.5361</v>
      </c>
      <c r="S8" s="20">
        <f t="shared" si="4"/>
        <v>0.47809999999999997</v>
      </c>
      <c r="T8" s="16">
        <v>8001</v>
      </c>
      <c r="U8" s="19">
        <f t="shared" si="5"/>
        <v>3825.2780999999995</v>
      </c>
    </row>
    <row r="9" spans="1:21" ht="14.25" x14ac:dyDescent="0.2">
      <c r="A9" s="2" t="s">
        <v>7</v>
      </c>
      <c r="C9" s="15">
        <v>8.3299999999999999E-2</v>
      </c>
      <c r="D9" s="16">
        <f t="shared" si="0"/>
        <v>19.524952495249529</v>
      </c>
      <c r="E9" s="16">
        <f t="shared" si="1"/>
        <v>19.608252495249531</v>
      </c>
      <c r="F9" s="15">
        <v>268.19607308520034</v>
      </c>
      <c r="G9" s="15">
        <v>0</v>
      </c>
      <c r="H9" s="15">
        <v>-130.02428558486511</v>
      </c>
      <c r="I9" s="15">
        <v>-7.6946901225452011</v>
      </c>
      <c r="J9" s="15">
        <v>-15.43611547308004</v>
      </c>
      <c r="K9" s="15">
        <v>363.09556598371535</v>
      </c>
      <c r="L9" s="19">
        <f t="shared" si="2"/>
        <v>497.74480038367483</v>
      </c>
      <c r="N9" s="19">
        <f t="shared" si="3"/>
        <v>478.21984788842531</v>
      </c>
      <c r="O9" s="19"/>
      <c r="P9" s="19">
        <v>493</v>
      </c>
      <c r="Q9" s="20">
        <f>ROUND(+N9/P9,4)</f>
        <v>0.97</v>
      </c>
      <c r="R9" s="20">
        <f>ROUND(+L9/P9,4)</f>
        <v>1.0096000000000001</v>
      </c>
      <c r="S9" s="20">
        <f t="shared" si="4"/>
        <v>3.960000000000008E-2</v>
      </c>
      <c r="T9" s="16">
        <v>318</v>
      </c>
      <c r="U9" s="19">
        <f t="shared" si="5"/>
        <v>12.592800000000025</v>
      </c>
    </row>
    <row r="10" spans="1:21" ht="14.25" x14ac:dyDescent="0.2">
      <c r="A10" s="2" t="s">
        <v>8</v>
      </c>
      <c r="C10" s="17">
        <v>1.6898000000000002</v>
      </c>
      <c r="D10" s="16">
        <f t="shared" si="0"/>
        <v>396.07760776077617</v>
      </c>
      <c r="E10" s="16">
        <f t="shared" si="1"/>
        <v>397.76740776077617</v>
      </c>
      <c r="F10" s="17">
        <v>27.788030086116905</v>
      </c>
      <c r="G10" s="17">
        <v>0</v>
      </c>
      <c r="H10" s="17">
        <v>-13.471930137509043</v>
      </c>
      <c r="I10" s="17">
        <v>-0.79725358454710238</v>
      </c>
      <c r="J10" s="17">
        <v>-1.5993494470087104</v>
      </c>
      <c r="K10" s="17">
        <v>37.620649682241378</v>
      </c>
      <c r="L10" s="19">
        <f t="shared" si="2"/>
        <v>447.30755436006962</v>
      </c>
      <c r="N10" s="19">
        <f t="shared" si="3"/>
        <v>51.229946599293442</v>
      </c>
      <c r="O10" s="19">
        <v>18611</v>
      </c>
      <c r="Q10" s="20">
        <f>ROUND(+N10/O10,4)</f>
        <v>2.8E-3</v>
      </c>
      <c r="R10" s="20">
        <f>ROUND(+L10/O10,4)</f>
        <v>2.4E-2</v>
      </c>
      <c r="S10" s="20">
        <f t="shared" si="4"/>
        <v>2.12E-2</v>
      </c>
      <c r="T10" s="16">
        <v>12954</v>
      </c>
      <c r="U10" s="19">
        <f t="shared" si="5"/>
        <v>274.62479999999999</v>
      </c>
    </row>
    <row r="11" spans="1:21" ht="13.5" thickBot="1" x14ac:dyDescent="0.25">
      <c r="C11" s="18">
        <f>SUM(C6:C10)</f>
        <v>118.98809999999999</v>
      </c>
      <c r="D11" s="18">
        <v>27890</v>
      </c>
      <c r="E11" s="18">
        <f t="shared" ref="E11" si="6">SUM(E6:E10)</f>
        <v>28008.988100000006</v>
      </c>
      <c r="F11" s="18">
        <f t="shared" ref="F11" si="7">SUM(F6:F10)</f>
        <v>34082.570599999992</v>
      </c>
      <c r="G11" s="18">
        <f t="shared" ref="G11" si="8">SUM(G6:G10)</f>
        <v>-41.607775000000004</v>
      </c>
      <c r="H11" s="18">
        <f t="shared" ref="H11" si="9">SUM(H6:H10)</f>
        <v>-16523.5897833333</v>
      </c>
      <c r="I11" s="18">
        <f t="shared" ref="I11" si="10">SUM(I6:I10)</f>
        <v>-977.84734999999989</v>
      </c>
      <c r="J11" s="18">
        <f t="shared" ref="J11" si="11">SUM(J6:J10)</f>
        <v>-1961.6338499999999</v>
      </c>
      <c r="K11" s="18">
        <f t="shared" ref="K11:N11" si="12">SUM(K6:K10)</f>
        <v>46142.473749999997</v>
      </c>
      <c r="L11" s="18">
        <f t="shared" si="12"/>
        <v>88729.353691666707</v>
      </c>
      <c r="N11" s="18">
        <f t="shared" si="12"/>
        <v>60839.3536916667</v>
      </c>
      <c r="T11" s="16"/>
      <c r="U11" s="23">
        <f t="shared" ref="U11" si="13">SUM(U6:U10)</f>
        <v>19569.611699999994</v>
      </c>
    </row>
    <row r="12" spans="1:21" ht="13.5" thickTop="1" x14ac:dyDescent="0.2"/>
    <row r="16" spans="1:21" ht="22.5" x14ac:dyDescent="0.3">
      <c r="A16" s="13" t="s">
        <v>37</v>
      </c>
    </row>
    <row r="18" spans="1:16" x14ac:dyDescent="0.2">
      <c r="A18" s="11" t="s">
        <v>14</v>
      </c>
    </row>
    <row r="19" spans="1:16" ht="75" x14ac:dyDescent="0.2">
      <c r="A19" s="1" t="s">
        <v>0</v>
      </c>
      <c r="B19" s="1" t="s">
        <v>1</v>
      </c>
      <c r="C19" s="5" t="s">
        <v>12</v>
      </c>
      <c r="D19" s="5" t="s">
        <v>11</v>
      </c>
      <c r="E19" s="5" t="s">
        <v>13</v>
      </c>
      <c r="F19" s="5" t="s">
        <v>38</v>
      </c>
      <c r="G19" s="5" t="s">
        <v>13</v>
      </c>
      <c r="I19" s="5" t="s">
        <v>16</v>
      </c>
      <c r="J19" s="5" t="s">
        <v>17</v>
      </c>
      <c r="K19" s="5" t="s">
        <v>18</v>
      </c>
      <c r="O19" s="14" t="s">
        <v>39</v>
      </c>
      <c r="P19" s="14" t="s">
        <v>40</v>
      </c>
    </row>
    <row r="20" spans="1:16" ht="14.25" x14ac:dyDescent="0.2">
      <c r="A20" s="2" t="s">
        <v>2</v>
      </c>
      <c r="B20" s="3" t="s">
        <v>3</v>
      </c>
      <c r="C20" s="7">
        <f>+I20+J20+K20</f>
        <v>2542581</v>
      </c>
      <c r="D20" s="9">
        <v>2.7000000000000001E-3</v>
      </c>
      <c r="E20" s="6">
        <f>ROUND(+C20*D20,2)</f>
        <v>6864.97</v>
      </c>
      <c r="F20" s="9">
        <f>+S6</f>
        <v>1.1999999999999997E-3</v>
      </c>
      <c r="G20" s="6">
        <f>ROUND(+C20*F20,2)</f>
        <v>3051.1</v>
      </c>
      <c r="I20" s="7">
        <v>873042</v>
      </c>
      <c r="J20" s="7">
        <v>804400</v>
      </c>
      <c r="K20" s="7">
        <v>865139</v>
      </c>
      <c r="O20" s="19">
        <f>+T6+C20</f>
        <v>12202022</v>
      </c>
      <c r="P20" s="19">
        <f>+O20-O6-P6</f>
        <v>-1700333</v>
      </c>
    </row>
    <row r="21" spans="1:16" ht="14.25" x14ac:dyDescent="0.2">
      <c r="A21" s="2" t="s">
        <v>4</v>
      </c>
      <c r="B21" s="3" t="s">
        <v>3</v>
      </c>
      <c r="C21" s="7">
        <f t="shared" ref="C21:C25" si="14">+I21+J21+K21</f>
        <v>930238</v>
      </c>
      <c r="D21" s="9">
        <v>2.7000000000000001E-3</v>
      </c>
      <c r="E21" s="6">
        <f t="shared" ref="E21:E25" si="15">ROUND(+C21*D21,2)</f>
        <v>2511.64</v>
      </c>
      <c r="F21" s="9">
        <f t="shared" ref="F21:F25" si="16">+S7</f>
        <v>1.1999999999999997E-3</v>
      </c>
      <c r="G21" s="6">
        <f t="shared" ref="G21:G25" si="17">ROUND(+C21*F21,2)</f>
        <v>1116.29</v>
      </c>
      <c r="I21" s="7">
        <v>315643</v>
      </c>
      <c r="J21" s="7">
        <v>303617</v>
      </c>
      <c r="K21" s="7">
        <v>310978</v>
      </c>
      <c r="O21" s="19">
        <f t="shared" ref="O21:O24" si="18">+T7+C21</f>
        <v>4151727</v>
      </c>
      <c r="P21" s="19">
        <f t="shared" ref="P21:P24" si="19">+O21-O7-P7</f>
        <v>-151706</v>
      </c>
    </row>
    <row r="22" spans="1:16" ht="14.25" x14ac:dyDescent="0.2">
      <c r="A22" s="2" t="s">
        <v>5</v>
      </c>
      <c r="B22" s="3" t="s">
        <v>6</v>
      </c>
      <c r="C22" s="7">
        <f t="shared" si="14"/>
        <v>2132.1099999999997</v>
      </c>
      <c r="D22" s="9">
        <v>1.0580000000000001</v>
      </c>
      <c r="E22" s="6">
        <f t="shared" si="15"/>
        <v>2255.77</v>
      </c>
      <c r="F22" s="9">
        <f t="shared" si="16"/>
        <v>0.47809999999999997</v>
      </c>
      <c r="G22" s="6">
        <f t="shared" si="17"/>
        <v>1019.36</v>
      </c>
      <c r="I22" s="7">
        <v>820.3</v>
      </c>
      <c r="J22" s="7">
        <v>648.01</v>
      </c>
      <c r="K22" s="7">
        <v>663.8</v>
      </c>
      <c r="O22" s="19">
        <f t="shared" si="18"/>
        <v>10133.11</v>
      </c>
      <c r="P22" s="19">
        <f t="shared" si="19"/>
        <v>-1015.8899999999994</v>
      </c>
    </row>
    <row r="23" spans="1:16" ht="14.25" x14ac:dyDescent="0.2">
      <c r="A23" s="2" t="s">
        <v>7</v>
      </c>
      <c r="B23" s="3" t="s">
        <v>6</v>
      </c>
      <c r="C23" s="7">
        <f t="shared" si="14"/>
        <v>106.19999999999999</v>
      </c>
      <c r="D23" s="9">
        <v>0.96960000000000002</v>
      </c>
      <c r="E23" s="6">
        <f t="shared" si="15"/>
        <v>102.97</v>
      </c>
      <c r="F23" s="9">
        <f t="shared" si="16"/>
        <v>3.960000000000008E-2</v>
      </c>
      <c r="G23" s="6">
        <f t="shared" si="17"/>
        <v>4.21</v>
      </c>
      <c r="I23" s="7">
        <v>35.4</v>
      </c>
      <c r="J23" s="7">
        <v>35.4</v>
      </c>
      <c r="K23" s="7">
        <v>35.4</v>
      </c>
      <c r="O23" s="19">
        <f t="shared" si="18"/>
        <v>424.2</v>
      </c>
      <c r="P23" s="19">
        <f t="shared" si="19"/>
        <v>-68.800000000000011</v>
      </c>
    </row>
    <row r="24" spans="1:16" ht="14.25" x14ac:dyDescent="0.2">
      <c r="A24" s="2" t="s">
        <v>8</v>
      </c>
      <c r="B24" s="3" t="s">
        <v>3</v>
      </c>
      <c r="C24" s="7">
        <f t="shared" si="14"/>
        <v>4320</v>
      </c>
      <c r="D24" s="9">
        <v>2.7000000000000001E-3</v>
      </c>
      <c r="E24" s="6">
        <f t="shared" si="15"/>
        <v>11.66</v>
      </c>
      <c r="F24" s="9">
        <f t="shared" si="16"/>
        <v>2.12E-2</v>
      </c>
      <c r="G24" s="6">
        <f t="shared" si="17"/>
        <v>91.58</v>
      </c>
      <c r="I24" s="7">
        <v>1440</v>
      </c>
      <c r="J24" s="7">
        <v>1440</v>
      </c>
      <c r="K24" s="7">
        <v>1440</v>
      </c>
      <c r="O24" s="19">
        <f t="shared" si="18"/>
        <v>17274</v>
      </c>
      <c r="P24" s="19">
        <f t="shared" si="19"/>
        <v>-1337</v>
      </c>
    </row>
    <row r="25" spans="1:16" ht="14.25" x14ac:dyDescent="0.2">
      <c r="A25" s="2" t="s">
        <v>9</v>
      </c>
      <c r="B25" s="3"/>
      <c r="C25" s="7">
        <f t="shared" si="14"/>
        <v>0</v>
      </c>
      <c r="D25" s="9">
        <v>0</v>
      </c>
      <c r="E25" s="6">
        <f t="shared" si="15"/>
        <v>0</v>
      </c>
      <c r="F25" s="9">
        <f t="shared" si="16"/>
        <v>0</v>
      </c>
      <c r="G25" s="6">
        <f t="shared" si="17"/>
        <v>0</v>
      </c>
      <c r="I25" s="7">
        <v>0</v>
      </c>
      <c r="J25" s="7">
        <v>0</v>
      </c>
      <c r="K25" s="7">
        <v>0</v>
      </c>
    </row>
    <row r="26" spans="1:16" ht="15" x14ac:dyDescent="0.2">
      <c r="A26" s="4" t="s">
        <v>10</v>
      </c>
      <c r="B26" s="4"/>
      <c r="C26" s="8"/>
      <c r="D26" s="10"/>
      <c r="E26" s="21">
        <f>SUM(E20:E25)</f>
        <v>11747.01</v>
      </c>
      <c r="F26" s="10"/>
      <c r="G26" s="21">
        <f>SUM(G20:G25)</f>
        <v>5282.5399999999991</v>
      </c>
      <c r="I26" s="8"/>
      <c r="J26" s="8"/>
      <c r="K26" s="8"/>
    </row>
    <row r="29" spans="1:16" x14ac:dyDescent="0.2">
      <c r="A29" s="11" t="s">
        <v>15</v>
      </c>
    </row>
    <row r="30" spans="1:16" ht="75" x14ac:dyDescent="0.2">
      <c r="A30" s="1" t="s">
        <v>0</v>
      </c>
      <c r="B30" s="1" t="s">
        <v>1</v>
      </c>
      <c r="C30" s="5" t="s">
        <v>12</v>
      </c>
      <c r="D30" s="5" t="s">
        <v>11</v>
      </c>
      <c r="E30" s="5" t="s">
        <v>13</v>
      </c>
      <c r="I30" s="5" t="s">
        <v>16</v>
      </c>
      <c r="J30" s="5" t="s">
        <v>17</v>
      </c>
      <c r="K30" s="5" t="s">
        <v>18</v>
      </c>
    </row>
    <row r="31" spans="1:16" ht="14.25" x14ac:dyDescent="0.2">
      <c r="A31" s="2" t="s">
        <v>2</v>
      </c>
      <c r="B31" s="3" t="s">
        <v>3</v>
      </c>
      <c r="C31" s="7">
        <f>+I31+J31+K31</f>
        <v>22994</v>
      </c>
      <c r="D31" s="9">
        <v>-7.0000000000000001E-3</v>
      </c>
      <c r="E31" s="6">
        <f>ROUND(+C31*D31,2)</f>
        <v>-160.96</v>
      </c>
      <c r="H31" s="12"/>
      <c r="I31" s="7">
        <v>11022</v>
      </c>
      <c r="J31" s="7">
        <v>11972</v>
      </c>
      <c r="K31" s="7">
        <v>0</v>
      </c>
    </row>
    <row r="32" spans="1:16" ht="14.25" x14ac:dyDescent="0.2">
      <c r="A32" s="2" t="s">
        <v>4</v>
      </c>
      <c r="B32" s="3" t="s">
        <v>3</v>
      </c>
      <c r="C32" s="7">
        <f t="shared" ref="C32:C36" si="20">+I32+J32+K32</f>
        <v>40618</v>
      </c>
      <c r="D32" s="9">
        <v>-7.0000000000000001E-3</v>
      </c>
      <c r="E32" s="6">
        <f t="shared" ref="E32:E36" si="21">ROUND(+C32*D32,2)</f>
        <v>-284.33</v>
      </c>
      <c r="H32" s="12"/>
      <c r="I32" s="7">
        <v>18889</v>
      </c>
      <c r="J32" s="7">
        <v>2210</v>
      </c>
      <c r="K32" s="7">
        <v>19519</v>
      </c>
    </row>
    <row r="33" spans="1:11" ht="14.25" x14ac:dyDescent="0.2">
      <c r="A33" s="2" t="s">
        <v>5</v>
      </c>
      <c r="B33" s="3" t="s">
        <v>6</v>
      </c>
      <c r="C33" s="7">
        <f t="shared" si="20"/>
        <v>2132.1099999999997</v>
      </c>
      <c r="D33" s="9">
        <v>-2.1286999999999998</v>
      </c>
      <c r="E33" s="6">
        <f t="shared" si="21"/>
        <v>-4538.62</v>
      </c>
      <c r="H33" s="12"/>
      <c r="I33" s="7">
        <v>820.3</v>
      </c>
      <c r="J33" s="7">
        <v>648.01</v>
      </c>
      <c r="K33" s="7">
        <v>663.8</v>
      </c>
    </row>
    <row r="34" spans="1:11" ht="14.25" x14ac:dyDescent="0.2">
      <c r="A34" s="2" t="s">
        <v>7</v>
      </c>
      <c r="B34" s="3" t="s">
        <v>6</v>
      </c>
      <c r="C34" s="7">
        <f t="shared" si="20"/>
        <v>106.19999999999999</v>
      </c>
      <c r="D34" s="9">
        <v>-2.5396000000000001</v>
      </c>
      <c r="E34" s="6">
        <f t="shared" si="21"/>
        <v>-269.70999999999998</v>
      </c>
      <c r="H34" s="12"/>
      <c r="I34" s="7">
        <v>35.4</v>
      </c>
      <c r="J34" s="7">
        <v>35.4</v>
      </c>
      <c r="K34" s="7">
        <v>35.4</v>
      </c>
    </row>
    <row r="35" spans="1:11" ht="14.25" x14ac:dyDescent="0.2">
      <c r="A35" s="2" t="s">
        <v>8</v>
      </c>
      <c r="B35" s="3" t="s">
        <v>3</v>
      </c>
      <c r="C35" s="7">
        <f t="shared" si="20"/>
        <v>0</v>
      </c>
      <c r="D35" s="9">
        <v>0</v>
      </c>
      <c r="E35" s="6">
        <f t="shared" si="21"/>
        <v>0</v>
      </c>
      <c r="I35" s="7">
        <v>0</v>
      </c>
      <c r="J35" s="7">
        <v>0</v>
      </c>
      <c r="K35" s="7">
        <v>0</v>
      </c>
    </row>
    <row r="36" spans="1:11" ht="14.25" x14ac:dyDescent="0.2">
      <c r="A36" s="2" t="s">
        <v>9</v>
      </c>
      <c r="B36" s="3"/>
      <c r="C36" s="7">
        <f t="shared" si="20"/>
        <v>0</v>
      </c>
      <c r="D36" s="9">
        <v>0</v>
      </c>
      <c r="E36" s="6">
        <f t="shared" si="21"/>
        <v>0</v>
      </c>
      <c r="I36" s="7">
        <v>0</v>
      </c>
      <c r="J36" s="7">
        <v>0</v>
      </c>
      <c r="K36" s="7">
        <v>0</v>
      </c>
    </row>
    <row r="37" spans="1:11" ht="15" x14ac:dyDescent="0.2">
      <c r="A37" s="4" t="s">
        <v>10</v>
      </c>
      <c r="B37" s="4"/>
      <c r="C37" s="8"/>
      <c r="D37" s="10"/>
      <c r="E37" s="21">
        <f>SUM(E31:E36)</f>
        <v>-5253.62</v>
      </c>
      <c r="I37" s="8"/>
      <c r="J37" s="8"/>
      <c r="K37" s="8"/>
    </row>
    <row r="38" spans="1:11" ht="15" x14ac:dyDescent="0.25">
      <c r="E38" s="22"/>
    </row>
    <row r="39" spans="1:11" ht="15" x14ac:dyDescent="0.2">
      <c r="A39" s="4" t="s">
        <v>10</v>
      </c>
      <c r="B39" s="4"/>
      <c r="C39" s="8"/>
      <c r="D39" s="10"/>
      <c r="E39" s="21">
        <f>+E26+E37</f>
        <v>6493.39</v>
      </c>
    </row>
  </sheetData>
  <dataValidations count="1">
    <dataValidation type="list" allowBlank="1" showInputMessage="1" showErrorMessage="1" sqref="B20:B25 B31:B36" xr:uid="{00000000-0002-0000-0000-000000000000}">
      <formula1>"kW,kWh"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Hydro 2000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Gerald (CA - Hawkesbury)</dc:creator>
  <cp:lastModifiedBy>Tandem Energy Services</cp:lastModifiedBy>
  <dcterms:created xsi:type="dcterms:W3CDTF">2016-08-05T12:57:47Z</dcterms:created>
  <dcterms:modified xsi:type="dcterms:W3CDTF">2019-02-28T02:13:42Z</dcterms:modified>
</cp:coreProperties>
</file>