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48" yWindow="120" windowWidth="23256" windowHeight="13176" tabRatio="803" activeTab="2"/>
  </bookViews>
  <sheets>
    <sheet name="Data-DO NOT PRINT" sheetId="4" r:id="rId1"/>
    <sheet name="Summary-DO NOT PRINT" sheetId="28" r:id="rId2"/>
    <sheet name="Res_RPP_Low" sheetId="1" r:id="rId3"/>
    <sheet name="Res_RPP_Typical" sheetId="17" r:id="rId4"/>
    <sheet name="Res_RPP_High" sheetId="18" r:id="rId5"/>
    <sheet name="GS&lt;50kW_RPP" sheetId="20" r:id="rId6"/>
    <sheet name="GS 50-4,999kW" sheetId="22" r:id="rId7"/>
    <sheet name="USL" sheetId="24" r:id="rId8"/>
    <sheet name="SenLgt" sheetId="26" r:id="rId9"/>
    <sheet name="StLgt" sheetId="25" r:id="rId10"/>
    <sheet name="Emb_Dist" sheetId="23" r:id="rId11"/>
    <sheet name="Res_NonRPP_Typical" sheetId="19" r:id="rId12"/>
    <sheet name="GS&lt;50kW_NonRPP" sheetId="27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AC11" i="4" l="1"/>
  <c r="AB11" i="4"/>
  <c r="AC10" i="4"/>
  <c r="AB10" i="4"/>
  <c r="AC9" i="4"/>
  <c r="AB9" i="4"/>
  <c r="AC8" i="4"/>
  <c r="AB8" i="4"/>
  <c r="AC7" i="4"/>
  <c r="AB7" i="4"/>
  <c r="AC5" i="4"/>
  <c r="AC6" i="4" s="1"/>
  <c r="AB5" i="4"/>
  <c r="AB6" i="4" s="1"/>
  <c r="AC3" i="4"/>
  <c r="AC4" i="4" s="1"/>
  <c r="AB3" i="4"/>
  <c r="AB4" i="4" s="1"/>
  <c r="C15" i="19" l="1"/>
  <c r="C15" i="27"/>
  <c r="F28" i="27" l="1"/>
  <c r="F28" i="19"/>
  <c r="D14" i="28" l="1"/>
  <c r="D7" i="28"/>
  <c r="D6" i="28"/>
  <c r="D5" i="28"/>
  <c r="B4" i="20" l="1"/>
  <c r="D8" i="28" s="1"/>
  <c r="B4" i="27"/>
  <c r="F29" i="27"/>
  <c r="E28" i="27"/>
  <c r="G28" i="27" s="1"/>
  <c r="D28" i="27"/>
  <c r="F24" i="27"/>
  <c r="C24" i="27"/>
  <c r="F23" i="27"/>
  <c r="C23" i="27"/>
  <c r="E21" i="27"/>
  <c r="C21" i="27"/>
  <c r="D21" i="27" s="1"/>
  <c r="F20" i="27"/>
  <c r="C20" i="27"/>
  <c r="F19" i="27"/>
  <c r="C19" i="27"/>
  <c r="F18" i="27"/>
  <c r="C18" i="27"/>
  <c r="F17" i="27"/>
  <c r="C17" i="27"/>
  <c r="F16" i="27"/>
  <c r="E16" i="27"/>
  <c r="C16" i="27"/>
  <c r="D16" i="27" s="1"/>
  <c r="F13" i="27"/>
  <c r="C13" i="27"/>
  <c r="F12" i="27"/>
  <c r="E12" i="27"/>
  <c r="C12" i="27"/>
  <c r="D12" i="27" s="1"/>
  <c r="F11" i="27"/>
  <c r="C11" i="27"/>
  <c r="F10" i="27"/>
  <c r="G10" i="27" s="1"/>
  <c r="E10" i="27"/>
  <c r="C10" i="27"/>
  <c r="D10" i="27" s="1"/>
  <c r="B5" i="27"/>
  <c r="B29" i="19"/>
  <c r="D29" i="19" s="1"/>
  <c r="F29" i="19"/>
  <c r="F30" i="26"/>
  <c r="G29" i="26"/>
  <c r="H29" i="26" s="1"/>
  <c r="I29" i="26" s="1"/>
  <c r="E29" i="26"/>
  <c r="D29" i="26"/>
  <c r="F25" i="26"/>
  <c r="C25" i="26"/>
  <c r="F24" i="26"/>
  <c r="C24" i="26"/>
  <c r="E22" i="26"/>
  <c r="C22" i="26"/>
  <c r="D22" i="26" s="1"/>
  <c r="F21" i="26"/>
  <c r="C21" i="26"/>
  <c r="F20" i="26"/>
  <c r="C20" i="26"/>
  <c r="F19" i="26"/>
  <c r="C19" i="26"/>
  <c r="F18" i="26"/>
  <c r="C18" i="26"/>
  <c r="F17" i="26"/>
  <c r="G17" i="26" s="1"/>
  <c r="E17" i="26"/>
  <c r="C17" i="26"/>
  <c r="D17" i="26" s="1"/>
  <c r="F14" i="26"/>
  <c r="C14" i="26"/>
  <c r="F13" i="26"/>
  <c r="G13" i="26" s="1"/>
  <c r="E13" i="26"/>
  <c r="C13" i="26"/>
  <c r="D13" i="26" s="1"/>
  <c r="F12" i="26"/>
  <c r="C12" i="26"/>
  <c r="F11" i="26"/>
  <c r="E11" i="26"/>
  <c r="C11" i="26"/>
  <c r="D11" i="26" s="1"/>
  <c r="B6" i="26"/>
  <c r="B5" i="26"/>
  <c r="B4" i="26"/>
  <c r="F30" i="25"/>
  <c r="E29" i="25"/>
  <c r="G29" i="25" s="1"/>
  <c r="H29" i="25" s="1"/>
  <c r="I29" i="25" s="1"/>
  <c r="D29" i="25"/>
  <c r="F25" i="25"/>
  <c r="C25" i="25"/>
  <c r="F24" i="25"/>
  <c r="C24" i="25"/>
  <c r="E22" i="25"/>
  <c r="C22" i="25"/>
  <c r="D22" i="25" s="1"/>
  <c r="F21" i="25"/>
  <c r="C21" i="25"/>
  <c r="F20" i="25"/>
  <c r="C20" i="25"/>
  <c r="F19" i="25"/>
  <c r="C19" i="25"/>
  <c r="F18" i="25"/>
  <c r="C18" i="25"/>
  <c r="F17" i="25"/>
  <c r="E17" i="25"/>
  <c r="C17" i="25"/>
  <c r="D17" i="25" s="1"/>
  <c r="F14" i="25"/>
  <c r="C14" i="25"/>
  <c r="F13" i="25"/>
  <c r="E13" i="25"/>
  <c r="C13" i="25"/>
  <c r="D13" i="25" s="1"/>
  <c r="F12" i="25"/>
  <c r="C12" i="25"/>
  <c r="F11" i="25"/>
  <c r="G11" i="25" s="1"/>
  <c r="E11" i="25"/>
  <c r="C11" i="25"/>
  <c r="D11" i="25" s="1"/>
  <c r="B6" i="25"/>
  <c r="B5" i="25"/>
  <c r="B4" i="25"/>
  <c r="H10" i="27" l="1"/>
  <c r="I10" i="27" s="1"/>
  <c r="D12" i="28"/>
  <c r="B31" i="25"/>
  <c r="B30" i="25"/>
  <c r="C16" i="25"/>
  <c r="F16" i="25" s="1"/>
  <c r="B31" i="26"/>
  <c r="C16" i="26"/>
  <c r="F16" i="26" s="1"/>
  <c r="B30" i="26"/>
  <c r="E29" i="19"/>
  <c r="G29" i="19" s="1"/>
  <c r="B20" i="27"/>
  <c r="E20" i="27" s="1"/>
  <c r="G20" i="27" s="1"/>
  <c r="B29" i="27"/>
  <c r="D15" i="28"/>
  <c r="H28" i="27"/>
  <c r="I28" i="27" s="1"/>
  <c r="B12" i="25"/>
  <c r="E12" i="25" s="1"/>
  <c r="G12" i="25" s="1"/>
  <c r="E12" i="28"/>
  <c r="B21" i="26"/>
  <c r="D21" i="26" s="1"/>
  <c r="E11" i="28"/>
  <c r="B7" i="26"/>
  <c r="B16" i="26" s="1"/>
  <c r="H17" i="26"/>
  <c r="I17" i="26" s="1"/>
  <c r="B20" i="26"/>
  <c r="D20" i="26" s="1"/>
  <c r="D11" i="28"/>
  <c r="F22" i="26"/>
  <c r="G22" i="26" s="1"/>
  <c r="H22" i="26" s="1"/>
  <c r="I22" i="26" s="1"/>
  <c r="F21" i="27"/>
  <c r="G21" i="27" s="1"/>
  <c r="H21" i="27" s="1"/>
  <c r="I21" i="27" s="1"/>
  <c r="G12" i="27"/>
  <c r="H12" i="27" s="1"/>
  <c r="I12" i="27" s="1"/>
  <c r="B6" i="27"/>
  <c r="B24" i="27" s="1"/>
  <c r="B13" i="27"/>
  <c r="F15" i="27"/>
  <c r="B11" i="27"/>
  <c r="E11" i="27" s="1"/>
  <c r="G11" i="27" s="1"/>
  <c r="B17" i="27"/>
  <c r="E17" i="27" s="1"/>
  <c r="G17" i="27" s="1"/>
  <c r="B18" i="27"/>
  <c r="E18" i="27" s="1"/>
  <c r="G18" i="27" s="1"/>
  <c r="B19" i="27"/>
  <c r="E19" i="27" s="1"/>
  <c r="G19" i="27" s="1"/>
  <c r="D11" i="27"/>
  <c r="G16" i="27"/>
  <c r="H16" i="27" s="1"/>
  <c r="I16" i="27" s="1"/>
  <c r="H29" i="19"/>
  <c r="I29" i="19" s="1"/>
  <c r="G11" i="26"/>
  <c r="H11" i="26" s="1"/>
  <c r="I11" i="26" s="1"/>
  <c r="H13" i="26"/>
  <c r="I13" i="26" s="1"/>
  <c r="B24" i="26"/>
  <c r="B14" i="26"/>
  <c r="E14" i="26" s="1"/>
  <c r="G14" i="26" s="1"/>
  <c r="B12" i="26"/>
  <c r="B25" i="26"/>
  <c r="B28" i="26"/>
  <c r="B18" i="26"/>
  <c r="B19" i="26"/>
  <c r="G13" i="25"/>
  <c r="H13" i="25" s="1"/>
  <c r="I13" i="25" s="1"/>
  <c r="G17" i="25"/>
  <c r="H17" i="25" s="1"/>
  <c r="I17" i="25" s="1"/>
  <c r="F22" i="25"/>
  <c r="G22" i="25" s="1"/>
  <c r="H22" i="25" s="1"/>
  <c r="I22" i="25" s="1"/>
  <c r="B25" i="25"/>
  <c r="E25" i="25" s="1"/>
  <c r="G25" i="25" s="1"/>
  <c r="B24" i="25"/>
  <c r="E24" i="25" s="1"/>
  <c r="G24" i="25" s="1"/>
  <c r="B7" i="25"/>
  <c r="B16" i="25" s="1"/>
  <c r="B20" i="25"/>
  <c r="D12" i="25"/>
  <c r="H11" i="25"/>
  <c r="I11" i="25" s="1"/>
  <c r="B18" i="25"/>
  <c r="B19" i="25"/>
  <c r="B21" i="25"/>
  <c r="B14" i="25"/>
  <c r="D20" i="27" l="1"/>
  <c r="E21" i="26"/>
  <c r="G21" i="26" s="1"/>
  <c r="B15" i="27"/>
  <c r="E15" i="27" s="1"/>
  <c r="G15" i="27" s="1"/>
  <c r="E20" i="26"/>
  <c r="G20" i="26" s="1"/>
  <c r="H20" i="26" s="1"/>
  <c r="I20" i="26" s="1"/>
  <c r="D14" i="26"/>
  <c r="H14" i="26" s="1"/>
  <c r="I14" i="26" s="1"/>
  <c r="B26" i="27"/>
  <c r="D26" i="27" s="1"/>
  <c r="B27" i="26"/>
  <c r="D27" i="26" s="1"/>
  <c r="B27" i="27"/>
  <c r="E27" i="27" s="1"/>
  <c r="G27" i="27" s="1"/>
  <c r="E16" i="25"/>
  <c r="G16" i="25" s="1"/>
  <c r="D16" i="25"/>
  <c r="B23" i="27"/>
  <c r="D23" i="27" s="1"/>
  <c r="E16" i="26"/>
  <c r="G16" i="26" s="1"/>
  <c r="D16" i="26"/>
  <c r="D19" i="27"/>
  <c r="H19" i="27" s="1"/>
  <c r="I19" i="27" s="1"/>
  <c r="H11" i="27"/>
  <c r="I11" i="27" s="1"/>
  <c r="E13" i="27"/>
  <c r="G13" i="27" s="1"/>
  <c r="D13" i="27"/>
  <c r="D14" i="27" s="1"/>
  <c r="D18" i="27"/>
  <c r="H18" i="27" s="1"/>
  <c r="I18" i="27" s="1"/>
  <c r="D17" i="27"/>
  <c r="H17" i="27" s="1"/>
  <c r="I17" i="27" s="1"/>
  <c r="E29" i="27"/>
  <c r="G29" i="27" s="1"/>
  <c r="D29" i="27"/>
  <c r="H20" i="27"/>
  <c r="I20" i="27" s="1"/>
  <c r="E24" i="27"/>
  <c r="G24" i="27" s="1"/>
  <c r="D24" i="27"/>
  <c r="E23" i="27"/>
  <c r="G23" i="27" s="1"/>
  <c r="D12" i="26"/>
  <c r="D15" i="26" s="1"/>
  <c r="E12" i="26"/>
  <c r="G12" i="26" s="1"/>
  <c r="G15" i="26" s="1"/>
  <c r="E25" i="26"/>
  <c r="G25" i="26" s="1"/>
  <c r="D25" i="26"/>
  <c r="D24" i="26"/>
  <c r="E24" i="26"/>
  <c r="G24" i="26" s="1"/>
  <c r="E28" i="26"/>
  <c r="G28" i="26" s="1"/>
  <c r="D28" i="26"/>
  <c r="D31" i="26"/>
  <c r="E31" i="26"/>
  <c r="G31" i="26" s="1"/>
  <c r="E30" i="26"/>
  <c r="G30" i="26" s="1"/>
  <c r="D30" i="26"/>
  <c r="E19" i="26"/>
  <c r="G19" i="26" s="1"/>
  <c r="D19" i="26"/>
  <c r="E18" i="26"/>
  <c r="G18" i="26" s="1"/>
  <c r="D18" i="26"/>
  <c r="E27" i="26"/>
  <c r="G27" i="26" s="1"/>
  <c r="H21" i="26"/>
  <c r="I21" i="26" s="1"/>
  <c r="H12" i="25"/>
  <c r="I12" i="25" s="1"/>
  <c r="D24" i="25"/>
  <c r="H24" i="25" s="1"/>
  <c r="I24" i="25" s="1"/>
  <c r="D25" i="25"/>
  <c r="H25" i="25" s="1"/>
  <c r="I25" i="25" s="1"/>
  <c r="D21" i="25"/>
  <c r="E21" i="25"/>
  <c r="G21" i="25" s="1"/>
  <c r="B28" i="25"/>
  <c r="B27" i="25"/>
  <c r="D19" i="25"/>
  <c r="E19" i="25"/>
  <c r="G19" i="25" s="1"/>
  <c r="D18" i="25"/>
  <c r="E18" i="25"/>
  <c r="G18" i="25" s="1"/>
  <c r="E14" i="25"/>
  <c r="G14" i="25" s="1"/>
  <c r="D14" i="25"/>
  <c r="D15" i="25" s="1"/>
  <c r="D20" i="25"/>
  <c r="E20" i="25"/>
  <c r="G20" i="25" s="1"/>
  <c r="D27" i="27" l="1"/>
  <c r="H27" i="27" s="1"/>
  <c r="I27" i="27" s="1"/>
  <c r="E26" i="27"/>
  <c r="G26" i="27" s="1"/>
  <c r="D15" i="27"/>
  <c r="D22" i="27" s="1"/>
  <c r="D25" i="27" s="1"/>
  <c r="H16" i="25"/>
  <c r="I16" i="25" s="1"/>
  <c r="D23" i="26"/>
  <c r="D26" i="26" s="1"/>
  <c r="D33" i="26" s="1"/>
  <c r="G23" i="26"/>
  <c r="H16" i="26"/>
  <c r="I16" i="26" s="1"/>
  <c r="H15" i="26"/>
  <c r="I15" i="26" s="1"/>
  <c r="G11" i="28" s="1"/>
  <c r="H30" i="26"/>
  <c r="I30" i="26" s="1"/>
  <c r="H18" i="25"/>
  <c r="I18" i="25" s="1"/>
  <c r="H31" i="26"/>
  <c r="I31" i="26" s="1"/>
  <c r="H24" i="26"/>
  <c r="I24" i="26" s="1"/>
  <c r="H12" i="26"/>
  <c r="I12" i="26" s="1"/>
  <c r="H26" i="27"/>
  <c r="I26" i="27" s="1"/>
  <c r="H29" i="27"/>
  <c r="I29" i="27" s="1"/>
  <c r="H13" i="27"/>
  <c r="I13" i="27" s="1"/>
  <c r="G14" i="27"/>
  <c r="H14" i="27" s="1"/>
  <c r="H23" i="27"/>
  <c r="I23" i="27" s="1"/>
  <c r="H24" i="27"/>
  <c r="I24" i="27" s="1"/>
  <c r="H25" i="26"/>
  <c r="I25" i="26" s="1"/>
  <c r="H28" i="26"/>
  <c r="I28" i="26" s="1"/>
  <c r="H19" i="26"/>
  <c r="I19" i="26" s="1"/>
  <c r="H27" i="26"/>
  <c r="I27" i="26" s="1"/>
  <c r="H18" i="26"/>
  <c r="I18" i="26" s="1"/>
  <c r="D31" i="25"/>
  <c r="E31" i="25"/>
  <c r="G31" i="25" s="1"/>
  <c r="H21" i="25"/>
  <c r="I21" i="25" s="1"/>
  <c r="D23" i="25"/>
  <c r="D26" i="25" s="1"/>
  <c r="H19" i="25"/>
  <c r="I19" i="25" s="1"/>
  <c r="D28" i="25"/>
  <c r="E28" i="25"/>
  <c r="G28" i="25" s="1"/>
  <c r="H14" i="25"/>
  <c r="I14" i="25" s="1"/>
  <c r="E27" i="25"/>
  <c r="G27" i="25" s="1"/>
  <c r="D27" i="25"/>
  <c r="H20" i="25"/>
  <c r="I20" i="25" s="1"/>
  <c r="G15" i="25"/>
  <c r="E30" i="25"/>
  <c r="G30" i="25" s="1"/>
  <c r="D30" i="25"/>
  <c r="D31" i="27" l="1"/>
  <c r="D32" i="27" s="1"/>
  <c r="H15" i="27"/>
  <c r="I15" i="27" s="1"/>
  <c r="H31" i="25"/>
  <c r="I31" i="25" s="1"/>
  <c r="D34" i="26"/>
  <c r="D35" i="26"/>
  <c r="F11" i="28"/>
  <c r="I14" i="27"/>
  <c r="G15" i="28" s="1"/>
  <c r="F15" i="28"/>
  <c r="G22" i="27"/>
  <c r="H22" i="27" s="1"/>
  <c r="G26" i="26"/>
  <c r="H23" i="26"/>
  <c r="D33" i="25"/>
  <c r="H28" i="25"/>
  <c r="I28" i="25" s="1"/>
  <c r="G23" i="25"/>
  <c r="H15" i="25"/>
  <c r="H30" i="25"/>
  <c r="I30" i="25" s="1"/>
  <c r="H27" i="25"/>
  <c r="I27" i="25" s="1"/>
  <c r="D33" i="27" l="1"/>
  <c r="D34" i="27" s="1"/>
  <c r="G25" i="27"/>
  <c r="H25" i="27" s="1"/>
  <c r="D34" i="25"/>
  <c r="D35" i="25"/>
  <c r="D36" i="26"/>
  <c r="I22" i="27"/>
  <c r="I15" i="28" s="1"/>
  <c r="H15" i="28"/>
  <c r="I15" i="25"/>
  <c r="G12" i="28" s="1"/>
  <c r="F12" i="28"/>
  <c r="I23" i="26"/>
  <c r="I11" i="28" s="1"/>
  <c r="H11" i="28"/>
  <c r="G33" i="26"/>
  <c r="H26" i="26"/>
  <c r="H23" i="25"/>
  <c r="G26" i="25"/>
  <c r="G33" i="25" s="1"/>
  <c r="G35" i="25" s="1"/>
  <c r="D36" i="25" l="1"/>
  <c r="G31" i="27"/>
  <c r="H31" i="27" s="1"/>
  <c r="I31" i="27" s="1"/>
  <c r="H35" i="25"/>
  <c r="I35" i="25" s="1"/>
  <c r="G35" i="26"/>
  <c r="H35" i="26" s="1"/>
  <c r="I35" i="26" s="1"/>
  <c r="I23" i="25"/>
  <c r="I12" i="28" s="1"/>
  <c r="H12" i="28"/>
  <c r="I25" i="27"/>
  <c r="K15" i="28" s="1"/>
  <c r="J15" i="28"/>
  <c r="I26" i="26"/>
  <c r="K11" i="28" s="1"/>
  <c r="J11" i="28"/>
  <c r="H33" i="26"/>
  <c r="I33" i="26" s="1"/>
  <c r="G34" i="26"/>
  <c r="H34" i="26" s="1"/>
  <c r="I34" i="26" s="1"/>
  <c r="H26" i="25"/>
  <c r="G32" i="27" l="1"/>
  <c r="H32" i="27" s="1"/>
  <c r="I32" i="27" s="1"/>
  <c r="G33" i="27"/>
  <c r="H33" i="27" s="1"/>
  <c r="I33" i="27" s="1"/>
  <c r="G36" i="26"/>
  <c r="H36" i="26" s="1"/>
  <c r="I26" i="25"/>
  <c r="K12" i="28" s="1"/>
  <c r="J12" i="28"/>
  <c r="H33" i="25"/>
  <c r="I33" i="25" s="1"/>
  <c r="G34" i="25"/>
  <c r="G34" i="27" l="1"/>
  <c r="H34" i="27" s="1"/>
  <c r="L15" i="28" s="1"/>
  <c r="H34" i="25"/>
  <c r="I34" i="25" s="1"/>
  <c r="G36" i="25"/>
  <c r="H36" i="25" s="1"/>
  <c r="I36" i="25" s="1"/>
  <c r="I36" i="26"/>
  <c r="M11" i="28" s="1"/>
  <c r="L11" i="28"/>
  <c r="I34" i="27" l="1"/>
  <c r="M15" i="28" s="1"/>
  <c r="M12" i="28"/>
  <c r="L12" i="28"/>
  <c r="B4" i="24"/>
  <c r="B11" i="24" s="1"/>
  <c r="E11" i="24" s="1"/>
  <c r="F30" i="24"/>
  <c r="F29" i="24"/>
  <c r="E28" i="24"/>
  <c r="G28" i="24" s="1"/>
  <c r="D28" i="24"/>
  <c r="F24" i="24"/>
  <c r="C24" i="24"/>
  <c r="F23" i="24"/>
  <c r="C23" i="24"/>
  <c r="E21" i="24"/>
  <c r="C21" i="24"/>
  <c r="F21" i="24" s="1"/>
  <c r="F20" i="24"/>
  <c r="C20" i="24"/>
  <c r="F19" i="24"/>
  <c r="C19" i="24"/>
  <c r="F18" i="24"/>
  <c r="C18" i="24"/>
  <c r="F17" i="24"/>
  <c r="C17" i="24"/>
  <c r="F16" i="24"/>
  <c r="E16" i="24"/>
  <c r="C16" i="24"/>
  <c r="D16" i="24" s="1"/>
  <c r="F13" i="24"/>
  <c r="C13" i="24"/>
  <c r="F12" i="24"/>
  <c r="E12" i="24"/>
  <c r="C12" i="24"/>
  <c r="D12" i="24" s="1"/>
  <c r="F11" i="24"/>
  <c r="C11" i="24"/>
  <c r="F10" i="24"/>
  <c r="E10" i="24"/>
  <c r="C10" i="24"/>
  <c r="D10" i="24" s="1"/>
  <c r="B5" i="24"/>
  <c r="F28" i="23"/>
  <c r="E27" i="23"/>
  <c r="G27" i="23" s="1"/>
  <c r="D27" i="23"/>
  <c r="F23" i="23"/>
  <c r="C23" i="23"/>
  <c r="F22" i="23"/>
  <c r="C22" i="23"/>
  <c r="E20" i="23"/>
  <c r="C20" i="23"/>
  <c r="D20" i="23" s="1"/>
  <c r="F19" i="23"/>
  <c r="C19" i="23"/>
  <c r="F18" i="23"/>
  <c r="C18" i="23"/>
  <c r="F17" i="23"/>
  <c r="C17" i="23"/>
  <c r="F16" i="23"/>
  <c r="C16" i="23"/>
  <c r="F15" i="23"/>
  <c r="E15" i="23"/>
  <c r="C15" i="23"/>
  <c r="D15" i="23" s="1"/>
  <c r="F13" i="23"/>
  <c r="C13" i="23"/>
  <c r="F12" i="23"/>
  <c r="E12" i="23"/>
  <c r="C12" i="23"/>
  <c r="D12" i="23" s="1"/>
  <c r="F11" i="23"/>
  <c r="C11" i="23"/>
  <c r="F10" i="23"/>
  <c r="E10" i="23"/>
  <c r="C10" i="23"/>
  <c r="D10" i="23" s="1"/>
  <c r="B5" i="23"/>
  <c r="B4" i="23"/>
  <c r="D13" i="28" s="1"/>
  <c r="B4" i="22"/>
  <c r="B5" i="22"/>
  <c r="F29" i="22"/>
  <c r="E28" i="22"/>
  <c r="G28" i="22" s="1"/>
  <c r="D28" i="22"/>
  <c r="F24" i="22"/>
  <c r="C24" i="22"/>
  <c r="F23" i="22"/>
  <c r="C23" i="22"/>
  <c r="E21" i="22"/>
  <c r="C21" i="22"/>
  <c r="F21" i="22" s="1"/>
  <c r="F20" i="22"/>
  <c r="C20" i="22"/>
  <c r="F19" i="22"/>
  <c r="C19" i="22"/>
  <c r="F18" i="22"/>
  <c r="C18" i="22"/>
  <c r="F17" i="22"/>
  <c r="C17" i="22"/>
  <c r="F16" i="22"/>
  <c r="E16" i="22"/>
  <c r="C16" i="22"/>
  <c r="D16" i="22" s="1"/>
  <c r="F14" i="22"/>
  <c r="C14" i="22"/>
  <c r="F13" i="22"/>
  <c r="E13" i="22"/>
  <c r="C13" i="22"/>
  <c r="D13" i="22" s="1"/>
  <c r="F12" i="22"/>
  <c r="C12" i="22"/>
  <c r="F11" i="22"/>
  <c r="E11" i="22"/>
  <c r="C11" i="22"/>
  <c r="D11" i="22" s="1"/>
  <c r="B6" i="22"/>
  <c r="F31" i="20"/>
  <c r="B31" i="20"/>
  <c r="D31" i="20" s="1"/>
  <c r="F30" i="20"/>
  <c r="B30" i="20"/>
  <c r="E30" i="20" s="1"/>
  <c r="G30" i="20" s="1"/>
  <c r="F29" i="20"/>
  <c r="B29" i="20"/>
  <c r="E28" i="20"/>
  <c r="G28" i="20" s="1"/>
  <c r="H28" i="20" s="1"/>
  <c r="I28" i="20" s="1"/>
  <c r="D28" i="20"/>
  <c r="F24" i="20"/>
  <c r="C24" i="20"/>
  <c r="F23" i="20"/>
  <c r="C23" i="20"/>
  <c r="E21" i="20"/>
  <c r="C21" i="20"/>
  <c r="F21" i="20" s="1"/>
  <c r="G21" i="20" s="1"/>
  <c r="F20" i="20"/>
  <c r="C20" i="20"/>
  <c r="B20" i="20"/>
  <c r="F19" i="20"/>
  <c r="C19" i="20"/>
  <c r="B19" i="20"/>
  <c r="F18" i="20"/>
  <c r="C18" i="20"/>
  <c r="B18" i="20"/>
  <c r="F17" i="20"/>
  <c r="C17" i="20"/>
  <c r="B17" i="20"/>
  <c r="F16" i="20"/>
  <c r="G16" i="20" s="1"/>
  <c r="E16" i="20"/>
  <c r="C16" i="20"/>
  <c r="D16" i="20" s="1"/>
  <c r="C15" i="20"/>
  <c r="F15" i="20" s="1"/>
  <c r="F13" i="20"/>
  <c r="C13" i="20"/>
  <c r="B13" i="20"/>
  <c r="F12" i="20"/>
  <c r="E12" i="20"/>
  <c r="C12" i="20"/>
  <c r="D12" i="20" s="1"/>
  <c r="F11" i="20"/>
  <c r="C11" i="20"/>
  <c r="B11" i="20"/>
  <c r="E11" i="20" s="1"/>
  <c r="F10" i="20"/>
  <c r="E10" i="20"/>
  <c r="C10" i="20"/>
  <c r="D10" i="20" s="1"/>
  <c r="B5" i="20"/>
  <c r="B6" i="20" s="1"/>
  <c r="E28" i="19"/>
  <c r="G28" i="19" s="1"/>
  <c r="D28" i="19"/>
  <c r="F24" i="19"/>
  <c r="C24" i="19"/>
  <c r="F23" i="19"/>
  <c r="C23" i="19"/>
  <c r="E21" i="19"/>
  <c r="C21" i="19"/>
  <c r="F21" i="19" s="1"/>
  <c r="G21" i="19" s="1"/>
  <c r="F20" i="19"/>
  <c r="C20" i="19"/>
  <c r="B20" i="19"/>
  <c r="F19" i="19"/>
  <c r="C19" i="19"/>
  <c r="B19" i="19"/>
  <c r="F18" i="19"/>
  <c r="C18" i="19"/>
  <c r="B18" i="19"/>
  <c r="F17" i="19"/>
  <c r="C17" i="19"/>
  <c r="B17" i="19"/>
  <c r="E17" i="19" s="1"/>
  <c r="F16" i="19"/>
  <c r="G16" i="19" s="1"/>
  <c r="E16" i="19"/>
  <c r="C16" i="19"/>
  <c r="D16" i="19" s="1"/>
  <c r="F15" i="19"/>
  <c r="F13" i="19"/>
  <c r="C13" i="19"/>
  <c r="B13" i="19"/>
  <c r="E13" i="19" s="1"/>
  <c r="F12" i="19"/>
  <c r="E12" i="19"/>
  <c r="C12" i="19"/>
  <c r="D12" i="19" s="1"/>
  <c r="F11" i="19"/>
  <c r="C11" i="19"/>
  <c r="B11" i="19"/>
  <c r="E11" i="19" s="1"/>
  <c r="F10" i="19"/>
  <c r="E10" i="19"/>
  <c r="C10" i="19"/>
  <c r="D10" i="19" s="1"/>
  <c r="B5" i="19"/>
  <c r="B6" i="19" s="1"/>
  <c r="F31" i="18"/>
  <c r="B31" i="18"/>
  <c r="E31" i="18" s="1"/>
  <c r="G31" i="18" s="1"/>
  <c r="F30" i="18"/>
  <c r="E30" i="18"/>
  <c r="G30" i="18" s="1"/>
  <c r="H30" i="18" s="1"/>
  <c r="I30" i="18" s="1"/>
  <c r="B30" i="18"/>
  <c r="D30" i="18" s="1"/>
  <c r="F29" i="18"/>
  <c r="D29" i="18"/>
  <c r="B29" i="18"/>
  <c r="E29" i="18" s="1"/>
  <c r="G29" i="18" s="1"/>
  <c r="H29" i="18" s="1"/>
  <c r="I29" i="18" s="1"/>
  <c r="G28" i="18"/>
  <c r="H28" i="18" s="1"/>
  <c r="I28" i="18" s="1"/>
  <c r="E28" i="18"/>
  <c r="D28" i="18"/>
  <c r="F24" i="18"/>
  <c r="C24" i="18"/>
  <c r="F23" i="18"/>
  <c r="C23" i="18"/>
  <c r="E21" i="18"/>
  <c r="C21" i="18"/>
  <c r="F21" i="18" s="1"/>
  <c r="F20" i="18"/>
  <c r="C20" i="18"/>
  <c r="B20" i="18"/>
  <c r="E20" i="18" s="1"/>
  <c r="F19" i="18"/>
  <c r="C19" i="18"/>
  <c r="D19" i="18" s="1"/>
  <c r="B19" i="18"/>
  <c r="E19" i="18" s="1"/>
  <c r="F18" i="18"/>
  <c r="C18" i="18"/>
  <c r="B18" i="18"/>
  <c r="E18" i="18" s="1"/>
  <c r="F17" i="18"/>
  <c r="C17" i="18"/>
  <c r="D17" i="18" s="1"/>
  <c r="B17" i="18"/>
  <c r="E17" i="18" s="1"/>
  <c r="F16" i="18"/>
  <c r="G16" i="18" s="1"/>
  <c r="E16" i="18"/>
  <c r="C16" i="18"/>
  <c r="D16" i="18" s="1"/>
  <c r="C15" i="18"/>
  <c r="F15" i="18" s="1"/>
  <c r="F13" i="18"/>
  <c r="C13" i="18"/>
  <c r="B13" i="18"/>
  <c r="E13" i="18" s="1"/>
  <c r="F12" i="18"/>
  <c r="G12" i="18" s="1"/>
  <c r="E12" i="18"/>
  <c r="C12" i="18"/>
  <c r="D12" i="18" s="1"/>
  <c r="F11" i="18"/>
  <c r="E11" i="18"/>
  <c r="C11" i="18"/>
  <c r="B11" i="18"/>
  <c r="F10" i="18"/>
  <c r="E10" i="18"/>
  <c r="C10" i="18"/>
  <c r="D10" i="18" s="1"/>
  <c r="B5" i="18"/>
  <c r="B6" i="18" s="1"/>
  <c r="F31" i="17"/>
  <c r="B31" i="17"/>
  <c r="D31" i="17" s="1"/>
  <c r="F30" i="17"/>
  <c r="B30" i="17"/>
  <c r="E30" i="17" s="1"/>
  <c r="G30" i="17" s="1"/>
  <c r="F29" i="17"/>
  <c r="D29" i="17"/>
  <c r="B29" i="17"/>
  <c r="E29" i="17" s="1"/>
  <c r="G29" i="17" s="1"/>
  <c r="G28" i="17"/>
  <c r="H28" i="17" s="1"/>
  <c r="I28" i="17" s="1"/>
  <c r="E28" i="17"/>
  <c r="D28" i="17"/>
  <c r="F24" i="17"/>
  <c r="C24" i="17"/>
  <c r="F23" i="17"/>
  <c r="C23" i="17"/>
  <c r="E21" i="17"/>
  <c r="C21" i="17"/>
  <c r="F21" i="17" s="1"/>
  <c r="G21" i="17" s="1"/>
  <c r="F20" i="17"/>
  <c r="C20" i="17"/>
  <c r="B20" i="17"/>
  <c r="E20" i="17" s="1"/>
  <c r="F19" i="17"/>
  <c r="C19" i="17"/>
  <c r="B19" i="17"/>
  <c r="E19" i="17" s="1"/>
  <c r="F18" i="17"/>
  <c r="C18" i="17"/>
  <c r="B18" i="17"/>
  <c r="E18" i="17" s="1"/>
  <c r="F17" i="17"/>
  <c r="C17" i="17"/>
  <c r="B17" i="17"/>
  <c r="E17" i="17" s="1"/>
  <c r="F16" i="17"/>
  <c r="G16" i="17" s="1"/>
  <c r="E16" i="17"/>
  <c r="C16" i="17"/>
  <c r="D16" i="17" s="1"/>
  <c r="C15" i="17"/>
  <c r="F15" i="17" s="1"/>
  <c r="F13" i="17"/>
  <c r="C13" i="17"/>
  <c r="B13" i="17"/>
  <c r="E13" i="17" s="1"/>
  <c r="F12" i="17"/>
  <c r="G12" i="17" s="1"/>
  <c r="E12" i="17"/>
  <c r="C12" i="17"/>
  <c r="D12" i="17" s="1"/>
  <c r="F11" i="17"/>
  <c r="C11" i="17"/>
  <c r="B11" i="17"/>
  <c r="F10" i="17"/>
  <c r="E10" i="17"/>
  <c r="C10" i="17"/>
  <c r="D10" i="17" s="1"/>
  <c r="B5" i="17"/>
  <c r="B6" i="17" s="1"/>
  <c r="F20" i="1"/>
  <c r="F19" i="1"/>
  <c r="F18" i="1"/>
  <c r="C21" i="1"/>
  <c r="F21" i="1" s="1"/>
  <c r="C20" i="1"/>
  <c r="C19" i="1"/>
  <c r="C18" i="1"/>
  <c r="C15" i="1"/>
  <c r="B20" i="1"/>
  <c r="E20" i="1" s="1"/>
  <c r="B19" i="1"/>
  <c r="E19" i="1" s="1"/>
  <c r="F30" i="1"/>
  <c r="F31" i="1"/>
  <c r="F29" i="1"/>
  <c r="B31" i="1"/>
  <c r="D31" i="1" s="1"/>
  <c r="B30" i="1"/>
  <c r="D30" i="1" s="1"/>
  <c r="B29" i="1"/>
  <c r="E29" i="1" s="1"/>
  <c r="G12" i="23" l="1"/>
  <c r="H12" i="23" s="1"/>
  <c r="I12" i="23" s="1"/>
  <c r="B6" i="24"/>
  <c r="B15" i="24" s="1"/>
  <c r="E15" i="24" s="1"/>
  <c r="D20" i="1"/>
  <c r="G20" i="1"/>
  <c r="D19" i="1"/>
  <c r="G19" i="1"/>
  <c r="G19" i="17"/>
  <c r="G10" i="18"/>
  <c r="H10" i="18" s="1"/>
  <c r="I10" i="18" s="1"/>
  <c r="G11" i="18"/>
  <c r="D21" i="18"/>
  <c r="G19" i="18"/>
  <c r="H19" i="18" s="1"/>
  <c r="I19" i="18" s="1"/>
  <c r="D13" i="20"/>
  <c r="D11" i="20"/>
  <c r="G10" i="17"/>
  <c r="H10" i="17" s="1"/>
  <c r="I10" i="17" s="1"/>
  <c r="H16" i="18"/>
  <c r="I16" i="18" s="1"/>
  <c r="D10" i="28"/>
  <c r="B29" i="24"/>
  <c r="E29" i="24" s="1"/>
  <c r="G29" i="24" s="1"/>
  <c r="C15" i="24"/>
  <c r="B30" i="24"/>
  <c r="E30" i="24" s="1"/>
  <c r="G30" i="24" s="1"/>
  <c r="D11" i="17"/>
  <c r="G18" i="17"/>
  <c r="G12" i="20"/>
  <c r="H12" i="20" s="1"/>
  <c r="I12" i="20" s="1"/>
  <c r="H16" i="20"/>
  <c r="I16" i="20" s="1"/>
  <c r="D30" i="20"/>
  <c r="B14" i="22"/>
  <c r="E14" i="22" s="1"/>
  <c r="G14" i="22" s="1"/>
  <c r="E9" i="28"/>
  <c r="H12" i="17"/>
  <c r="I12" i="17" s="1"/>
  <c r="D11" i="18"/>
  <c r="G20" i="18"/>
  <c r="B19" i="22"/>
  <c r="E19" i="22" s="1"/>
  <c r="G19" i="22" s="1"/>
  <c r="D9" i="28"/>
  <c r="G11" i="19"/>
  <c r="D19" i="19"/>
  <c r="H28" i="19"/>
  <c r="I28" i="19" s="1"/>
  <c r="B17" i="24"/>
  <c r="E17" i="24" s="1"/>
  <c r="G17" i="24" s="1"/>
  <c r="B20" i="24"/>
  <c r="E20" i="24" s="1"/>
  <c r="G20" i="24" s="1"/>
  <c r="B18" i="24"/>
  <c r="E18" i="24" s="1"/>
  <c r="G18" i="24" s="1"/>
  <c r="D18" i="19"/>
  <c r="G10" i="20"/>
  <c r="H10" i="20" s="1"/>
  <c r="I10" i="20" s="1"/>
  <c r="H30" i="20"/>
  <c r="I30" i="20" s="1"/>
  <c r="B6" i="23"/>
  <c r="B23" i="23" s="1"/>
  <c r="D23" i="23" s="1"/>
  <c r="G15" i="23"/>
  <c r="H15" i="23" s="1"/>
  <c r="I15" i="23" s="1"/>
  <c r="G13" i="17"/>
  <c r="G17" i="17"/>
  <c r="H12" i="18"/>
  <c r="I12" i="18" s="1"/>
  <c r="G18" i="18"/>
  <c r="G17" i="19"/>
  <c r="G20" i="17"/>
  <c r="D21" i="17"/>
  <c r="H21" i="17" s="1"/>
  <c r="I21" i="17" s="1"/>
  <c r="G13" i="18"/>
  <c r="G17" i="18"/>
  <c r="H17" i="18" s="1"/>
  <c r="I17" i="18" s="1"/>
  <c r="D20" i="19"/>
  <c r="G11" i="20"/>
  <c r="H11" i="20" s="1"/>
  <c r="I11" i="20" s="1"/>
  <c r="E31" i="20"/>
  <c r="G31" i="20" s="1"/>
  <c r="H31" i="20" s="1"/>
  <c r="I31" i="20" s="1"/>
  <c r="D11" i="19"/>
  <c r="G10" i="19"/>
  <c r="H10" i="19" s="1"/>
  <c r="I10" i="19" s="1"/>
  <c r="G12" i="19"/>
  <c r="H12" i="19" s="1"/>
  <c r="I12" i="19" s="1"/>
  <c r="E18" i="19"/>
  <c r="G18" i="19" s="1"/>
  <c r="E19" i="19"/>
  <c r="G19" i="19" s="1"/>
  <c r="E20" i="19"/>
  <c r="G20" i="19" s="1"/>
  <c r="F20" i="23"/>
  <c r="G20" i="23" s="1"/>
  <c r="H20" i="23" s="1"/>
  <c r="I20" i="23" s="1"/>
  <c r="B18" i="23"/>
  <c r="E18" i="23" s="1"/>
  <c r="G18" i="23" s="1"/>
  <c r="B13" i="23"/>
  <c r="D13" i="23" s="1"/>
  <c r="B11" i="23"/>
  <c r="E11" i="23" s="1"/>
  <c r="G11" i="23" s="1"/>
  <c r="B19" i="23"/>
  <c r="B17" i="23"/>
  <c r="G10" i="23"/>
  <c r="H10" i="23" s="1"/>
  <c r="I10" i="23" s="1"/>
  <c r="B16" i="23"/>
  <c r="H27" i="23"/>
  <c r="I27" i="23" s="1"/>
  <c r="B13" i="24"/>
  <c r="E13" i="24" s="1"/>
  <c r="G13" i="24" s="1"/>
  <c r="B19" i="24"/>
  <c r="E19" i="24" s="1"/>
  <c r="G19" i="24" s="1"/>
  <c r="G12" i="24"/>
  <c r="H12" i="24" s="1"/>
  <c r="I12" i="24" s="1"/>
  <c r="G16" i="24"/>
  <c r="H16" i="24" s="1"/>
  <c r="I16" i="24" s="1"/>
  <c r="G21" i="24"/>
  <c r="H28" i="24"/>
  <c r="I28" i="24" s="1"/>
  <c r="G11" i="24"/>
  <c r="G10" i="24"/>
  <c r="H10" i="24" s="1"/>
  <c r="I10" i="24" s="1"/>
  <c r="D11" i="24"/>
  <c r="D21" i="24"/>
  <c r="B23" i="24"/>
  <c r="B26" i="23"/>
  <c r="B20" i="22"/>
  <c r="E20" i="22" s="1"/>
  <c r="B17" i="22"/>
  <c r="E17" i="22" s="1"/>
  <c r="G17" i="22" s="1"/>
  <c r="B23" i="22"/>
  <c r="B7" i="22"/>
  <c r="G16" i="22"/>
  <c r="H16" i="22" s="1"/>
  <c r="I16" i="22" s="1"/>
  <c r="B18" i="22"/>
  <c r="E18" i="22" s="1"/>
  <c r="G18" i="22" s="1"/>
  <c r="B24" i="22"/>
  <c r="G13" i="22"/>
  <c r="H13" i="22" s="1"/>
  <c r="I13" i="22" s="1"/>
  <c r="H28" i="22"/>
  <c r="I28" i="22" s="1"/>
  <c r="B12" i="22"/>
  <c r="E12" i="22" s="1"/>
  <c r="G12" i="22" s="1"/>
  <c r="G21" i="22"/>
  <c r="G11" i="22"/>
  <c r="H11" i="22" s="1"/>
  <c r="I11" i="22" s="1"/>
  <c r="G20" i="22"/>
  <c r="D21" i="22"/>
  <c r="E17" i="20"/>
  <c r="G17" i="20" s="1"/>
  <c r="D17" i="20"/>
  <c r="E18" i="20"/>
  <c r="G18" i="20" s="1"/>
  <c r="D18" i="20"/>
  <c r="E19" i="20"/>
  <c r="G19" i="20" s="1"/>
  <c r="D19" i="20"/>
  <c r="E20" i="20"/>
  <c r="G20" i="20" s="1"/>
  <c r="D20" i="20"/>
  <c r="D21" i="20"/>
  <c r="H21" i="20" s="1"/>
  <c r="I21" i="20" s="1"/>
  <c r="E29" i="20"/>
  <c r="G29" i="20" s="1"/>
  <c r="D29" i="20"/>
  <c r="B26" i="20"/>
  <c r="B24" i="20"/>
  <c r="B23" i="20"/>
  <c r="B27" i="20"/>
  <c r="E13" i="20"/>
  <c r="G13" i="20" s="1"/>
  <c r="B15" i="20"/>
  <c r="D21" i="19"/>
  <c r="H21" i="19" s="1"/>
  <c r="I21" i="19" s="1"/>
  <c r="G13" i="19"/>
  <c r="D17" i="19"/>
  <c r="B26" i="19"/>
  <c r="B24" i="19"/>
  <c r="B23" i="19"/>
  <c r="B27" i="19"/>
  <c r="B15" i="19"/>
  <c r="H16" i="19"/>
  <c r="I16" i="19" s="1"/>
  <c r="D13" i="19"/>
  <c r="D18" i="18"/>
  <c r="D20" i="18"/>
  <c r="B27" i="18"/>
  <c r="B15" i="18"/>
  <c r="B26" i="18"/>
  <c r="B24" i="18"/>
  <c r="B23" i="18"/>
  <c r="G21" i="18"/>
  <c r="D13" i="18"/>
  <c r="D31" i="18"/>
  <c r="H31" i="18" s="1"/>
  <c r="I31" i="18" s="1"/>
  <c r="H29" i="17"/>
  <c r="I29" i="17" s="1"/>
  <c r="D30" i="17"/>
  <c r="H30" i="17" s="1"/>
  <c r="I30" i="17" s="1"/>
  <c r="E31" i="17"/>
  <c r="G31" i="17" s="1"/>
  <c r="H31" i="17" s="1"/>
  <c r="I31" i="17" s="1"/>
  <c r="E11" i="17"/>
  <c r="G11" i="17" s="1"/>
  <c r="B26" i="17"/>
  <c r="B24" i="17"/>
  <c r="B23" i="17"/>
  <c r="B15" i="17"/>
  <c r="B27" i="17"/>
  <c r="H16" i="17"/>
  <c r="I16" i="17" s="1"/>
  <c r="D17" i="17"/>
  <c r="H17" i="17" s="1"/>
  <c r="I17" i="17" s="1"/>
  <c r="D18" i="17"/>
  <c r="D19" i="17"/>
  <c r="D20" i="17"/>
  <c r="D13" i="17"/>
  <c r="D21" i="1"/>
  <c r="G29" i="1"/>
  <c r="H29" i="1" s="1"/>
  <c r="I29" i="1" s="1"/>
  <c r="E30" i="1"/>
  <c r="G30" i="1" s="1"/>
  <c r="H30" i="1" s="1"/>
  <c r="I30" i="1" s="1"/>
  <c r="E31" i="1"/>
  <c r="G31" i="1" s="1"/>
  <c r="H31" i="1" s="1"/>
  <c r="I31" i="1" s="1"/>
  <c r="D29" i="1"/>
  <c r="H19" i="17" l="1"/>
  <c r="I19" i="17" s="1"/>
  <c r="D14" i="19"/>
  <c r="B27" i="24"/>
  <c r="D27" i="24" s="1"/>
  <c r="H20" i="17"/>
  <c r="I20" i="17" s="1"/>
  <c r="H20" i="18"/>
  <c r="I20" i="18" s="1"/>
  <c r="G14" i="17"/>
  <c r="H11" i="18"/>
  <c r="I11" i="18" s="1"/>
  <c r="D14" i="20"/>
  <c r="H21" i="18"/>
  <c r="I21" i="18" s="1"/>
  <c r="B24" i="24"/>
  <c r="D24" i="24" s="1"/>
  <c r="B26" i="24"/>
  <c r="D26" i="24" s="1"/>
  <c r="G14" i="18"/>
  <c r="H19" i="1"/>
  <c r="I19" i="1" s="1"/>
  <c r="H20" i="1"/>
  <c r="I20" i="1" s="1"/>
  <c r="D14" i="22"/>
  <c r="H14" i="22" s="1"/>
  <c r="I14" i="22" s="1"/>
  <c r="H13" i="17"/>
  <c r="I13" i="17" s="1"/>
  <c r="H11" i="17"/>
  <c r="I11" i="17" s="1"/>
  <c r="E13" i="23"/>
  <c r="G13" i="23" s="1"/>
  <c r="H13" i="23" s="1"/>
  <c r="I13" i="23" s="1"/>
  <c r="H13" i="18"/>
  <c r="I13" i="18" s="1"/>
  <c r="H13" i="20"/>
  <c r="I13" i="20" s="1"/>
  <c r="D20" i="24"/>
  <c r="H18" i="17"/>
  <c r="I18" i="17" s="1"/>
  <c r="E23" i="23"/>
  <c r="G23" i="23" s="1"/>
  <c r="H23" i="23" s="1"/>
  <c r="I23" i="23" s="1"/>
  <c r="H19" i="19"/>
  <c r="I19" i="19" s="1"/>
  <c r="D15" i="24"/>
  <c r="F15" i="24"/>
  <c r="G15" i="24" s="1"/>
  <c r="H21" i="22"/>
  <c r="I21" i="22" s="1"/>
  <c r="H11" i="19"/>
  <c r="I11" i="19" s="1"/>
  <c r="D20" i="22"/>
  <c r="H20" i="22" s="1"/>
  <c r="I20" i="22" s="1"/>
  <c r="H18" i="18"/>
  <c r="I18" i="18" s="1"/>
  <c r="H18" i="19"/>
  <c r="I18" i="19" s="1"/>
  <c r="H20" i="19"/>
  <c r="I20" i="19" s="1"/>
  <c r="H17" i="19"/>
  <c r="I17" i="19" s="1"/>
  <c r="D17" i="24"/>
  <c r="H17" i="24" s="1"/>
  <c r="I17" i="24" s="1"/>
  <c r="D18" i="24"/>
  <c r="H18" i="24" s="1"/>
  <c r="I18" i="24" s="1"/>
  <c r="D11" i="23"/>
  <c r="H11" i="23" s="1"/>
  <c r="I11" i="23" s="1"/>
  <c r="D29" i="24"/>
  <c r="H29" i="24" s="1"/>
  <c r="I29" i="24" s="1"/>
  <c r="B25" i="23"/>
  <c r="E25" i="23" s="1"/>
  <c r="G25" i="23" s="1"/>
  <c r="D19" i="24"/>
  <c r="H19" i="24" s="1"/>
  <c r="I19" i="24" s="1"/>
  <c r="D30" i="24"/>
  <c r="H30" i="24" s="1"/>
  <c r="I30" i="24" s="1"/>
  <c r="D13" i="24"/>
  <c r="H13" i="24" s="1"/>
  <c r="I13" i="24" s="1"/>
  <c r="B28" i="23"/>
  <c r="D28" i="23" s="1"/>
  <c r="B22" i="23"/>
  <c r="G14" i="19"/>
  <c r="D18" i="23"/>
  <c r="H18" i="23" s="1"/>
  <c r="I18" i="23" s="1"/>
  <c r="H11" i="24"/>
  <c r="I11" i="24" s="1"/>
  <c r="G14" i="24"/>
  <c r="H21" i="24"/>
  <c r="I21" i="24" s="1"/>
  <c r="D14" i="24"/>
  <c r="H20" i="24"/>
  <c r="I20" i="24" s="1"/>
  <c r="E27" i="24"/>
  <c r="G27" i="24" s="1"/>
  <c r="E23" i="24"/>
  <c r="G23" i="24" s="1"/>
  <c r="D23" i="24"/>
  <c r="E19" i="23"/>
  <c r="G19" i="23" s="1"/>
  <c r="D19" i="23"/>
  <c r="E16" i="23"/>
  <c r="G16" i="23" s="1"/>
  <c r="D16" i="23"/>
  <c r="E17" i="23"/>
  <c r="G17" i="23" s="1"/>
  <c r="D17" i="23"/>
  <c r="E26" i="23"/>
  <c r="G26" i="23" s="1"/>
  <c r="D26" i="23"/>
  <c r="B26" i="22"/>
  <c r="B29" i="22"/>
  <c r="B27" i="22"/>
  <c r="D27" i="22" s="1"/>
  <c r="D19" i="22"/>
  <c r="H19" i="22" s="1"/>
  <c r="I19" i="22" s="1"/>
  <c r="D18" i="22"/>
  <c r="H18" i="22" s="1"/>
  <c r="I18" i="22" s="1"/>
  <c r="D12" i="22"/>
  <c r="D17" i="22"/>
  <c r="H17" i="22" s="1"/>
  <c r="I17" i="22" s="1"/>
  <c r="G15" i="22"/>
  <c r="G22" i="22" s="1"/>
  <c r="E24" i="22"/>
  <c r="G24" i="22" s="1"/>
  <c r="D24" i="22"/>
  <c r="E23" i="22"/>
  <c r="G23" i="22" s="1"/>
  <c r="D23" i="22"/>
  <c r="H20" i="20"/>
  <c r="I20" i="20" s="1"/>
  <c r="H18" i="20"/>
  <c r="I18" i="20" s="1"/>
  <c r="E24" i="20"/>
  <c r="G24" i="20" s="1"/>
  <c r="D24" i="20"/>
  <c r="E26" i="20"/>
  <c r="G26" i="20" s="1"/>
  <c r="D26" i="20"/>
  <c r="D15" i="20"/>
  <c r="E15" i="20"/>
  <c r="G15" i="20" s="1"/>
  <c r="E27" i="20"/>
  <c r="G27" i="20" s="1"/>
  <c r="D27" i="20"/>
  <c r="G14" i="20"/>
  <c r="H19" i="20"/>
  <c r="I19" i="20" s="1"/>
  <c r="H17" i="20"/>
  <c r="I17" i="20" s="1"/>
  <c r="E23" i="20"/>
  <c r="G23" i="20" s="1"/>
  <c r="D23" i="20"/>
  <c r="H29" i="20"/>
  <c r="I29" i="20" s="1"/>
  <c r="E23" i="19"/>
  <c r="G23" i="19" s="1"/>
  <c r="D23" i="19"/>
  <c r="H13" i="19"/>
  <c r="I13" i="19" s="1"/>
  <c r="E24" i="19"/>
  <c r="G24" i="19" s="1"/>
  <c r="D24" i="19"/>
  <c r="E27" i="19"/>
  <c r="G27" i="19" s="1"/>
  <c r="D27" i="19"/>
  <c r="E15" i="19"/>
  <c r="G15" i="19" s="1"/>
  <c r="D15" i="19"/>
  <c r="D22" i="19" s="1"/>
  <c r="D26" i="19"/>
  <c r="E26" i="19"/>
  <c r="G26" i="19" s="1"/>
  <c r="D14" i="18"/>
  <c r="E15" i="18"/>
  <c r="G15" i="18" s="1"/>
  <c r="D15" i="18"/>
  <c r="E27" i="18"/>
  <c r="G27" i="18" s="1"/>
  <c r="D27" i="18"/>
  <c r="D24" i="18"/>
  <c r="E24" i="18"/>
  <c r="G24" i="18" s="1"/>
  <c r="E23" i="18"/>
  <c r="G23" i="18" s="1"/>
  <c r="D23" i="18"/>
  <c r="D26" i="18"/>
  <c r="E26" i="18"/>
  <c r="G26" i="18" s="1"/>
  <c r="D14" i="17"/>
  <c r="E27" i="17"/>
  <c r="G27" i="17" s="1"/>
  <c r="D27" i="17"/>
  <c r="E15" i="17"/>
  <c r="G15" i="17" s="1"/>
  <c r="D15" i="17"/>
  <c r="E23" i="17"/>
  <c r="G23" i="17" s="1"/>
  <c r="D23" i="17"/>
  <c r="D26" i="17"/>
  <c r="E26" i="17"/>
  <c r="G26" i="17" s="1"/>
  <c r="E24" i="17"/>
  <c r="G24" i="17" s="1"/>
  <c r="D24" i="17"/>
  <c r="W7" i="4"/>
  <c r="L9" i="4"/>
  <c r="W9" i="4"/>
  <c r="W11" i="4"/>
  <c r="W10" i="4"/>
  <c r="W8" i="4"/>
  <c r="V10" i="4"/>
  <c r="V9" i="4"/>
  <c r="V11" i="4"/>
  <c r="V8" i="4"/>
  <c r="T8" i="4"/>
  <c r="T10" i="4"/>
  <c r="T9" i="4"/>
  <c r="T11" i="4"/>
  <c r="S11" i="4"/>
  <c r="S9" i="4"/>
  <c r="S10" i="4"/>
  <c r="S8" i="4"/>
  <c r="L7" i="4"/>
  <c r="N7" i="4"/>
  <c r="V7" i="4"/>
  <c r="T7" i="4"/>
  <c r="S7" i="4"/>
  <c r="W5" i="4"/>
  <c r="W6" i="4" s="1"/>
  <c r="V5" i="4"/>
  <c r="V6" i="4" s="1"/>
  <c r="T5" i="4"/>
  <c r="T6" i="4" s="1"/>
  <c r="S5" i="4"/>
  <c r="S6" i="4" s="1"/>
  <c r="W4" i="4"/>
  <c r="V4" i="4"/>
  <c r="R4" i="4"/>
  <c r="Q4" i="4"/>
  <c r="I4" i="4"/>
  <c r="J4" i="4"/>
  <c r="K4" i="4"/>
  <c r="M4" i="4"/>
  <c r="N4" i="4"/>
  <c r="O4" i="4"/>
  <c r="H4" i="4"/>
  <c r="T4" i="4"/>
  <c r="S4" i="4"/>
  <c r="U5" i="4"/>
  <c r="U6" i="4" s="1"/>
  <c r="U7" i="4"/>
  <c r="U8" i="4"/>
  <c r="U10" i="4"/>
  <c r="U9" i="4"/>
  <c r="U11" i="4"/>
  <c r="U3" i="4"/>
  <c r="U4" i="4" s="1"/>
  <c r="E24" i="24" l="1"/>
  <c r="G24" i="24" s="1"/>
  <c r="H24" i="24" s="1"/>
  <c r="I24" i="24" s="1"/>
  <c r="H14" i="19"/>
  <c r="I14" i="19" s="1"/>
  <c r="G14" i="28" s="1"/>
  <c r="H14" i="18"/>
  <c r="F7" i="28" s="1"/>
  <c r="E26" i="24"/>
  <c r="G26" i="24" s="1"/>
  <c r="H26" i="24" s="1"/>
  <c r="I26" i="24" s="1"/>
  <c r="H14" i="17"/>
  <c r="D22" i="20"/>
  <c r="D25" i="20" s="1"/>
  <c r="D33" i="20" s="1"/>
  <c r="G14" i="23"/>
  <c r="E27" i="22"/>
  <c r="G27" i="22" s="1"/>
  <c r="H27" i="22" s="1"/>
  <c r="I27" i="22" s="1"/>
  <c r="D15" i="22"/>
  <c r="H15" i="22" s="1"/>
  <c r="D14" i="23"/>
  <c r="D21" i="23" s="1"/>
  <c r="H15" i="18"/>
  <c r="I15" i="18" s="1"/>
  <c r="H15" i="17"/>
  <c r="I15" i="17" s="1"/>
  <c r="D22" i="18"/>
  <c r="D25" i="18" s="1"/>
  <c r="D33" i="18" s="1"/>
  <c r="H15" i="24"/>
  <c r="I15" i="24" s="1"/>
  <c r="D22" i="17"/>
  <c r="D25" i="17" s="1"/>
  <c r="D33" i="17" s="1"/>
  <c r="I14" i="18"/>
  <c r="G7" i="28" s="1"/>
  <c r="I14" i="17"/>
  <c r="G6" i="28" s="1"/>
  <c r="F6" i="28"/>
  <c r="E28" i="23"/>
  <c r="G28" i="23" s="1"/>
  <c r="D25" i="23"/>
  <c r="H25" i="23" s="1"/>
  <c r="I25" i="23" s="1"/>
  <c r="F14" i="28"/>
  <c r="D22" i="23"/>
  <c r="E22" i="23"/>
  <c r="G22" i="23" s="1"/>
  <c r="H23" i="19"/>
  <c r="I23" i="19" s="1"/>
  <c r="H24" i="19"/>
  <c r="I24" i="19" s="1"/>
  <c r="H28" i="23"/>
  <c r="I28" i="23" s="1"/>
  <c r="H14" i="24"/>
  <c r="H27" i="24"/>
  <c r="I27" i="24" s="1"/>
  <c r="D22" i="24"/>
  <c r="D25" i="24" s="1"/>
  <c r="D32" i="24" s="1"/>
  <c r="H23" i="24"/>
  <c r="I23" i="24" s="1"/>
  <c r="G22" i="24"/>
  <c r="H17" i="23"/>
  <c r="I17" i="23" s="1"/>
  <c r="H19" i="23"/>
  <c r="I19" i="23" s="1"/>
  <c r="H26" i="23"/>
  <c r="I26" i="23" s="1"/>
  <c r="H16" i="23"/>
  <c r="I16" i="23" s="1"/>
  <c r="G21" i="23"/>
  <c r="E29" i="22"/>
  <c r="G29" i="22" s="1"/>
  <c r="D29" i="22"/>
  <c r="E26" i="22"/>
  <c r="G26" i="22" s="1"/>
  <c r="D26" i="22"/>
  <c r="H12" i="22"/>
  <c r="I12" i="22" s="1"/>
  <c r="H24" i="22"/>
  <c r="I24" i="22" s="1"/>
  <c r="G25" i="22"/>
  <c r="H23" i="22"/>
  <c r="I23" i="22" s="1"/>
  <c r="H24" i="20"/>
  <c r="I24" i="20" s="1"/>
  <c r="H14" i="20"/>
  <c r="G22" i="20"/>
  <c r="H23" i="20"/>
  <c r="I23" i="20" s="1"/>
  <c r="H27" i="20"/>
  <c r="I27" i="20" s="1"/>
  <c r="H26" i="20"/>
  <c r="I26" i="20" s="1"/>
  <c r="H15" i="20"/>
  <c r="I15" i="20" s="1"/>
  <c r="H27" i="19"/>
  <c r="I27" i="19" s="1"/>
  <c r="D25" i="19"/>
  <c r="D31" i="19" s="1"/>
  <c r="D33" i="19" s="1"/>
  <c r="H15" i="19"/>
  <c r="I15" i="19" s="1"/>
  <c r="G22" i="19"/>
  <c r="H26" i="19"/>
  <c r="I26" i="19" s="1"/>
  <c r="G22" i="18"/>
  <c r="G25" i="18" s="1"/>
  <c r="H27" i="18"/>
  <c r="I27" i="18" s="1"/>
  <c r="H23" i="18"/>
  <c r="I23" i="18" s="1"/>
  <c r="H24" i="18"/>
  <c r="I24" i="18" s="1"/>
  <c r="H26" i="18"/>
  <c r="I26" i="18" s="1"/>
  <c r="H27" i="17"/>
  <c r="I27" i="17" s="1"/>
  <c r="H23" i="17"/>
  <c r="I23" i="17" s="1"/>
  <c r="G22" i="17"/>
  <c r="H24" i="17"/>
  <c r="I24" i="17" s="1"/>
  <c r="H26" i="17"/>
  <c r="I26" i="17" s="1"/>
  <c r="H14" i="23" l="1"/>
  <c r="D22" i="22"/>
  <c r="D25" i="22" s="1"/>
  <c r="H25" i="22" s="1"/>
  <c r="H26" i="22"/>
  <c r="I26" i="22" s="1"/>
  <c r="D24" i="23"/>
  <c r="D30" i="23" s="1"/>
  <c r="D31" i="23" s="1"/>
  <c r="D32" i="23" s="1"/>
  <c r="H22" i="23"/>
  <c r="I22" i="23" s="1"/>
  <c r="H29" i="22"/>
  <c r="I29" i="22" s="1"/>
  <c r="I15" i="22"/>
  <c r="G9" i="28" s="1"/>
  <c r="F9" i="28"/>
  <c r="I14" i="23"/>
  <c r="G13" i="28" s="1"/>
  <c r="F13" i="28"/>
  <c r="I14" i="24"/>
  <c r="G10" i="28" s="1"/>
  <c r="F10" i="28"/>
  <c r="I14" i="20"/>
  <c r="G8" i="28" s="1"/>
  <c r="F8" i="28"/>
  <c r="D32" i="19"/>
  <c r="D34" i="19" s="1"/>
  <c r="D34" i="24"/>
  <c r="D33" i="24"/>
  <c r="H22" i="24"/>
  <c r="G25" i="24"/>
  <c r="H21" i="23"/>
  <c r="G24" i="23"/>
  <c r="D31" i="22"/>
  <c r="G31" i="22"/>
  <c r="D35" i="20"/>
  <c r="D34" i="20"/>
  <c r="H22" i="20"/>
  <c r="G25" i="20"/>
  <c r="G25" i="19"/>
  <c r="H22" i="19"/>
  <c r="H22" i="18"/>
  <c r="D35" i="18"/>
  <c r="D34" i="18"/>
  <c r="G33" i="18"/>
  <c r="H25" i="18"/>
  <c r="D35" i="17"/>
  <c r="D34" i="17"/>
  <c r="G25" i="17"/>
  <c r="H22" i="17"/>
  <c r="L10" i="4"/>
  <c r="L8" i="4"/>
  <c r="L5" i="4"/>
  <c r="L6" i="4"/>
  <c r="L3" i="4"/>
  <c r="H22" i="22" l="1"/>
  <c r="H9" i="28" s="1"/>
  <c r="I22" i="24"/>
  <c r="I10" i="28" s="1"/>
  <c r="H10" i="28"/>
  <c r="D36" i="18"/>
  <c r="I25" i="22"/>
  <c r="K9" i="28" s="1"/>
  <c r="J9" i="28"/>
  <c r="I22" i="19"/>
  <c r="I14" i="28" s="1"/>
  <c r="H14" i="28"/>
  <c r="D32" i="22"/>
  <c r="D33" i="22" s="1"/>
  <c r="D36" i="17"/>
  <c r="I22" i="17"/>
  <c r="I6" i="28" s="1"/>
  <c r="H6" i="28"/>
  <c r="I25" i="18"/>
  <c r="K7" i="28" s="1"/>
  <c r="J7" i="28"/>
  <c r="I22" i="18"/>
  <c r="I7" i="28" s="1"/>
  <c r="H7" i="28"/>
  <c r="I22" i="20"/>
  <c r="I8" i="28" s="1"/>
  <c r="H8" i="28"/>
  <c r="I21" i="23"/>
  <c r="I13" i="28" s="1"/>
  <c r="H13" i="28"/>
  <c r="D36" i="20"/>
  <c r="D35" i="24"/>
  <c r="G32" i="24"/>
  <c r="H25" i="24"/>
  <c r="H24" i="23"/>
  <c r="G30" i="23"/>
  <c r="H31" i="22"/>
  <c r="I31" i="22" s="1"/>
  <c r="G32" i="22"/>
  <c r="G33" i="20"/>
  <c r="H25" i="20"/>
  <c r="G31" i="19"/>
  <c r="H25" i="19"/>
  <c r="G35" i="18"/>
  <c r="H35" i="18" s="1"/>
  <c r="I35" i="18" s="1"/>
  <c r="H33" i="18"/>
  <c r="I33" i="18" s="1"/>
  <c r="G34" i="18"/>
  <c r="H34" i="18" s="1"/>
  <c r="I34" i="18" s="1"/>
  <c r="G33" i="17"/>
  <c r="H25" i="17"/>
  <c r="L4" i="4"/>
  <c r="I22" i="22" l="1"/>
  <c r="I9" i="28" s="1"/>
  <c r="H32" i="22"/>
  <c r="I32" i="22" s="1"/>
  <c r="I25" i="20"/>
  <c r="K8" i="28" s="1"/>
  <c r="J8" i="28"/>
  <c r="I24" i="23"/>
  <c r="K13" i="28" s="1"/>
  <c r="J13" i="28"/>
  <c r="I25" i="19"/>
  <c r="K14" i="28" s="1"/>
  <c r="J14" i="28"/>
  <c r="I25" i="17"/>
  <c r="K6" i="28" s="1"/>
  <c r="J6" i="28"/>
  <c r="I25" i="24"/>
  <c r="K10" i="28" s="1"/>
  <c r="J10" i="28"/>
  <c r="H32" i="24"/>
  <c r="I32" i="24" s="1"/>
  <c r="G34" i="24"/>
  <c r="H34" i="24" s="1"/>
  <c r="I34" i="24" s="1"/>
  <c r="G33" i="24"/>
  <c r="H33" i="24" s="1"/>
  <c r="I33" i="24" s="1"/>
  <c r="H30" i="23"/>
  <c r="I30" i="23" s="1"/>
  <c r="G31" i="23"/>
  <c r="H31" i="23" s="1"/>
  <c r="I31" i="23" s="1"/>
  <c r="G33" i="22"/>
  <c r="H33" i="22" s="1"/>
  <c r="H33" i="20"/>
  <c r="I33" i="20" s="1"/>
  <c r="G35" i="20"/>
  <c r="H35" i="20" s="1"/>
  <c r="I35" i="20" s="1"/>
  <c r="G34" i="20"/>
  <c r="H34" i="20" s="1"/>
  <c r="I34" i="20" s="1"/>
  <c r="H31" i="19"/>
  <c r="I31" i="19" s="1"/>
  <c r="G33" i="19"/>
  <c r="H33" i="19" s="1"/>
  <c r="I33" i="19" s="1"/>
  <c r="G32" i="19"/>
  <c r="H32" i="19" s="1"/>
  <c r="I32" i="19" s="1"/>
  <c r="G36" i="18"/>
  <c r="H36" i="18" s="1"/>
  <c r="H33" i="17"/>
  <c r="I33" i="17" s="1"/>
  <c r="G35" i="17"/>
  <c r="H35" i="17" s="1"/>
  <c r="I35" i="17" s="1"/>
  <c r="G34" i="17"/>
  <c r="H34" i="17" s="1"/>
  <c r="I34" i="17" s="1"/>
  <c r="F24" i="1"/>
  <c r="F23" i="1"/>
  <c r="F17" i="1"/>
  <c r="F16" i="1"/>
  <c r="F13" i="1"/>
  <c r="F12" i="1"/>
  <c r="F11" i="1"/>
  <c r="F10" i="1"/>
  <c r="C24" i="1"/>
  <c r="C23" i="1"/>
  <c r="C17" i="1"/>
  <c r="C16" i="1"/>
  <c r="D16" i="1" s="1"/>
  <c r="C13" i="1"/>
  <c r="C12" i="1"/>
  <c r="D12" i="1" s="1"/>
  <c r="C11" i="1"/>
  <c r="C10" i="1"/>
  <c r="D10" i="1" s="1"/>
  <c r="E16" i="1"/>
  <c r="B5" i="1"/>
  <c r="B17" i="1"/>
  <c r="E28" i="1"/>
  <c r="G28" i="1" s="1"/>
  <c r="E12" i="1"/>
  <c r="E10" i="1"/>
  <c r="D28" i="1"/>
  <c r="H28" i="1" l="1"/>
  <c r="I28" i="1" s="1"/>
  <c r="I36" i="18"/>
  <c r="M7" i="28" s="1"/>
  <c r="L7" i="28"/>
  <c r="I33" i="22"/>
  <c r="M9" i="28" s="1"/>
  <c r="L9" i="28"/>
  <c r="G35" i="24"/>
  <c r="H35" i="24" s="1"/>
  <c r="G32" i="23"/>
  <c r="H32" i="23" s="1"/>
  <c r="G36" i="20"/>
  <c r="H36" i="20" s="1"/>
  <c r="G34" i="19"/>
  <c r="H34" i="19" s="1"/>
  <c r="G36" i="17"/>
  <c r="H36" i="17" s="1"/>
  <c r="G16" i="1"/>
  <c r="H16" i="1" s="1"/>
  <c r="I16" i="1" s="1"/>
  <c r="G12" i="1"/>
  <c r="H12" i="1" s="1"/>
  <c r="I12" i="1" s="1"/>
  <c r="G10" i="1"/>
  <c r="D17" i="1"/>
  <c r="B13" i="1"/>
  <c r="E13" i="1" s="1"/>
  <c r="G13" i="1" s="1"/>
  <c r="E17" i="1"/>
  <c r="G17" i="1" s="1"/>
  <c r="E21" i="1"/>
  <c r="G21" i="1" s="1"/>
  <c r="H21" i="1" s="1"/>
  <c r="I21" i="1" s="1"/>
  <c r="B18" i="1"/>
  <c r="D18" i="1" s="1"/>
  <c r="B6" i="1"/>
  <c r="F15" i="1" s="1"/>
  <c r="B11" i="1"/>
  <c r="E11" i="1" s="1"/>
  <c r="G11" i="1" s="1"/>
  <c r="H17" i="1" l="1"/>
  <c r="I17" i="1" s="1"/>
  <c r="I34" i="19"/>
  <c r="M14" i="28" s="1"/>
  <c r="L14" i="28"/>
  <c r="I36" i="20"/>
  <c r="M8" i="28" s="1"/>
  <c r="L8" i="28"/>
  <c r="I32" i="23"/>
  <c r="M13" i="28" s="1"/>
  <c r="L13" i="28"/>
  <c r="I36" i="17"/>
  <c r="M6" i="28" s="1"/>
  <c r="L6" i="28"/>
  <c r="I35" i="24"/>
  <c r="M10" i="28" s="1"/>
  <c r="L10" i="28"/>
  <c r="G14" i="1"/>
  <c r="H10" i="1"/>
  <c r="I10" i="1" s="1"/>
  <c r="D13" i="1"/>
  <c r="H13" i="1" s="1"/>
  <c r="I13" i="1" s="1"/>
  <c r="B27" i="1"/>
  <c r="D27" i="1" s="1"/>
  <c r="B24" i="1"/>
  <c r="B23" i="1"/>
  <c r="D23" i="1" s="1"/>
  <c r="B26" i="1"/>
  <c r="D26" i="1" s="1"/>
  <c r="E18" i="1"/>
  <c r="G18" i="1" s="1"/>
  <c r="H18" i="1" s="1"/>
  <c r="I18" i="1" s="1"/>
  <c r="D11" i="1"/>
  <c r="H11" i="1" s="1"/>
  <c r="I11" i="1" s="1"/>
  <c r="B15" i="1"/>
  <c r="D14" i="1" l="1"/>
  <c r="H14" i="1" s="1"/>
  <c r="E27" i="1"/>
  <c r="G27" i="1" s="1"/>
  <c r="H27" i="1" s="1"/>
  <c r="I27" i="1" s="1"/>
  <c r="E23" i="1"/>
  <c r="G23" i="1" s="1"/>
  <c r="H23" i="1" s="1"/>
  <c r="I23" i="1" s="1"/>
  <c r="E26" i="1"/>
  <c r="G26" i="1" s="1"/>
  <c r="H26" i="1" s="1"/>
  <c r="I26" i="1" s="1"/>
  <c r="D24" i="1"/>
  <c r="E24" i="1"/>
  <c r="G24" i="1" s="1"/>
  <c r="D15" i="1"/>
  <c r="E15" i="1"/>
  <c r="G15" i="1" s="1"/>
  <c r="D22" i="1" l="1"/>
  <c r="D25" i="1" s="1"/>
  <c r="D33" i="1" s="1"/>
  <c r="H24" i="1"/>
  <c r="I24" i="1" s="1"/>
  <c r="I14" i="1"/>
  <c r="G5" i="28" s="1"/>
  <c r="F5" i="28"/>
  <c r="H15" i="1"/>
  <c r="I15" i="1" s="1"/>
  <c r="G22" i="1"/>
  <c r="D35" i="1" l="1"/>
  <c r="D34" i="1"/>
  <c r="H22" i="1"/>
  <c r="G25" i="1"/>
  <c r="I22" i="1" l="1"/>
  <c r="I5" i="28" s="1"/>
  <c r="H5" i="28"/>
  <c r="D36" i="1"/>
  <c r="H25" i="1"/>
  <c r="G33" i="1"/>
  <c r="I25" i="1" l="1"/>
  <c r="K5" i="28" s="1"/>
  <c r="J5" i="28"/>
  <c r="H33" i="1"/>
  <c r="I33" i="1" s="1"/>
  <c r="G35" i="1"/>
  <c r="H35" i="1" s="1"/>
  <c r="I35" i="1" s="1"/>
  <c r="G34" i="1"/>
  <c r="H34" i="1" s="1"/>
  <c r="I34" i="1" s="1"/>
  <c r="G36" i="1" l="1"/>
  <c r="H36" i="1" s="1"/>
  <c r="I36" i="1" l="1"/>
  <c r="M5" i="28" s="1"/>
  <c r="L5" i="28"/>
</calcChain>
</file>

<file path=xl/sharedStrings.xml><?xml version="1.0" encoding="utf-8"?>
<sst xmlns="http://schemas.openxmlformats.org/spreadsheetml/2006/main" count="541" uniqueCount="101">
  <si>
    <t>Rates</t>
  </si>
  <si>
    <t>Volume</t>
  </si>
  <si>
    <t>Charge</t>
  </si>
  <si>
    <t>Peak</t>
  </si>
  <si>
    <t>Loss Factor</t>
  </si>
  <si>
    <t>HST</t>
  </si>
  <si>
    <t>SME Charge</t>
  </si>
  <si>
    <t>TOU On-peak</t>
  </si>
  <si>
    <t>TOU Mid-peak</t>
  </si>
  <si>
    <t>TOU Off-peak</t>
  </si>
  <si>
    <t>Consumption</t>
  </si>
  <si>
    <t>Service Area</t>
  </si>
  <si>
    <t>Rate Class</t>
  </si>
  <si>
    <t>Current DX Fix</t>
  </si>
  <si>
    <t>Current DX Vol</t>
  </si>
  <si>
    <t>Current GA Rider</t>
  </si>
  <si>
    <t>Proposed DX Fix</t>
  </si>
  <si>
    <t>Proposed DX Vol</t>
  </si>
  <si>
    <t>Proposed GA Rider</t>
  </si>
  <si>
    <t>Current RTSR-N</t>
  </si>
  <si>
    <t>Current RTSR-C</t>
  </si>
  <si>
    <t>Proposed RTSR-N</t>
  </si>
  <si>
    <t>Proposed RTSR-C</t>
  </si>
  <si>
    <t>USL</t>
  </si>
  <si>
    <t>StLgt</t>
  </si>
  <si>
    <t>SenLgt</t>
  </si>
  <si>
    <t>Emb_Dist</t>
  </si>
  <si>
    <t>Connections</t>
  </si>
  <si>
    <t>Uplifted Consumption</t>
  </si>
  <si>
    <t>DVA Rate Rider-Fixed</t>
  </si>
  <si>
    <t>DVA Rate Rider-Vol</t>
  </si>
  <si>
    <t>Current LV Charge</t>
  </si>
  <si>
    <t>Current Rate Riders-Fixed</t>
  </si>
  <si>
    <t>Current Rate Riders-Vol</t>
  </si>
  <si>
    <t>CBR Class B Rider</t>
  </si>
  <si>
    <t>Proposed LV Charge</t>
  </si>
  <si>
    <t>Proposed Rate Riders-Fixed</t>
  </si>
  <si>
    <t>Proposed Rate Riders-Vol</t>
  </si>
  <si>
    <t>Norfolk</t>
  </si>
  <si>
    <t>Current-OEB Approved</t>
  </si>
  <si>
    <t>Impact</t>
  </si>
  <si>
    <t>$ Change</t>
  </si>
  <si>
    <t>% Change</t>
  </si>
  <si>
    <t>Residential_RPP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</si>
  <si>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</si>
  <si>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</si>
  <si>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</si>
  <si>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</si>
  <si>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</si>
  <si>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 on Cost of Power</t>
  </si>
  <si>
    <t>CBR Class B Rate Riders</t>
  </si>
  <si>
    <t>GA Rate Riders</t>
  </si>
  <si>
    <t>Low Voltage Service Charge</t>
  </si>
  <si>
    <t>Smart Meter Entity Charge (if applicable)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</si>
  <si>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</si>
  <si>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</si>
  <si>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</si>
  <si>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</si>
  <si>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</si>
  <si>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</si>
  <si>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</si>
  <si>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</si>
  <si>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t>8% Rebate</t>
  </si>
  <si>
    <t>Total Bill on TOU</t>
  </si>
  <si>
    <t>Residential_NonRPP</t>
  </si>
  <si>
    <t>Monthly Peak (kW)</t>
  </si>
  <si>
    <t>Monthly Consumption (kWh)</t>
  </si>
  <si>
    <t>Average IESO Wholesale Market Price</t>
  </si>
  <si>
    <t>Uplifted Consumption (kWh)</t>
  </si>
  <si>
    <t>Energy First Tier</t>
  </si>
  <si>
    <t>Energy Second Tier</t>
  </si>
  <si>
    <t>Units</t>
  </si>
  <si>
    <t>Sub-Total</t>
  </si>
  <si>
    <t>Total Bill</t>
  </si>
  <si>
    <t>$</t>
  </si>
  <si>
    <t>%</t>
  </si>
  <si>
    <t xml:space="preserve">RATE CLASSES </t>
  </si>
  <si>
    <t>Charge Determinants</t>
  </si>
  <si>
    <t>A (DX-Excl Pass Through)</t>
  </si>
  <si>
    <t>B (DX-Incl Pass Through)</t>
  </si>
  <si>
    <t>C (Total Delivery)</t>
  </si>
  <si>
    <t>kWh</t>
  </si>
  <si>
    <t>kW</t>
  </si>
  <si>
    <t>GENERAL SERVICE LESS THAN 50 kW - RPP</t>
  </si>
  <si>
    <t>GENERAL SERVICE 50 TO 4,999 KW - Non-RPP (Other)</t>
  </si>
  <si>
    <t>UNMETERED SCATTERED LOAD - RPP</t>
  </si>
  <si>
    <t>SENTINEL LIGHTING - RPP</t>
  </si>
  <si>
    <t>RESIDENTIAL - Non-RPP (Retailer)</t>
  </si>
  <si>
    <t>GENERAL SERVICE LESS THAN 50 kW - Non-RPP (Retailer)</t>
  </si>
  <si>
    <t>STREET LIGHTING - RPP</t>
  </si>
  <si>
    <t>EMBEDDED DISTRIBUTOR - Non-RPP (Other)</t>
  </si>
  <si>
    <t>NPDI</t>
  </si>
  <si>
    <t>Non-RPP Retailer Avg. Price</t>
  </si>
  <si>
    <t>GS&lt;50kW_RPP</t>
  </si>
  <si>
    <t>GS&lt;50kW_NonRPP</t>
  </si>
  <si>
    <t>GS 50-4,999kW</t>
  </si>
  <si>
    <t>RESIDENTIAL - RPP</t>
  </si>
  <si>
    <t>Bill Impacts – Norfolk Power Distribution Inc.</t>
  </si>
  <si>
    <t>Deferral/Variance Account Rate Rider - Fixed</t>
  </si>
  <si>
    <t>Deferral/Variance Account Rate Rider - Volumetric</t>
  </si>
  <si>
    <t>Proposed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</si>
</sst>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000"/>
    <numFmt numFmtId="167" formatCode="&quot;$&quot;#,##0.000"/>
    <numFmt numFmtId="168" formatCode="&quot;$&quot;#,##0.0000"/>
    <numFmt numFmtId="169" formatCode="0.0%"/>
    <numFmt numFmtId="170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4" borderId="0" xfId="0" applyFont="1" applyFill="1"/>
    <xf numFmtId="165" fontId="0" fillId="4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0" borderId="0" xfId="0" applyNumberFormat="1"/>
    <xf numFmtId="165" fontId="0" fillId="4" borderId="0" xfId="0" applyNumberFormat="1" applyFill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 applyAlignment="1">
      <alignment horizontal="center"/>
    </xf>
    <xf numFmtId="169" fontId="2" fillId="5" borderId="0" xfId="1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4" borderId="0" xfId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5" borderId="0" xfId="0" applyNumberFormat="1" applyFill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2" borderId="3" xfId="4" applyFont="1" applyFill="1" applyBorder="1" applyAlignment="1" applyProtection="1">
      <alignment horizontal="center" vertical="center"/>
    </xf>
    <xf numFmtId="169" fontId="5" fillId="2" borderId="3" xfId="1" applyNumberFormat="1" applyFont="1" applyFill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horizontal="center" vertical="center"/>
    </xf>
    <xf numFmtId="37" fontId="6" fillId="0" borderId="3" xfId="3" applyNumberFormat="1" applyFont="1" applyBorder="1" applyAlignment="1" applyProtection="1">
      <alignment horizontal="center" vertical="center"/>
    </xf>
    <xf numFmtId="3" fontId="6" fillId="0" borderId="3" xfId="4" applyNumberFormat="1" applyFont="1" applyBorder="1" applyAlignment="1" applyProtection="1">
      <alignment horizontal="center" vertical="center"/>
    </xf>
    <xf numFmtId="165" fontId="7" fillId="0" borderId="3" xfId="5" applyNumberFormat="1" applyFont="1" applyBorder="1" applyAlignment="1" applyProtection="1">
      <alignment horizontal="center" vertical="center"/>
    </xf>
    <xf numFmtId="169" fontId="7" fillId="0" borderId="3" xfId="1" applyNumberFormat="1" applyFont="1" applyBorder="1" applyAlignment="1" applyProtection="1">
      <alignment horizontal="center" vertical="center"/>
    </xf>
    <xf numFmtId="0" fontId="6" fillId="0" borderId="3" xfId="4" applyFont="1" applyFill="1" applyBorder="1" applyAlignment="1" applyProtection="1">
      <alignment horizontal="center" vertical="center"/>
    </xf>
    <xf numFmtId="37" fontId="6" fillId="0" borderId="3" xfId="3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 applyProtection="1">
      <alignment horizontal="center" vertical="center"/>
    </xf>
    <xf numFmtId="165" fontId="7" fillId="0" borderId="3" xfId="5" applyNumberFormat="1" applyFont="1" applyFill="1" applyBorder="1" applyAlignment="1" applyProtection="1">
      <alignment horizontal="center" vertical="center"/>
    </xf>
    <xf numFmtId="169" fontId="7" fillId="0" borderId="3" xfId="1" applyNumberFormat="1" applyFont="1" applyFill="1" applyBorder="1" applyAlignment="1" applyProtection="1">
      <alignment horizontal="center" vertical="center"/>
    </xf>
    <xf numFmtId="4" fontId="6" fillId="0" borderId="3" xfId="4" applyNumberFormat="1" applyFont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9" fontId="1" fillId="0" borderId="0" xfId="1" applyNumberFormat="1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>
      <alignment horizontal="left"/>
    </xf>
    <xf numFmtId="167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0" xfId="0" applyBorder="1" applyAlignment="1"/>
    <xf numFmtId="0" fontId="0" fillId="0" borderId="0" xfId="0" applyAlignme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 vertical="center"/>
    </xf>
    <xf numFmtId="0" fontId="6" fillId="6" borderId="3" xfId="4" applyFont="1" applyFill="1" applyBorder="1" applyAlignment="1" applyProtection="1">
      <alignment horizontal="left" vertical="center"/>
    </xf>
    <xf numFmtId="0" fontId="5" fillId="0" borderId="1" xfId="4" applyFont="1" applyBorder="1" applyAlignment="1" applyProtection="1">
      <alignment horizontal="center" vertical="center" wrapText="1"/>
    </xf>
    <xf numFmtId="0" fontId="5" fillId="0" borderId="2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 vertical="center" wrapText="1"/>
    </xf>
    <xf numFmtId="0" fontId="5" fillId="0" borderId="5" xfId="4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center" vertical="center" wrapText="1"/>
    </xf>
    <xf numFmtId="0" fontId="5" fillId="0" borderId="7" xfId="4" applyFont="1" applyBorder="1" applyAlignment="1" applyProtection="1">
      <alignment horizontal="center" vertical="center" wrapText="1"/>
    </xf>
    <xf numFmtId="0" fontId="6" fillId="6" borderId="8" xfId="4" applyFont="1" applyFill="1" applyBorder="1" applyAlignment="1" applyProtection="1">
      <alignment horizontal="left" vertical="center"/>
    </xf>
    <xf numFmtId="0" fontId="6" fillId="6" borderId="9" xfId="4" applyFont="1" applyFill="1" applyBorder="1" applyAlignment="1" applyProtection="1">
      <alignment horizontal="left" vertical="center"/>
    </xf>
    <xf numFmtId="0" fontId="6" fillId="0" borderId="8" xfId="4" applyFont="1" applyFill="1" applyBorder="1" applyAlignment="1" applyProtection="1">
      <alignment horizontal="left" vertical="center"/>
    </xf>
    <xf numFmtId="0" fontId="6" fillId="0" borderId="9" xfId="4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 vertical="center"/>
    </xf>
    <xf numFmtId="0" fontId="5" fillId="0" borderId="2" xfId="4" applyFont="1" applyBorder="1" applyAlignment="1" applyProtection="1">
      <alignment horizontal="center" vertical="center"/>
    </xf>
    <xf numFmtId="0" fontId="5" fillId="0" borderId="6" xfId="4" applyFont="1" applyBorder="1" applyAlignment="1" applyProtection="1">
      <alignment horizontal="center" vertical="center"/>
    </xf>
    <xf numFmtId="0" fontId="5" fillId="0" borderId="7" xfId="4" applyFont="1" applyBorder="1" applyAlignment="1" applyProtection="1">
      <alignment horizontal="center" vertical="center"/>
    </xf>
    <xf numFmtId="0" fontId="5" fillId="3" borderId="3" xfId="4" applyFont="1" applyFill="1" applyBorder="1" applyAlignment="1" applyProtection="1">
      <alignment horizontal="center" vertical="center"/>
    </xf>
    <xf numFmtId="0" fontId="5" fillId="3" borderId="1" xfId="4" applyFont="1" applyFill="1" applyBorder="1" applyAlignment="1" applyProtection="1">
      <alignment horizontal="center" vertical="center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6" xfId="4" applyFont="1" applyFill="1" applyBorder="1" applyAlignment="1" applyProtection="1">
      <alignment horizontal="center" vertical="center"/>
    </xf>
    <xf numFmtId="0" fontId="5" fillId="3" borderId="7" xfId="4" applyFont="1" applyFill="1" applyBorder="1" applyAlignment="1" applyProtection="1">
      <alignment horizontal="center" vertical="center"/>
    </xf>
    <xf numFmtId="0" fontId="5" fillId="5" borderId="3" xfId="4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170" fontId="0" fillId="0" borderId="0" xfId="0" applyNumberFormat="1" applyAlignment="1">
      <alignment horizontal="center"/>
    </xf>
    <xf numFmtId="170" fontId="0" fillId="0" borderId="0" xfId="0" applyNumberFormat="1" applyFont="1" applyFill="1" applyAlignment="1">
      <alignment horizontal="center"/>
    </xf>
  </cellXfs>
  <cellStyles count="7">
    <cellStyle name="Comma" xfId="3" builtinId="3"/>
    <cellStyle name="Comma 4" xfId="2"/>
    <cellStyle name="Currency 2" xfId="5"/>
    <cellStyle name="Normal" xfId="0" builtinId="0"/>
    <cellStyle name="Normal 2" xfId="4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NI_App%20B_RG_NOR_updated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9">
          <cell r="J39">
            <v>6.8237124951619167E-3</v>
          </cell>
        </row>
        <row r="40">
          <cell r="J40">
            <v>6.314480133577177E-3</v>
          </cell>
        </row>
        <row r="41">
          <cell r="J41">
            <v>2.5445318537798935</v>
          </cell>
        </row>
        <row r="42">
          <cell r="J42">
            <v>6.3144878450730442E-3</v>
          </cell>
        </row>
        <row r="43">
          <cell r="J43">
            <v>1.9287693038075282</v>
          </cell>
        </row>
        <row r="44">
          <cell r="J44">
            <v>1.91899136519715</v>
          </cell>
        </row>
        <row r="45">
          <cell r="J45">
            <v>0</v>
          </cell>
        </row>
        <row r="50">
          <cell r="J50">
            <v>3.7605755557766651E-3</v>
          </cell>
        </row>
        <row r="51">
          <cell r="J51">
            <v>3.2657628491804301E-3</v>
          </cell>
        </row>
        <row r="52">
          <cell r="J52">
            <v>1.3040290407002328</v>
          </cell>
        </row>
        <row r="53">
          <cell r="J53">
            <v>3.2657675026290375E-3</v>
          </cell>
        </row>
        <row r="54">
          <cell r="J54">
            <v>1.02910923759183</v>
          </cell>
        </row>
        <row r="55">
          <cell r="J55">
            <v>1.0081318236532257</v>
          </cell>
        </row>
        <row r="56">
          <cell r="J5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opLeftCell="B1" zoomScale="90" zoomScaleNormal="90" workbookViewId="0">
      <selection activeCell="B9" sqref="B9"/>
    </sheetView>
  </sheetViews>
  <sheetFormatPr defaultRowHeight="14.4" x14ac:dyDescent="0.3"/>
  <cols>
    <col min="1" max="1" width="14.5546875" customWidth="1"/>
    <col min="2" max="2" width="19.6640625" bestFit="1" customWidth="1"/>
    <col min="3" max="3" width="12.88671875" bestFit="1" customWidth="1"/>
    <col min="4" max="4" width="11.109375" customWidth="1"/>
    <col min="5" max="5" width="12" customWidth="1"/>
    <col min="6" max="6" width="12.6640625" customWidth="1"/>
    <col min="7" max="7" width="11.44140625" bestFit="1" customWidth="1"/>
    <col min="8" max="8" width="13.6640625" bestFit="1" customWidth="1"/>
    <col min="9" max="9" width="14.109375" bestFit="1" customWidth="1"/>
    <col min="10" max="10" width="16.33203125" customWidth="1"/>
    <col min="11" max="11" width="16.88671875" bestFit="1" customWidth="1"/>
    <col min="12" max="12" width="18.5546875" customWidth="1"/>
    <col min="13" max="13" width="15.88671875" customWidth="1"/>
    <col min="14" max="14" width="16.109375" customWidth="1"/>
    <col min="15" max="15" width="11.88671875" customWidth="1"/>
    <col min="16" max="16" width="12.44140625" customWidth="1"/>
    <col min="17" max="17" width="9.109375" customWidth="1"/>
    <col min="18" max="18" width="11" customWidth="1"/>
    <col min="19" max="19" width="12.109375" customWidth="1"/>
    <col min="20" max="21" width="12" customWidth="1"/>
    <col min="22" max="22" width="13" customWidth="1"/>
    <col min="23" max="23" width="12.88671875" customWidth="1"/>
    <col min="24" max="24" width="12.5546875" customWidth="1"/>
    <col min="25" max="25" width="13.88671875" customWidth="1"/>
    <col min="26" max="26" width="10.5546875" customWidth="1"/>
    <col min="27" max="27" width="10.6640625" customWidth="1"/>
    <col min="28" max="29" width="11.33203125" customWidth="1"/>
  </cols>
  <sheetData>
    <row r="1" spans="1:29" ht="15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</row>
    <row r="2" spans="1:29" s="13" customFormat="1" ht="45" x14ac:dyDescent="0.25">
      <c r="A2" s="13" t="s">
        <v>11</v>
      </c>
      <c r="B2" s="13" t="s">
        <v>12</v>
      </c>
      <c r="C2" s="13" t="s">
        <v>10</v>
      </c>
      <c r="D2" s="13" t="s">
        <v>3</v>
      </c>
      <c r="E2" s="13" t="s">
        <v>27</v>
      </c>
      <c r="F2" s="13" t="s">
        <v>4</v>
      </c>
      <c r="G2" s="13" t="s">
        <v>6</v>
      </c>
      <c r="H2" s="13" t="s">
        <v>13</v>
      </c>
      <c r="I2" s="13" t="s">
        <v>14</v>
      </c>
      <c r="J2" s="13" t="s">
        <v>31</v>
      </c>
      <c r="K2" s="13" t="s">
        <v>32</v>
      </c>
      <c r="L2" s="13" t="s">
        <v>33</v>
      </c>
      <c r="M2" s="13" t="s">
        <v>29</v>
      </c>
      <c r="N2" s="13" t="s">
        <v>30</v>
      </c>
      <c r="O2" s="13" t="s">
        <v>34</v>
      </c>
      <c r="P2" s="13" t="s">
        <v>15</v>
      </c>
      <c r="Q2" s="13" t="s">
        <v>19</v>
      </c>
      <c r="R2" s="13" t="s">
        <v>20</v>
      </c>
      <c r="S2" s="13" t="s">
        <v>16</v>
      </c>
      <c r="T2" s="13" t="s">
        <v>17</v>
      </c>
      <c r="U2" s="13" t="s">
        <v>35</v>
      </c>
      <c r="V2" s="13" t="s">
        <v>36</v>
      </c>
      <c r="W2" s="13" t="s">
        <v>37</v>
      </c>
      <c r="X2" s="13" t="s">
        <v>29</v>
      </c>
      <c r="Y2" s="13" t="s">
        <v>30</v>
      </c>
      <c r="Z2" s="13" t="s">
        <v>34</v>
      </c>
      <c r="AA2" s="13" t="s">
        <v>18</v>
      </c>
      <c r="AB2" s="13" t="s">
        <v>21</v>
      </c>
      <c r="AC2" s="13" t="s">
        <v>22</v>
      </c>
    </row>
    <row r="3" spans="1:29" s="1" customFormat="1" x14ac:dyDescent="0.3">
      <c r="A3" s="61" t="s">
        <v>38</v>
      </c>
      <c r="B3" s="3" t="s">
        <v>43</v>
      </c>
      <c r="C3" s="11">
        <v>750</v>
      </c>
      <c r="F3" s="1">
        <v>1.0564</v>
      </c>
      <c r="G3" s="1">
        <v>0.56999999999999995</v>
      </c>
      <c r="H3" s="1">
        <v>32.79</v>
      </c>
      <c r="I3" s="1">
        <v>5.4999999999999997E-3</v>
      </c>
      <c r="J3" s="1">
        <v>8.9999999999999998E-4</v>
      </c>
      <c r="K3" s="1">
        <v>-0.49</v>
      </c>
      <c r="L3" s="1">
        <f>0.0002-0.0001</f>
        <v>1E-4</v>
      </c>
      <c r="M3" s="54">
        <v>0</v>
      </c>
      <c r="N3" s="1">
        <v>4.1999999999999997E-3</v>
      </c>
      <c r="O3" s="9">
        <v>0</v>
      </c>
      <c r="P3" s="9">
        <v>0</v>
      </c>
      <c r="Q3" s="1">
        <v>6.7000000000000002E-3</v>
      </c>
      <c r="R3" s="1">
        <v>3.8E-3</v>
      </c>
      <c r="S3" s="54">
        <v>36.799999999999997</v>
      </c>
      <c r="T3" s="9">
        <v>0</v>
      </c>
      <c r="U3" s="1">
        <f>J3</f>
        <v>8.9999999999999998E-4</v>
      </c>
      <c r="V3" s="1">
        <v>-0.55000000000000004</v>
      </c>
      <c r="W3" s="1">
        <v>2.0000000000000001E-4</v>
      </c>
      <c r="X3" s="1">
        <v>0</v>
      </c>
      <c r="Y3" s="1">
        <v>0</v>
      </c>
      <c r="Z3" s="1">
        <v>0</v>
      </c>
      <c r="AA3" s="1">
        <v>0</v>
      </c>
      <c r="AB3" s="9">
        <f>ROUND('[1]15. RTSR Rates to Forecast'!J39,4)</f>
        <v>6.7999999999999996E-3</v>
      </c>
      <c r="AC3" s="9">
        <f>ROUND('[1]15. RTSR Rates to Forecast'!J50,4)</f>
        <v>3.8E-3</v>
      </c>
    </row>
    <row r="4" spans="1:29" s="1" customFormat="1" x14ac:dyDescent="0.3">
      <c r="A4" s="61"/>
      <c r="B4" s="3" t="s">
        <v>64</v>
      </c>
      <c r="C4" s="11">
        <v>750</v>
      </c>
      <c r="F4" s="1">
        <v>1.0564</v>
      </c>
      <c r="G4" s="1">
        <v>0.56999999999999995</v>
      </c>
      <c r="H4" s="1">
        <f t="shared" ref="H4:O4" si="0">H3</f>
        <v>32.79</v>
      </c>
      <c r="I4" s="1">
        <f t="shared" si="0"/>
        <v>5.4999999999999997E-3</v>
      </c>
      <c r="J4" s="1">
        <f t="shared" si="0"/>
        <v>8.9999999999999998E-4</v>
      </c>
      <c r="K4" s="1">
        <f t="shared" si="0"/>
        <v>-0.49</v>
      </c>
      <c r="L4" s="1">
        <f t="shared" si="0"/>
        <v>1E-4</v>
      </c>
      <c r="M4" s="54">
        <f t="shared" si="0"/>
        <v>0</v>
      </c>
      <c r="N4" s="1">
        <f t="shared" si="0"/>
        <v>4.1999999999999997E-3</v>
      </c>
      <c r="O4" s="9">
        <f t="shared" si="0"/>
        <v>0</v>
      </c>
      <c r="P4" s="1">
        <v>-7.4000000000000003E-3</v>
      </c>
      <c r="Q4" s="1">
        <f t="shared" ref="Q4:W4" si="1">Q3</f>
        <v>6.7000000000000002E-3</v>
      </c>
      <c r="R4" s="1">
        <f t="shared" si="1"/>
        <v>3.8E-3</v>
      </c>
      <c r="S4" s="54">
        <f t="shared" si="1"/>
        <v>36.799999999999997</v>
      </c>
      <c r="T4" s="9">
        <f t="shared" si="1"/>
        <v>0</v>
      </c>
      <c r="U4" s="1">
        <f t="shared" si="1"/>
        <v>8.9999999999999998E-4</v>
      </c>
      <c r="V4" s="1">
        <f t="shared" si="1"/>
        <v>-0.55000000000000004</v>
      </c>
      <c r="W4" s="1">
        <f t="shared" si="1"/>
        <v>2.0000000000000001E-4</v>
      </c>
      <c r="X4" s="1">
        <v>0</v>
      </c>
      <c r="Y4" s="1">
        <v>0</v>
      </c>
      <c r="Z4" s="1">
        <v>0</v>
      </c>
      <c r="AA4" s="1">
        <v>0</v>
      </c>
      <c r="AB4" s="9">
        <f>AB3</f>
        <v>6.7999999999999996E-3</v>
      </c>
      <c r="AC4" s="9">
        <f>AC3</f>
        <v>3.8E-3</v>
      </c>
    </row>
    <row r="5" spans="1:29" s="1" customFormat="1" x14ac:dyDescent="0.3">
      <c r="A5" s="61"/>
      <c r="B5" s="3" t="s">
        <v>93</v>
      </c>
      <c r="C5" s="11">
        <v>2000</v>
      </c>
      <c r="F5" s="1">
        <v>1.0564</v>
      </c>
      <c r="G5" s="1">
        <v>0.56999999999999995</v>
      </c>
      <c r="H5" s="1">
        <v>49.98</v>
      </c>
      <c r="I5" s="1">
        <v>1.5599999999999999E-2</v>
      </c>
      <c r="J5" s="1">
        <v>8.0000000000000004E-4</v>
      </c>
      <c r="K5" s="1">
        <v>-0.74</v>
      </c>
      <c r="L5" s="1">
        <f>-0.0003+0.0001</f>
        <v>-1.9999999999999998E-4</v>
      </c>
      <c r="M5" s="54">
        <v>0</v>
      </c>
      <c r="N5" s="1">
        <v>4.1999999999999997E-3</v>
      </c>
      <c r="O5" s="9">
        <v>0</v>
      </c>
      <c r="P5" s="9">
        <v>0</v>
      </c>
      <c r="Q5" s="1">
        <v>6.1999999999999998E-3</v>
      </c>
      <c r="R5" s="1">
        <v>3.3E-3</v>
      </c>
      <c r="S5" s="1">
        <f>H5</f>
        <v>49.98</v>
      </c>
      <c r="T5" s="1">
        <f>I5</f>
        <v>1.5599999999999999E-2</v>
      </c>
      <c r="U5" s="1">
        <f t="shared" ref="U5:U11" si="2">J5</f>
        <v>8.0000000000000004E-4</v>
      </c>
      <c r="V5" s="1">
        <f>K5</f>
        <v>-0.74</v>
      </c>
      <c r="W5" s="1">
        <f>-0.0003+0.0001</f>
        <v>-1.9999999999999998E-4</v>
      </c>
      <c r="X5" s="1">
        <v>0</v>
      </c>
      <c r="Y5" s="1">
        <v>0</v>
      </c>
      <c r="Z5" s="1">
        <v>0</v>
      </c>
      <c r="AA5" s="1">
        <v>0</v>
      </c>
      <c r="AB5" s="9">
        <f>ROUND('[1]15. RTSR Rates to Forecast'!J40,4)</f>
        <v>6.3E-3</v>
      </c>
      <c r="AC5" s="9">
        <f>ROUND('[1]15. RTSR Rates to Forecast'!J51,4)</f>
        <v>3.3E-3</v>
      </c>
    </row>
    <row r="6" spans="1:29" s="1" customFormat="1" x14ac:dyDescent="0.3">
      <c r="A6" s="61"/>
      <c r="B6" s="3" t="s">
        <v>94</v>
      </c>
      <c r="C6" s="11">
        <v>2000</v>
      </c>
      <c r="F6" s="1">
        <v>1.0564</v>
      </c>
      <c r="G6" s="1">
        <v>0.56999999999999995</v>
      </c>
      <c r="H6" s="1">
        <v>49.98</v>
      </c>
      <c r="I6" s="1">
        <v>1.5599999999999999E-2</v>
      </c>
      <c r="J6" s="1">
        <v>8.0000000000000004E-4</v>
      </c>
      <c r="K6" s="1">
        <v>-0.74</v>
      </c>
      <c r="L6" s="1">
        <f>-0.0003+0.0001</f>
        <v>-1.9999999999999998E-4</v>
      </c>
      <c r="M6" s="54">
        <v>0</v>
      </c>
      <c r="N6" s="1">
        <v>4.1999999999999997E-3</v>
      </c>
      <c r="O6" s="9">
        <v>0</v>
      </c>
      <c r="P6" s="1">
        <v>-7.4000000000000003E-3</v>
      </c>
      <c r="Q6" s="1">
        <v>6.1999999999999998E-3</v>
      </c>
      <c r="R6" s="1">
        <v>3.3E-3</v>
      </c>
      <c r="S6" s="1">
        <f>S5</f>
        <v>49.98</v>
      </c>
      <c r="T6" s="1">
        <f>T5</f>
        <v>1.5599999999999999E-2</v>
      </c>
      <c r="U6" s="1">
        <f>U5</f>
        <v>8.0000000000000004E-4</v>
      </c>
      <c r="V6" s="1">
        <f>V5</f>
        <v>-0.74</v>
      </c>
      <c r="W6" s="1">
        <f>W5</f>
        <v>-1.9999999999999998E-4</v>
      </c>
      <c r="X6" s="1">
        <v>0</v>
      </c>
      <c r="Y6" s="1">
        <v>0</v>
      </c>
      <c r="Z6" s="1">
        <v>0</v>
      </c>
      <c r="AA6" s="1">
        <v>0</v>
      </c>
      <c r="AB6" s="9">
        <f>AB5</f>
        <v>6.3E-3</v>
      </c>
      <c r="AC6" s="9">
        <f>AC5</f>
        <v>3.3E-3</v>
      </c>
    </row>
    <row r="7" spans="1:29" s="1" customFormat="1" x14ac:dyDescent="0.3">
      <c r="A7" s="61"/>
      <c r="B7" s="3" t="s">
        <v>95</v>
      </c>
      <c r="C7" s="11">
        <v>47246</v>
      </c>
      <c r="D7" s="11">
        <v>100</v>
      </c>
      <c r="E7" s="11"/>
      <c r="F7" s="1">
        <v>1.0564</v>
      </c>
      <c r="G7" s="1">
        <v>0</v>
      </c>
      <c r="H7" s="1">
        <v>245.55</v>
      </c>
      <c r="I7" s="1">
        <v>3.9601999999999999</v>
      </c>
      <c r="J7" s="9">
        <v>0.30499999999999999</v>
      </c>
      <c r="K7" s="1">
        <v>-3.61</v>
      </c>
      <c r="L7" s="1">
        <f>-0.0583+0.0211-0.003</f>
        <v>-4.02E-2</v>
      </c>
      <c r="M7" s="54">
        <v>0</v>
      </c>
      <c r="N7" s="1">
        <f>1.591+0.0181</f>
        <v>1.6091</v>
      </c>
      <c r="O7" s="9">
        <v>0</v>
      </c>
      <c r="P7" s="1">
        <v>-7.4000000000000003E-3</v>
      </c>
      <c r="Q7" s="1">
        <v>2.4984000000000002</v>
      </c>
      <c r="R7" s="1">
        <v>1.3177000000000001</v>
      </c>
      <c r="S7" s="1">
        <f t="shared" ref="S7:T11" si="3">H7</f>
        <v>245.55</v>
      </c>
      <c r="T7" s="1">
        <f t="shared" si="3"/>
        <v>3.9601999999999999</v>
      </c>
      <c r="U7" s="9">
        <f t="shared" si="2"/>
        <v>0.30499999999999999</v>
      </c>
      <c r="V7" s="1">
        <f>K7</f>
        <v>-3.61</v>
      </c>
      <c r="W7" s="1">
        <f>-0.0583+0.0211-0.003</f>
        <v>-4.02E-2</v>
      </c>
      <c r="X7" s="1">
        <v>0</v>
      </c>
      <c r="Y7" s="1">
        <v>0</v>
      </c>
      <c r="Z7" s="1">
        <v>0</v>
      </c>
      <c r="AA7" s="1">
        <v>0</v>
      </c>
      <c r="AB7" s="9">
        <f>ROUND('[1]15. RTSR Rates to Forecast'!J41,4)</f>
        <v>2.5445000000000002</v>
      </c>
      <c r="AC7" s="9">
        <f>ROUND('[1]15. RTSR Rates to Forecast'!J52,4)</f>
        <v>1.304</v>
      </c>
    </row>
    <row r="8" spans="1:29" s="1" customFormat="1" x14ac:dyDescent="0.3">
      <c r="A8" s="61"/>
      <c r="B8" s="3" t="s">
        <v>23</v>
      </c>
      <c r="C8" s="11">
        <v>500</v>
      </c>
      <c r="D8" s="11"/>
      <c r="E8" s="11">
        <v>1</v>
      </c>
      <c r="F8" s="1">
        <v>1.0564</v>
      </c>
      <c r="G8" s="1">
        <v>0</v>
      </c>
      <c r="H8" s="1">
        <v>15.49</v>
      </c>
      <c r="I8" s="1">
        <v>8.6999999999999994E-3</v>
      </c>
      <c r="J8" s="1">
        <v>8.0000000000000004E-4</v>
      </c>
      <c r="K8" s="1">
        <v>-0.22</v>
      </c>
      <c r="L8" s="1">
        <f>0.0002-0.0001</f>
        <v>1E-4</v>
      </c>
      <c r="M8" s="54">
        <v>0</v>
      </c>
      <c r="N8" s="1">
        <v>4.3E-3</v>
      </c>
      <c r="O8" s="9">
        <v>0</v>
      </c>
      <c r="P8" s="9">
        <v>0</v>
      </c>
      <c r="Q8" s="1">
        <v>6.1999999999999998E-3</v>
      </c>
      <c r="R8" s="1">
        <v>3.3E-3</v>
      </c>
      <c r="S8" s="1">
        <f t="shared" si="3"/>
        <v>15.49</v>
      </c>
      <c r="T8" s="1">
        <f t="shared" si="3"/>
        <v>8.6999999999999994E-3</v>
      </c>
      <c r="U8" s="1">
        <f t="shared" si="2"/>
        <v>8.0000000000000004E-4</v>
      </c>
      <c r="V8" s="1">
        <f>K8</f>
        <v>-0.22</v>
      </c>
      <c r="W8" s="1">
        <f>-0.0001+0.0002</f>
        <v>1E-4</v>
      </c>
      <c r="X8" s="1">
        <v>0</v>
      </c>
      <c r="Y8" s="1">
        <v>0</v>
      </c>
      <c r="Z8" s="1">
        <v>0</v>
      </c>
      <c r="AA8" s="1">
        <v>0</v>
      </c>
      <c r="AB8" s="9">
        <f>ROUND('[1]15. RTSR Rates to Forecast'!J42,4)</f>
        <v>6.3E-3</v>
      </c>
      <c r="AC8" s="9">
        <f>ROUND('[1]15. RTSR Rates to Forecast'!J53,4)</f>
        <v>3.3E-3</v>
      </c>
    </row>
    <row r="9" spans="1:29" s="1" customFormat="1" x14ac:dyDescent="0.3">
      <c r="A9" s="61"/>
      <c r="B9" s="3" t="s">
        <v>25</v>
      </c>
      <c r="C9" s="11">
        <v>108</v>
      </c>
      <c r="D9" s="12">
        <v>0.3</v>
      </c>
      <c r="E9" s="11">
        <v>1</v>
      </c>
      <c r="F9" s="1">
        <v>1.0564</v>
      </c>
      <c r="G9" s="1">
        <v>0</v>
      </c>
      <c r="H9" s="1">
        <v>6.53</v>
      </c>
      <c r="I9" s="9">
        <v>19.433</v>
      </c>
      <c r="J9" s="1">
        <v>0.2407</v>
      </c>
      <c r="K9" s="1">
        <v>-0.09</v>
      </c>
      <c r="L9" s="1">
        <f>-0.2862-0.0024+0.2079</f>
        <v>-8.0700000000000022E-2</v>
      </c>
      <c r="M9" s="54">
        <v>0</v>
      </c>
      <c r="N9" s="1">
        <v>1.6907000000000001</v>
      </c>
      <c r="O9" s="9">
        <v>0</v>
      </c>
      <c r="P9" s="9">
        <v>0</v>
      </c>
      <c r="Q9" s="1">
        <v>1.8937999999999999</v>
      </c>
      <c r="R9" s="1">
        <v>1.0399</v>
      </c>
      <c r="S9" s="1">
        <f t="shared" si="3"/>
        <v>6.53</v>
      </c>
      <c r="T9" s="9">
        <f t="shared" si="3"/>
        <v>19.433</v>
      </c>
      <c r="U9" s="1">
        <f>J9</f>
        <v>0.2407</v>
      </c>
      <c r="V9" s="1">
        <f>K9</f>
        <v>-0.09</v>
      </c>
      <c r="W9" s="1">
        <f>-0.2862+0.2079-0.0024</f>
        <v>-8.0700000000000008E-2</v>
      </c>
      <c r="X9" s="1">
        <v>0</v>
      </c>
      <c r="Y9" s="1">
        <v>0</v>
      </c>
      <c r="Z9" s="1">
        <v>0</v>
      </c>
      <c r="AA9" s="1">
        <v>0</v>
      </c>
      <c r="AB9" s="9">
        <f>ROUND('[1]15. RTSR Rates to Forecast'!J43,4)</f>
        <v>1.9288000000000001</v>
      </c>
      <c r="AC9" s="9">
        <f>ROUND('[1]15. RTSR Rates to Forecast'!J54,4)</f>
        <v>1.0290999999999999</v>
      </c>
    </row>
    <row r="10" spans="1:29" s="1" customFormat="1" x14ac:dyDescent="0.3">
      <c r="A10" s="61"/>
      <c r="B10" s="3" t="s">
        <v>24</v>
      </c>
      <c r="C10" s="11">
        <v>66</v>
      </c>
      <c r="D10" s="12">
        <v>0.2</v>
      </c>
      <c r="E10" s="11">
        <v>1</v>
      </c>
      <c r="F10" s="1">
        <v>1.0564</v>
      </c>
      <c r="G10" s="1">
        <v>0</v>
      </c>
      <c r="H10" s="1">
        <v>1.97</v>
      </c>
      <c r="I10" s="1">
        <v>7.4268999999999998</v>
      </c>
      <c r="J10" s="1">
        <v>0.23580000000000001</v>
      </c>
      <c r="K10" s="1">
        <v>-0.03</v>
      </c>
      <c r="L10" s="1">
        <f>-0.1094-0.0024+0.0655</f>
        <v>-4.6299999999999994E-2</v>
      </c>
      <c r="M10" s="54">
        <v>0</v>
      </c>
      <c r="N10" s="1">
        <v>1.4764999999999999</v>
      </c>
      <c r="O10" s="9">
        <v>0</v>
      </c>
      <c r="P10" s="9">
        <v>0</v>
      </c>
      <c r="Q10" s="1">
        <v>1.8842000000000001</v>
      </c>
      <c r="R10" s="1">
        <v>1.0186999999999999</v>
      </c>
      <c r="S10" s="1">
        <f t="shared" si="3"/>
        <v>1.97</v>
      </c>
      <c r="T10" s="1">
        <f t="shared" si="3"/>
        <v>7.4268999999999998</v>
      </c>
      <c r="U10" s="1">
        <f t="shared" si="2"/>
        <v>0.23580000000000001</v>
      </c>
      <c r="V10" s="1">
        <f t="shared" ref="V10:V11" si="4">K10</f>
        <v>-0.03</v>
      </c>
      <c r="W10" s="1">
        <f>-0.1094+0.0655-0.0024</f>
        <v>-4.6299999999999994E-2</v>
      </c>
      <c r="X10" s="1">
        <v>0</v>
      </c>
      <c r="Y10" s="1">
        <v>0</v>
      </c>
      <c r="Z10" s="1">
        <v>0</v>
      </c>
      <c r="AA10" s="1">
        <v>0</v>
      </c>
      <c r="AB10" s="9">
        <f>ROUND('[1]15. RTSR Rates to Forecast'!J44,4)</f>
        <v>1.919</v>
      </c>
      <c r="AC10" s="9">
        <f>ROUND('[1]15. RTSR Rates to Forecast'!J55,4)</f>
        <v>1.0081</v>
      </c>
    </row>
    <row r="11" spans="1:29" s="1" customFormat="1" x14ac:dyDescent="0.3">
      <c r="A11" s="61"/>
      <c r="B11" s="3" t="s">
        <v>26</v>
      </c>
      <c r="C11" s="11">
        <v>500000</v>
      </c>
      <c r="D11" s="11"/>
      <c r="E11" s="11"/>
      <c r="F11" s="1">
        <v>1.0564</v>
      </c>
      <c r="G11" s="1">
        <v>0</v>
      </c>
      <c r="H11" s="1">
        <v>616.86</v>
      </c>
      <c r="I11" s="1">
        <v>0</v>
      </c>
      <c r="J11" s="9">
        <v>0</v>
      </c>
      <c r="K11" s="1">
        <v>-9.09</v>
      </c>
      <c r="L11" s="9">
        <v>0</v>
      </c>
      <c r="M11" s="54">
        <v>0</v>
      </c>
      <c r="N11" s="1">
        <v>4.3E-3</v>
      </c>
      <c r="O11" s="9">
        <v>0</v>
      </c>
      <c r="P11" s="1">
        <v>-7.4000000000000003E-3</v>
      </c>
      <c r="Q11" s="9">
        <v>0</v>
      </c>
      <c r="R11" s="9">
        <v>0</v>
      </c>
      <c r="S11" s="1">
        <f t="shared" si="3"/>
        <v>616.86</v>
      </c>
      <c r="T11" s="9">
        <f t="shared" si="3"/>
        <v>0</v>
      </c>
      <c r="U11" s="9">
        <f t="shared" si="2"/>
        <v>0</v>
      </c>
      <c r="V11" s="1">
        <f t="shared" si="4"/>
        <v>-9.09</v>
      </c>
      <c r="W11" s="9">
        <f>L11</f>
        <v>0</v>
      </c>
      <c r="X11" s="1">
        <v>0</v>
      </c>
      <c r="Y11" s="1">
        <v>0</v>
      </c>
      <c r="Z11" s="1">
        <v>0</v>
      </c>
      <c r="AA11" s="1">
        <v>0</v>
      </c>
      <c r="AB11" s="9">
        <f>ROUND('[1]15. RTSR Rates to Forecast'!J45,4)</f>
        <v>0</v>
      </c>
      <c r="AC11" s="9">
        <f>ROUND('[1]15. RTSR Rates to Forecast'!J56,4)</f>
        <v>0</v>
      </c>
    </row>
  </sheetData>
  <mergeCells count="1">
    <mergeCell ref="A3:A11"/>
  </mergeCells>
  <pageMargins left="0.7" right="0.7" top="0.75" bottom="0.75" header="0.3" footer="0.3"/>
  <ignoredErrors>
    <ignoredError sqref="S6:V6 S5:AA5 U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E7" sqref="E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24</v>
      </c>
    </row>
    <row r="4" spans="1:9" ht="15" x14ac:dyDescent="0.25">
      <c r="A4" s="2" t="s">
        <v>66</v>
      </c>
      <c r="B4" s="31">
        <f>VLOOKUP($B$3,'Data-DO NOT PRINT'!$B$3:$AC$11,2,0)</f>
        <v>66</v>
      </c>
    </row>
    <row r="5" spans="1:9" ht="15" x14ac:dyDescent="0.25">
      <c r="A5" s="2" t="s">
        <v>65</v>
      </c>
      <c r="B5" s="10">
        <f>VLOOKUP($B$3,'Data-DO NOT PRINT'!$B$3:$AC$11,3)</f>
        <v>0.2</v>
      </c>
    </row>
    <row r="6" spans="1:9" ht="15" x14ac:dyDescent="0.25">
      <c r="A6" s="2" t="s">
        <v>4</v>
      </c>
      <c r="B6" s="10">
        <f>VLOOKUP(B3,'Data-DO NOT PRINT'!B3:Y11,5,0)</f>
        <v>1.0564</v>
      </c>
    </row>
    <row r="7" spans="1:9" ht="15" x14ac:dyDescent="0.25">
      <c r="A7" s="2" t="s">
        <v>28</v>
      </c>
      <c r="B7" s="31">
        <f>B4*B6</f>
        <v>69.722399999999993</v>
      </c>
    </row>
    <row r="8" spans="1:9" ht="15" x14ac:dyDescent="0.25">
      <c r="A8" s="2"/>
      <c r="B8" s="10"/>
    </row>
    <row r="9" spans="1:9" ht="15" x14ac:dyDescent="0.25">
      <c r="B9" s="85" t="s">
        <v>39</v>
      </c>
      <c r="C9" s="85"/>
      <c r="D9" s="85"/>
      <c r="E9" s="85" t="s">
        <v>100</v>
      </c>
      <c r="F9" s="85"/>
      <c r="G9" s="85"/>
      <c r="H9" s="85" t="s">
        <v>40</v>
      </c>
      <c r="I9" s="85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41</v>
      </c>
      <c r="I10" s="29" t="s">
        <v>42</v>
      </c>
    </row>
    <row r="11" spans="1:9" ht="15" x14ac:dyDescent="0.25">
      <c r="A11" s="2" t="s">
        <v>44</v>
      </c>
      <c r="B11" s="1">
        <v>1</v>
      </c>
      <c r="C11" s="5">
        <f>VLOOKUP($B$3,'Data-DO NOT PRINT'!$B$3:$AC$11,7,0)</f>
        <v>1.97</v>
      </c>
      <c r="D11" s="5">
        <f t="shared" ref="D11:D16" si="0">B11*C11</f>
        <v>1.97</v>
      </c>
      <c r="E11" s="1">
        <f t="shared" ref="E11:E14" si="1">B11</f>
        <v>1</v>
      </c>
      <c r="F11" s="5">
        <f>VLOOKUP($B$3,'Data-DO NOT PRINT'!$B$3:$AC$11,18,0)</f>
        <v>1.97</v>
      </c>
      <c r="G11" s="5">
        <f t="shared" ref="G11:G16" si="2">E11*F11</f>
        <v>1.97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45</v>
      </c>
      <c r="B12" s="90">
        <f>B5</f>
        <v>0.2</v>
      </c>
      <c r="C12" s="26">
        <f>VLOOKUP($B$3,'Data-DO NOT PRINT'!$B$3:$AC$11,8,0)</f>
        <v>7.4268999999999998</v>
      </c>
      <c r="D12" s="5">
        <f t="shared" si="0"/>
        <v>1.4853800000000001</v>
      </c>
      <c r="E12" s="90">
        <f t="shared" si="1"/>
        <v>0.2</v>
      </c>
      <c r="F12" s="26">
        <f>VLOOKUP($B$3,'Data-DO NOT PRINT'!$B$3:$AC$11,19,0)</f>
        <v>7.4268999999999998</v>
      </c>
      <c r="G12" s="5">
        <f t="shared" si="2"/>
        <v>1.4853800000000001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46</v>
      </c>
      <c r="B13" s="1">
        <v>1</v>
      </c>
      <c r="C13" s="5">
        <f>VLOOKUP($B$3,'Data-DO NOT PRINT'!$B$3:$AC$11,10,0)</f>
        <v>-0.03</v>
      </c>
      <c r="D13" s="5">
        <f t="shared" si="0"/>
        <v>-0.03</v>
      </c>
      <c r="E13" s="1">
        <f t="shared" si="1"/>
        <v>1</v>
      </c>
      <c r="F13" s="5">
        <f>VLOOKUP($B$3,'Data-DO NOT PRINT'!$B$3:$AC$11,21,0)</f>
        <v>-0.03</v>
      </c>
      <c r="G13" s="5">
        <f t="shared" si="2"/>
        <v>-0.03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47</v>
      </c>
      <c r="B14" s="90">
        <f>B5</f>
        <v>0.2</v>
      </c>
      <c r="C14" s="26">
        <f>VLOOKUP($B$3,'Data-DO NOT PRINT'!$B$3:$AC$11,11,0)</f>
        <v>-4.6299999999999994E-2</v>
      </c>
      <c r="D14" s="5">
        <f t="shared" si="0"/>
        <v>-9.2599999999999991E-3</v>
      </c>
      <c r="E14" s="90">
        <f t="shared" si="1"/>
        <v>0.2</v>
      </c>
      <c r="F14" s="26">
        <f>VLOOKUP($B$3,'Data-DO NOT PRINT'!$B$3:$AC$11,22,0)</f>
        <v>-4.6299999999999994E-2</v>
      </c>
      <c r="G14" s="5">
        <f t="shared" si="2"/>
        <v>-9.2599999999999991E-3</v>
      </c>
      <c r="H14" s="5">
        <f t="shared" si="3"/>
        <v>0</v>
      </c>
      <c r="I14" s="27">
        <f t="shared" si="4"/>
        <v>0</v>
      </c>
    </row>
    <row r="15" spans="1:9" ht="15" x14ac:dyDescent="0.25">
      <c r="A15" s="19" t="s">
        <v>48</v>
      </c>
      <c r="B15" s="17"/>
      <c r="C15" s="22"/>
      <c r="D15" s="18">
        <f>SUM(D11:D14)</f>
        <v>3.4161200000000003</v>
      </c>
      <c r="E15" s="16"/>
      <c r="F15" s="18"/>
      <c r="G15" s="18">
        <f>SUM(G11:G14)</f>
        <v>3.4161200000000003</v>
      </c>
      <c r="H15" s="18">
        <f>G15-D15</f>
        <v>0</v>
      </c>
      <c r="I15" s="28">
        <f>H15/D15</f>
        <v>0</v>
      </c>
    </row>
    <row r="16" spans="1:9" s="50" customFormat="1" ht="15" x14ac:dyDescent="0.25">
      <c r="A16" s="51" t="s">
        <v>49</v>
      </c>
      <c r="B16" s="53">
        <f>B7-B4</f>
        <v>3.7223999999999933</v>
      </c>
      <c r="C16" s="48">
        <f>IF(B4&gt;750,C31,C30)</f>
        <v>7.6999999999999999E-2</v>
      </c>
      <c r="D16" s="48">
        <f t="shared" si="0"/>
        <v>0.28662479999999946</v>
      </c>
      <c r="E16" s="53">
        <f>B16</f>
        <v>3.7223999999999933</v>
      </c>
      <c r="F16" s="48">
        <f>C16</f>
        <v>7.6999999999999999E-2</v>
      </c>
      <c r="G16" s="48">
        <f t="shared" si="2"/>
        <v>0.28662479999999946</v>
      </c>
      <c r="H16" s="48">
        <f t="shared" ref="H16" si="5">G16-D16</f>
        <v>0</v>
      </c>
      <c r="I16" s="49">
        <f t="shared" ref="I16" si="6">IF(ISERROR(H16/D16), "",H16/D16)</f>
        <v>0</v>
      </c>
    </row>
    <row r="17" spans="1:9" ht="15" x14ac:dyDescent="0.25">
      <c r="A17" s="2" t="s">
        <v>98</v>
      </c>
      <c r="B17" s="1">
        <v>1</v>
      </c>
      <c r="C17" s="5">
        <f>VLOOKUP($B$3,'Data-DO NOT PRINT'!$B$3:$AC$11,12,0)</f>
        <v>0</v>
      </c>
      <c r="D17" s="5">
        <f>B17*C17</f>
        <v>0</v>
      </c>
      <c r="E17" s="1">
        <f>B17</f>
        <v>1</v>
      </c>
      <c r="F17" s="5">
        <f>VLOOKUP($B$3,'Data-DO NOT PRINT'!$B$3:$AC$11,23,0)</f>
        <v>0</v>
      </c>
      <c r="G17" s="5">
        <f>E17*F17</f>
        <v>0</v>
      </c>
      <c r="H17" s="5">
        <f t="shared" ref="H17:H30" si="7">G17-D17</f>
        <v>0</v>
      </c>
      <c r="I17" s="27" t="str">
        <f t="shared" ref="I17:I22" si="8">IF(ISERROR(H17/D17), "",H17/D17)</f>
        <v/>
      </c>
    </row>
    <row r="18" spans="1:9" ht="15" x14ac:dyDescent="0.25">
      <c r="A18" s="2" t="s">
        <v>99</v>
      </c>
      <c r="B18" s="90">
        <f>B5</f>
        <v>0.2</v>
      </c>
      <c r="C18" s="26">
        <f>VLOOKUP($B$3,'Data-DO NOT PRINT'!$B$3:$AC$11,13,0)</f>
        <v>1.4764999999999999</v>
      </c>
      <c r="D18" s="5">
        <f>B18*C18</f>
        <v>0.29530000000000001</v>
      </c>
      <c r="E18" s="90">
        <f>B18</f>
        <v>0.2</v>
      </c>
      <c r="F18" s="26">
        <f>VLOOKUP($B$3,'Data-DO NOT PRINT'!$B$3:$AC$11,24,0)</f>
        <v>0</v>
      </c>
      <c r="G18" s="5">
        <f>E18*F18</f>
        <v>0</v>
      </c>
      <c r="H18" s="5">
        <f t="shared" si="7"/>
        <v>-0.29530000000000001</v>
      </c>
      <c r="I18" s="27">
        <f t="shared" si="8"/>
        <v>-1</v>
      </c>
    </row>
    <row r="19" spans="1:9" ht="15" x14ac:dyDescent="0.25">
      <c r="A19" s="4" t="s">
        <v>50</v>
      </c>
      <c r="B19" s="90">
        <f>B5</f>
        <v>0.2</v>
      </c>
      <c r="C19" s="26">
        <f>VLOOKUP($B$3,'Data-DO NOT PRINT'!$B$3:$AC$11,14,0)</f>
        <v>0</v>
      </c>
      <c r="D19" s="5">
        <f t="shared" ref="D19:D22" si="9">B19*C19</f>
        <v>0</v>
      </c>
      <c r="E19" s="90">
        <f t="shared" ref="E19:E22" si="10">B19</f>
        <v>0.2</v>
      </c>
      <c r="F19" s="26">
        <f>VLOOKUP($B$3,'Data-DO NOT PRINT'!$B$3:$AC$11,25,0)</f>
        <v>0</v>
      </c>
      <c r="G19" s="5">
        <f t="shared" ref="G19:G22" si="11">E19*F19</f>
        <v>0</v>
      </c>
      <c r="H19" s="5">
        <f t="shared" si="7"/>
        <v>0</v>
      </c>
      <c r="I19" s="27" t="str">
        <f t="shared" si="8"/>
        <v/>
      </c>
    </row>
    <row r="20" spans="1:9" ht="15" x14ac:dyDescent="0.25">
      <c r="A20" s="4" t="s">
        <v>51</v>
      </c>
      <c r="B20" s="11">
        <f>B4</f>
        <v>66</v>
      </c>
      <c r="C20" s="26">
        <f>VLOOKUP($B$3,'Data-DO NOT PRINT'!$B$3:$AC$11,15,0)</f>
        <v>0</v>
      </c>
      <c r="D20" s="5">
        <f t="shared" si="9"/>
        <v>0</v>
      </c>
      <c r="E20" s="11">
        <f>B20</f>
        <v>66</v>
      </c>
      <c r="F20" s="26">
        <f>VLOOKUP($B$3,'Data-DO NOT PRINT'!$B$3:$AC$11,26,0)</f>
        <v>0</v>
      </c>
      <c r="G20" s="5">
        <f t="shared" si="11"/>
        <v>0</v>
      </c>
      <c r="H20" s="5">
        <f t="shared" si="7"/>
        <v>0</v>
      </c>
      <c r="I20" s="27" t="str">
        <f t="shared" si="8"/>
        <v/>
      </c>
    </row>
    <row r="21" spans="1:9" ht="15" x14ac:dyDescent="0.25">
      <c r="A21" s="4" t="s">
        <v>52</v>
      </c>
      <c r="B21" s="90">
        <f>B5</f>
        <v>0.2</v>
      </c>
      <c r="C21" s="26">
        <f>VLOOKUP($B$3,'Data-DO NOT PRINT'!$B$3:$AC$11,9,0)</f>
        <v>0.23580000000000001</v>
      </c>
      <c r="D21" s="5">
        <f t="shared" si="9"/>
        <v>4.7160000000000007E-2</v>
      </c>
      <c r="E21" s="90">
        <f>B21</f>
        <v>0.2</v>
      </c>
      <c r="F21" s="26">
        <f>VLOOKUP($B$3,'Data-DO NOT PRINT'!$B$3:$AC$11,20,0)</f>
        <v>0.23580000000000001</v>
      </c>
      <c r="G21" s="5">
        <f t="shared" si="11"/>
        <v>4.7160000000000007E-2</v>
      </c>
      <c r="H21" s="5">
        <f t="shared" si="7"/>
        <v>0</v>
      </c>
      <c r="I21" s="27">
        <f t="shared" si="8"/>
        <v>0</v>
      </c>
    </row>
    <row r="22" spans="1:9" ht="15" x14ac:dyDescent="0.25">
      <c r="A22" s="2" t="s">
        <v>53</v>
      </c>
      <c r="B22" s="1">
        <v>1</v>
      </c>
      <c r="C22" s="5">
        <f>VLOOKUP($B$3,'Data-DO NOT PRINT'!$B$3:$AC$11,6,0)</f>
        <v>0</v>
      </c>
      <c r="D22" s="5">
        <f t="shared" si="9"/>
        <v>0</v>
      </c>
      <c r="E22" s="1">
        <f t="shared" si="10"/>
        <v>1</v>
      </c>
      <c r="F22" s="5">
        <f>C22</f>
        <v>0</v>
      </c>
      <c r="G22" s="5">
        <f t="shared" si="11"/>
        <v>0</v>
      </c>
      <c r="H22" s="5">
        <f t="shared" si="7"/>
        <v>0</v>
      </c>
      <c r="I22" s="27" t="str">
        <f t="shared" si="8"/>
        <v/>
      </c>
    </row>
    <row r="23" spans="1:9" ht="15" x14ac:dyDescent="0.25">
      <c r="A23" s="19" t="s">
        <v>54</v>
      </c>
      <c r="B23" s="17"/>
      <c r="C23" s="22"/>
      <c r="D23" s="18">
        <f>SUM(D15:D22)</f>
        <v>4.0452047999999996</v>
      </c>
      <c r="E23" s="17"/>
      <c r="F23" s="22"/>
      <c r="G23" s="18">
        <f>SUM(G15:G22)</f>
        <v>3.7499047999999995</v>
      </c>
      <c r="H23" s="18">
        <f>G23-D23</f>
        <v>-0.29530000000000012</v>
      </c>
      <c r="I23" s="28">
        <f>H23/D23</f>
        <v>-7.3000012261431158E-2</v>
      </c>
    </row>
    <row r="24" spans="1:9" ht="15" x14ac:dyDescent="0.25">
      <c r="A24" s="2" t="s">
        <v>55</v>
      </c>
      <c r="B24" s="90">
        <f>B5</f>
        <v>0.2</v>
      </c>
      <c r="C24" s="26">
        <f>VLOOKUP($B$3,'Data-DO NOT PRINT'!$B$3:$AC$11,16,0)</f>
        <v>1.8842000000000001</v>
      </c>
      <c r="D24" s="5">
        <f t="shared" ref="D24:D25" si="12">B24*C24</f>
        <v>0.37684000000000006</v>
      </c>
      <c r="E24" s="90">
        <f t="shared" ref="E24:E25" si="13">B24</f>
        <v>0.2</v>
      </c>
      <c r="F24" s="26">
        <f>VLOOKUP($B$3,'Data-DO NOT PRINT'!$B$3:$AC$11,27,0)</f>
        <v>1.919</v>
      </c>
      <c r="G24" s="5">
        <f t="shared" ref="G24:G25" si="14">E24*F24</f>
        <v>0.38380000000000003</v>
      </c>
      <c r="H24" s="5">
        <f t="shared" si="7"/>
        <v>6.9599999999999662E-3</v>
      </c>
      <c r="I24" s="27">
        <f t="shared" ref="I24:I25" si="15">IF(ISERROR(H24/D24), "",H24/D24)</f>
        <v>1.8469376923893336E-2</v>
      </c>
    </row>
    <row r="25" spans="1:9" ht="15" x14ac:dyDescent="0.25">
      <c r="A25" s="2" t="s">
        <v>56</v>
      </c>
      <c r="B25" s="90">
        <f>B5</f>
        <v>0.2</v>
      </c>
      <c r="C25" s="26">
        <f>VLOOKUP($B$3,'Data-DO NOT PRINT'!$B$3:$AC$11,17,0)</f>
        <v>1.0186999999999999</v>
      </c>
      <c r="D25" s="5">
        <f t="shared" si="12"/>
        <v>0.20374</v>
      </c>
      <c r="E25" s="90">
        <f t="shared" si="13"/>
        <v>0.2</v>
      </c>
      <c r="F25" s="26">
        <f>VLOOKUP($B$3,'Data-DO NOT PRINT'!$B$3:$AC$11,28,0)</f>
        <v>1.0081</v>
      </c>
      <c r="G25" s="5">
        <f t="shared" si="14"/>
        <v>0.20162000000000002</v>
      </c>
      <c r="H25" s="5">
        <f t="shared" si="7"/>
        <v>-2.119999999999983E-3</v>
      </c>
      <c r="I25" s="27">
        <f t="shared" si="15"/>
        <v>-1.0405418670854929E-2</v>
      </c>
    </row>
    <row r="26" spans="1:9" ht="15" x14ac:dyDescent="0.25">
      <c r="A26" s="19" t="s">
        <v>57</v>
      </c>
      <c r="B26" s="17"/>
      <c r="C26" s="22"/>
      <c r="D26" s="18">
        <f>SUM(D23:D25)</f>
        <v>4.6257847999999999</v>
      </c>
      <c r="E26" s="17"/>
      <c r="F26" s="22"/>
      <c r="G26" s="18">
        <f>SUM(G23:G25)</f>
        <v>4.3353247999999995</v>
      </c>
      <c r="H26" s="18">
        <f>G26-D26</f>
        <v>-0.29046000000000038</v>
      </c>
      <c r="I26" s="28">
        <f>H26/D26</f>
        <v>-6.2791507291908688E-2</v>
      </c>
    </row>
    <row r="27" spans="1:9" ht="15" x14ac:dyDescent="0.25">
      <c r="A27" s="2" t="s">
        <v>58</v>
      </c>
      <c r="B27" s="11">
        <f>B7</f>
        <v>69.722399999999993</v>
      </c>
      <c r="C27" s="26">
        <v>3.3999999999999998E-3</v>
      </c>
      <c r="D27" s="5">
        <f t="shared" ref="D27:D29" si="16">B27*C27</f>
        <v>0.23705615999999996</v>
      </c>
      <c r="E27" s="11">
        <f t="shared" ref="E27:E29" si="17">B27</f>
        <v>69.722399999999993</v>
      </c>
      <c r="F27" s="26">
        <v>3.3999999999999998E-3</v>
      </c>
      <c r="G27" s="5">
        <f t="shared" ref="G27:G30" si="18">E27*F27</f>
        <v>0.23705615999999996</v>
      </c>
      <c r="H27" s="5">
        <f t="shared" si="7"/>
        <v>0</v>
      </c>
      <c r="I27" s="27">
        <f t="shared" ref="I27:I30" si="19">IF(ISERROR(H27/D27), "",H27/D27)</f>
        <v>0</v>
      </c>
    </row>
    <row r="28" spans="1:9" ht="15" x14ac:dyDescent="0.25">
      <c r="A28" s="2" t="s">
        <v>59</v>
      </c>
      <c r="B28" s="11">
        <f>B7</f>
        <v>69.722399999999993</v>
      </c>
      <c r="C28" s="26">
        <v>5.0000000000000001E-4</v>
      </c>
      <c r="D28" s="5">
        <f t="shared" si="16"/>
        <v>3.4861199999999995E-2</v>
      </c>
      <c r="E28" s="11">
        <f t="shared" si="17"/>
        <v>69.722399999999993</v>
      </c>
      <c r="F28" s="26">
        <v>5.0000000000000001E-4</v>
      </c>
      <c r="G28" s="5">
        <f t="shared" si="18"/>
        <v>3.4861199999999995E-2</v>
      </c>
      <c r="H28" s="5">
        <f t="shared" si="7"/>
        <v>0</v>
      </c>
      <c r="I28" s="27">
        <f t="shared" si="19"/>
        <v>0</v>
      </c>
    </row>
    <row r="29" spans="1:9" ht="15" x14ac:dyDescent="0.25">
      <c r="A29" s="2" t="s">
        <v>60</v>
      </c>
      <c r="B29" s="1">
        <v>1</v>
      </c>
      <c r="C29" s="5">
        <v>0.25</v>
      </c>
      <c r="D29" s="5">
        <f t="shared" si="16"/>
        <v>0.25</v>
      </c>
      <c r="E29" s="1">
        <f t="shared" si="17"/>
        <v>1</v>
      </c>
      <c r="F29" s="5">
        <v>0.25</v>
      </c>
      <c r="G29" s="5">
        <f t="shared" si="18"/>
        <v>0.25</v>
      </c>
      <c r="H29" s="5">
        <f t="shared" si="7"/>
        <v>0</v>
      </c>
      <c r="I29" s="27">
        <f t="shared" si="19"/>
        <v>0</v>
      </c>
    </row>
    <row r="30" spans="1:9" ht="15" x14ac:dyDescent="0.25">
      <c r="A30" s="2" t="s">
        <v>69</v>
      </c>
      <c r="B30" s="11">
        <f>IF($B$4&gt;750,750,$B$4)</f>
        <v>66</v>
      </c>
      <c r="C30" s="25">
        <v>7.6999999999999999E-2</v>
      </c>
      <c r="D30" s="5">
        <f>B30*C30</f>
        <v>5.0819999999999999</v>
      </c>
      <c r="E30" s="11">
        <f>B30</f>
        <v>66</v>
      </c>
      <c r="F30" s="25">
        <f>C30</f>
        <v>7.6999999999999999E-2</v>
      </c>
      <c r="G30" s="5">
        <f t="shared" si="18"/>
        <v>5.0819999999999999</v>
      </c>
      <c r="H30" s="5">
        <f t="shared" si="7"/>
        <v>0</v>
      </c>
      <c r="I30" s="27">
        <f t="shared" si="19"/>
        <v>0</v>
      </c>
    </row>
    <row r="31" spans="1:9" x14ac:dyDescent="0.3">
      <c r="A31" s="2" t="s">
        <v>70</v>
      </c>
      <c r="B31" s="11">
        <f>IF($B$4&gt;750,$B$4-750,0)</f>
        <v>0</v>
      </c>
      <c r="C31" s="25">
        <v>8.8999999999999996E-2</v>
      </c>
      <c r="D31" s="5">
        <f>B31*C31</f>
        <v>0</v>
      </c>
      <c r="E31" s="11">
        <f>B31</f>
        <v>0</v>
      </c>
      <c r="F31" s="25">
        <v>8.8999999999999996E-2</v>
      </c>
      <c r="G31" s="5">
        <f t="shared" ref="G31" si="20">E31*F31</f>
        <v>0</v>
      </c>
      <c r="H31" s="5">
        <f t="shared" ref="H31" si="21">G31-D31</f>
        <v>0</v>
      </c>
      <c r="I31" s="27" t="str">
        <f t="shared" ref="I31" si="22">IF(ISERROR(H31/D31), "",H31/D31)</f>
        <v/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61</v>
      </c>
      <c r="D33" s="6">
        <f>SUM(D26:D31)</f>
        <v>10.229702159999999</v>
      </c>
      <c r="E33" s="1"/>
      <c r="F33" s="5"/>
      <c r="G33" s="6">
        <f>SUM(G26:G31)</f>
        <v>9.9392421599999992</v>
      </c>
      <c r="H33" s="6">
        <f>G33-D33</f>
        <v>-0.2904599999999995</v>
      </c>
      <c r="I33" s="29">
        <f t="shared" ref="I33:I34" si="23">IF(ISERROR(H33/D33), "",H33/D33)</f>
        <v>-2.8393788544084017E-2</v>
      </c>
    </row>
    <row r="34" spans="1:9" x14ac:dyDescent="0.3">
      <c r="A34" s="2" t="s">
        <v>5</v>
      </c>
      <c r="C34" s="7">
        <v>0.13</v>
      </c>
      <c r="D34" s="5">
        <f>C34*D33</f>
        <v>1.3298612807999999</v>
      </c>
      <c r="E34" s="1"/>
      <c r="F34" s="7">
        <v>0.13</v>
      </c>
      <c r="G34" s="5">
        <f>F34*G33</f>
        <v>1.2921014808</v>
      </c>
      <c r="H34" s="5">
        <f t="shared" ref="H34" si="24">G34-D34</f>
        <v>-3.7759799999999899E-2</v>
      </c>
      <c r="I34" s="27">
        <f t="shared" si="23"/>
        <v>-2.8393788544083989E-2</v>
      </c>
    </row>
    <row r="35" spans="1:9" x14ac:dyDescent="0.3">
      <c r="A35" s="2" t="s">
        <v>62</v>
      </c>
      <c r="C35" s="7">
        <v>-0.08</v>
      </c>
      <c r="D35" s="5">
        <f>C35*D33</f>
        <v>-0.81837617279999986</v>
      </c>
      <c r="E35" s="1"/>
      <c r="F35" s="7">
        <v>-0.08</v>
      </c>
      <c r="G35" s="5">
        <f>F35*G33</f>
        <v>-0.79513937279999991</v>
      </c>
      <c r="H35" s="5">
        <f t="shared" ref="H35" si="25">G35-D35</f>
        <v>2.3236799999999946E-2</v>
      </c>
      <c r="I35" s="27">
        <f t="shared" ref="I35" si="26">IF(ISERROR(H35/D35), "",H35/D35)</f>
        <v>-2.8393788544084003E-2</v>
      </c>
    </row>
    <row r="36" spans="1:9" x14ac:dyDescent="0.3">
      <c r="A36" s="2" t="s">
        <v>63</v>
      </c>
      <c r="D36" s="6">
        <f>SUM(D33:D35)</f>
        <v>10.741187267999997</v>
      </c>
      <c r="E36" s="1"/>
      <c r="F36" s="5"/>
      <c r="G36" s="6">
        <f>SUM(G33:G35)</f>
        <v>10.436204267999999</v>
      </c>
      <c r="H36" s="6">
        <f>G36-D36</f>
        <v>-0.30498299999999823</v>
      </c>
      <c r="I36" s="29">
        <f t="shared" ref="I36" si="27">IF(ISERROR(H36/D36), "",H36/D36)</f>
        <v>-2.8393788544083906E-2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7:I26 D15:I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F25" sqref="F25:F26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26</v>
      </c>
    </row>
    <row r="4" spans="1:9" ht="15" x14ac:dyDescent="0.25">
      <c r="A4" s="2" t="s">
        <v>66</v>
      </c>
      <c r="B4" s="31">
        <f>VLOOKUP($B$3,'Data-DO NOT PRINT'!$B$3:$AC$11,2,0)</f>
        <v>500000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28</v>
      </c>
      <c r="B6" s="31">
        <f>B4*B5</f>
        <v>528200</v>
      </c>
    </row>
    <row r="7" spans="1:9" ht="15" x14ac:dyDescent="0.25">
      <c r="A7" s="2"/>
      <c r="B7" s="10"/>
    </row>
    <row r="8" spans="1:9" ht="15" x14ac:dyDescent="0.25">
      <c r="B8" s="85" t="s">
        <v>39</v>
      </c>
      <c r="C8" s="85"/>
      <c r="D8" s="85"/>
      <c r="E8" s="85" t="s">
        <v>100</v>
      </c>
      <c r="F8" s="85"/>
      <c r="G8" s="85"/>
      <c r="H8" s="85" t="s">
        <v>40</v>
      </c>
      <c r="I8" s="85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616.86</v>
      </c>
      <c r="D10" s="5">
        <f t="shared" ref="D10:D13" si="0">B10*C10</f>
        <v>616.86</v>
      </c>
      <c r="E10" s="1">
        <f t="shared" ref="E10:E13" si="1">B10</f>
        <v>1</v>
      </c>
      <c r="F10" s="5">
        <f>VLOOKUP($B$3,'Data-DO NOT PRINT'!$B$3:$AC$11,18,0)</f>
        <v>616.86</v>
      </c>
      <c r="G10" s="5">
        <f t="shared" ref="G10:G13" si="2">E10*F10</f>
        <v>616.86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45</v>
      </c>
      <c r="B11" s="11">
        <f>B4</f>
        <v>500000</v>
      </c>
      <c r="C11" s="26">
        <f>VLOOKUP($B$3,'Data-DO NOT PRINT'!$B$3:$AC$11,8,0)</f>
        <v>0</v>
      </c>
      <c r="D11" s="5">
        <f t="shared" si="0"/>
        <v>0</v>
      </c>
      <c r="E11" s="11">
        <f t="shared" si="1"/>
        <v>500000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0</v>
      </c>
      <c r="I11" s="27" t="str">
        <f t="shared" ref="I11:I13" si="4">IF(ISERROR(H11/D11), "",H11/D11)</f>
        <v/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-9.09</v>
      </c>
      <c r="D12" s="5">
        <f t="shared" si="0"/>
        <v>-9.09</v>
      </c>
      <c r="E12" s="1">
        <f t="shared" si="1"/>
        <v>1</v>
      </c>
      <c r="F12" s="5">
        <f>VLOOKUP($B$3,'Data-DO NOT PRINT'!$B$3:$AC$11,21,0)</f>
        <v>-9.09</v>
      </c>
      <c r="G12" s="5">
        <f t="shared" si="2"/>
        <v>-9.09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47</v>
      </c>
      <c r="B13" s="11">
        <f>B4</f>
        <v>500000</v>
      </c>
      <c r="C13" s="26">
        <f>VLOOKUP($B$3,'Data-DO NOT PRINT'!$B$3:$AC$11,11,0)</f>
        <v>0</v>
      </c>
      <c r="D13" s="5">
        <f t="shared" si="0"/>
        <v>0</v>
      </c>
      <c r="E13" s="11">
        <f t="shared" si="1"/>
        <v>500000</v>
      </c>
      <c r="F13" s="26">
        <f>VLOOKUP($B$3,'Data-DO NOT PRINT'!$B$3:$AC$11,22,0)</f>
        <v>0</v>
      </c>
      <c r="G13" s="5">
        <f t="shared" si="2"/>
        <v>0</v>
      </c>
      <c r="H13" s="5">
        <f t="shared" si="3"/>
        <v>0</v>
      </c>
      <c r="I13" s="27" t="str">
        <f t="shared" si="4"/>
        <v/>
      </c>
    </row>
    <row r="14" spans="1:9" ht="15" x14ac:dyDescent="0.25">
      <c r="A14" s="19" t="s">
        <v>48</v>
      </c>
      <c r="B14" s="17"/>
      <c r="C14" s="22"/>
      <c r="D14" s="18">
        <f>SUM(D10:D13)</f>
        <v>607.77</v>
      </c>
      <c r="E14" s="16"/>
      <c r="F14" s="18"/>
      <c r="G14" s="18">
        <f>SUM(G10:G13)</f>
        <v>607.77</v>
      </c>
      <c r="H14" s="18">
        <f>G14-D14</f>
        <v>0</v>
      </c>
      <c r="I14" s="28">
        <f>H14/D14</f>
        <v>0</v>
      </c>
    </row>
    <row r="15" spans="1:9" ht="15" x14ac:dyDescent="0.25">
      <c r="A15" s="2" t="s">
        <v>98</v>
      </c>
      <c r="B15" s="1">
        <v>1</v>
      </c>
      <c r="C15" s="5">
        <f>VLOOKUP($B$3,'Data-DO NOT PRINT'!$B$3:$AC$11,12,0)</f>
        <v>0</v>
      </c>
      <c r="D15" s="5">
        <f>B15*C15</f>
        <v>0</v>
      </c>
      <c r="E15" s="1">
        <f>B15</f>
        <v>1</v>
      </c>
      <c r="F15" s="5">
        <f>VLOOKUP($B$3,'Data-DO NOT PRINT'!$B$3:$AC$11,23,0)</f>
        <v>0</v>
      </c>
      <c r="G15" s="5">
        <f>E15*F15</f>
        <v>0</v>
      </c>
      <c r="H15" s="5">
        <f t="shared" ref="H15:H28" si="5">G15-D15</f>
        <v>0</v>
      </c>
      <c r="I15" s="27" t="str">
        <f t="shared" ref="I15:I20" si="6">IF(ISERROR(H15/D15), "",H15/D15)</f>
        <v/>
      </c>
    </row>
    <row r="16" spans="1:9" ht="15" x14ac:dyDescent="0.25">
      <c r="A16" s="2" t="s">
        <v>99</v>
      </c>
      <c r="B16" s="11">
        <f>B4</f>
        <v>500000</v>
      </c>
      <c r="C16" s="26">
        <f>VLOOKUP($B$3,'Data-DO NOT PRINT'!$B$3:$AC$11,13,0)</f>
        <v>4.3E-3</v>
      </c>
      <c r="D16" s="5">
        <f>B16*C16</f>
        <v>2150</v>
      </c>
      <c r="E16" s="11">
        <f>B16</f>
        <v>500000</v>
      </c>
      <c r="F16" s="26">
        <f>VLOOKUP($B$3,'Data-DO NOT PRINT'!$B$3:$AC$11,24,0)</f>
        <v>0</v>
      </c>
      <c r="G16" s="5">
        <f>E16*F16</f>
        <v>0</v>
      </c>
      <c r="H16" s="5">
        <f t="shared" si="5"/>
        <v>-2150</v>
      </c>
      <c r="I16" s="27">
        <f t="shared" si="6"/>
        <v>-1</v>
      </c>
    </row>
    <row r="17" spans="1:9" ht="15" x14ac:dyDescent="0.25">
      <c r="A17" s="4" t="s">
        <v>50</v>
      </c>
      <c r="B17" s="11">
        <f>B4</f>
        <v>500000</v>
      </c>
      <c r="C17" s="26">
        <f>VLOOKUP($B$3,'Data-DO NOT PRINT'!$B$3:$AC$11,14,0)</f>
        <v>0</v>
      </c>
      <c r="D17" s="5">
        <f t="shared" ref="D17:D20" si="7">B17*C17</f>
        <v>0</v>
      </c>
      <c r="E17" s="11">
        <f t="shared" ref="E17:E20" si="8">B17</f>
        <v>500000</v>
      </c>
      <c r="F17" s="26">
        <f>VLOOKUP($B$3,'Data-DO NOT PRINT'!$B$3:$AC$11,25,0)</f>
        <v>0</v>
      </c>
      <c r="G17" s="5">
        <f t="shared" ref="G17:G20" si="9">E17*F17</f>
        <v>0</v>
      </c>
      <c r="H17" s="5">
        <f t="shared" si="5"/>
        <v>0</v>
      </c>
      <c r="I17" s="27" t="str">
        <f t="shared" si="6"/>
        <v/>
      </c>
    </row>
    <row r="18" spans="1:9" ht="15" x14ac:dyDescent="0.25">
      <c r="A18" s="4" t="s">
        <v>51</v>
      </c>
      <c r="B18" s="11">
        <f>B4</f>
        <v>500000</v>
      </c>
      <c r="C18" s="26">
        <f>VLOOKUP($B$3,'Data-DO NOT PRINT'!$B$3:$AC$11,15,0)</f>
        <v>-7.4000000000000003E-3</v>
      </c>
      <c r="D18" s="5">
        <f t="shared" si="7"/>
        <v>-3700</v>
      </c>
      <c r="E18" s="11">
        <f>B18</f>
        <v>500000</v>
      </c>
      <c r="F18" s="26">
        <f>VLOOKUP($B$3,'Data-DO NOT PRINT'!$B$3:$AC$11,26,0)</f>
        <v>0</v>
      </c>
      <c r="G18" s="5">
        <f t="shared" si="9"/>
        <v>0</v>
      </c>
      <c r="H18" s="5">
        <f t="shared" si="5"/>
        <v>3700</v>
      </c>
      <c r="I18" s="27">
        <f t="shared" si="6"/>
        <v>-1</v>
      </c>
    </row>
    <row r="19" spans="1:9" ht="15" x14ac:dyDescent="0.25">
      <c r="A19" s="4" t="s">
        <v>52</v>
      </c>
      <c r="B19" s="11">
        <f>B4</f>
        <v>500000</v>
      </c>
      <c r="C19" s="26">
        <f>VLOOKUP($B$3,'Data-DO NOT PRINT'!$B$3:$AC$11,9,0)</f>
        <v>0</v>
      </c>
      <c r="D19" s="5">
        <f t="shared" si="7"/>
        <v>0</v>
      </c>
      <c r="E19" s="11">
        <f>B19</f>
        <v>500000</v>
      </c>
      <c r="F19" s="26">
        <f>VLOOKUP($B$3,'Data-DO NOT PRINT'!$B$3:$AC$11,20,0)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2" t="s">
        <v>53</v>
      </c>
      <c r="B20" s="1">
        <v>1</v>
      </c>
      <c r="C20" s="5">
        <f>VLOOKUP($B$3,'Data-DO NOT PRINT'!$B$3:$AC$11,6,0)</f>
        <v>0</v>
      </c>
      <c r="D20" s="5">
        <f t="shared" si="7"/>
        <v>0</v>
      </c>
      <c r="E20" s="1">
        <f t="shared" si="8"/>
        <v>1</v>
      </c>
      <c r="F20" s="5">
        <f>C20</f>
        <v>0</v>
      </c>
      <c r="G20" s="5">
        <f t="shared" si="9"/>
        <v>0</v>
      </c>
      <c r="H20" s="5">
        <f t="shared" si="5"/>
        <v>0</v>
      </c>
      <c r="I20" s="27" t="str">
        <f t="shared" si="6"/>
        <v/>
      </c>
    </row>
    <row r="21" spans="1:9" ht="15" x14ac:dyDescent="0.25">
      <c r="A21" s="19" t="s">
        <v>54</v>
      </c>
      <c r="B21" s="17"/>
      <c r="C21" s="22"/>
      <c r="D21" s="18">
        <f>SUM(D14:D20)</f>
        <v>-942.23</v>
      </c>
      <c r="E21" s="17"/>
      <c r="F21" s="22"/>
      <c r="G21" s="18">
        <f>SUM(G14:G20)</f>
        <v>607.77</v>
      </c>
      <c r="H21" s="18">
        <f>G21-D21</f>
        <v>1550</v>
      </c>
      <c r="I21" s="28">
        <f>H21/D21*-1</f>
        <v>1.6450335905246065</v>
      </c>
    </row>
    <row r="22" spans="1:9" ht="15" x14ac:dyDescent="0.25">
      <c r="A22" s="2" t="s">
        <v>55</v>
      </c>
      <c r="B22" s="11">
        <f>B6</f>
        <v>528200</v>
      </c>
      <c r="C22" s="26">
        <f>VLOOKUP($B$3,'Data-DO NOT PRINT'!$B$3:$AC$11,16,0)</f>
        <v>0</v>
      </c>
      <c r="D22" s="5">
        <f t="shared" ref="D22:D23" si="10">B22*C22</f>
        <v>0</v>
      </c>
      <c r="E22" s="11">
        <f t="shared" ref="E22:E23" si="11">B22</f>
        <v>528200</v>
      </c>
      <c r="F22" s="26">
        <f>VLOOKUP($B$3,'Data-DO NOT PRINT'!$B$3:$AC$11,27,0)</f>
        <v>0</v>
      </c>
      <c r="G22" s="5">
        <f t="shared" ref="G22:G23" si="12">E22*F22</f>
        <v>0</v>
      </c>
      <c r="H22" s="5">
        <f t="shared" si="5"/>
        <v>0</v>
      </c>
      <c r="I22" s="27" t="str">
        <f t="shared" ref="I22:I23" si="13">IF(ISERROR(H22/D22), "",H22/D22)</f>
        <v/>
      </c>
    </row>
    <row r="23" spans="1:9" ht="15" x14ac:dyDescent="0.25">
      <c r="A23" s="2" t="s">
        <v>56</v>
      </c>
      <c r="B23" s="11">
        <f>B6</f>
        <v>528200</v>
      </c>
      <c r="C23" s="26">
        <f>VLOOKUP($B$3,'Data-DO NOT PRINT'!$B$3:$AC$11,17,0)</f>
        <v>0</v>
      </c>
      <c r="D23" s="5">
        <f t="shared" si="10"/>
        <v>0</v>
      </c>
      <c r="E23" s="11">
        <f t="shared" si="11"/>
        <v>528200</v>
      </c>
      <c r="F23" s="26">
        <f>VLOOKUP($B$3,'Data-DO NOT PRINT'!$B$3:$AC$11,28,0)</f>
        <v>0</v>
      </c>
      <c r="G23" s="5">
        <f t="shared" si="12"/>
        <v>0</v>
      </c>
      <c r="H23" s="5">
        <f t="shared" si="5"/>
        <v>0</v>
      </c>
      <c r="I23" s="27" t="str">
        <f t="shared" si="13"/>
        <v/>
      </c>
    </row>
    <row r="24" spans="1:9" ht="15" x14ac:dyDescent="0.25">
      <c r="A24" s="19" t="s">
        <v>57</v>
      </c>
      <c r="B24" s="17"/>
      <c r="C24" s="22"/>
      <c r="D24" s="18">
        <f>SUM(D21:D23)</f>
        <v>-942.23</v>
      </c>
      <c r="E24" s="17"/>
      <c r="F24" s="22"/>
      <c r="G24" s="18">
        <f>SUM(G21:G23)</f>
        <v>607.77</v>
      </c>
      <c r="H24" s="18">
        <f>G24-D24</f>
        <v>1550</v>
      </c>
      <c r="I24" s="28">
        <f>H24/D24*-1</f>
        <v>1.6450335905246065</v>
      </c>
    </row>
    <row r="25" spans="1:9" ht="15" x14ac:dyDescent="0.25">
      <c r="A25" s="2" t="s">
        <v>58</v>
      </c>
      <c r="B25" s="11">
        <f>B6</f>
        <v>528200</v>
      </c>
      <c r="C25" s="26">
        <v>3.3999999999999998E-3</v>
      </c>
      <c r="D25" s="5">
        <f t="shared" ref="D25:D27" si="14">B25*C25</f>
        <v>1795.8799999999999</v>
      </c>
      <c r="E25" s="11">
        <f t="shared" ref="E25:E27" si="15">B25</f>
        <v>528200</v>
      </c>
      <c r="F25" s="26">
        <v>3.3999999999999998E-3</v>
      </c>
      <c r="G25" s="5">
        <f t="shared" ref="G25:G28" si="16">E25*F25</f>
        <v>1795.8799999999999</v>
      </c>
      <c r="H25" s="5">
        <f t="shared" si="5"/>
        <v>0</v>
      </c>
      <c r="I25" s="27">
        <f t="shared" ref="I25:I28" si="17">IF(ISERROR(H25/D25), "",H25/D25)</f>
        <v>0</v>
      </c>
    </row>
    <row r="26" spans="1:9" ht="15" x14ac:dyDescent="0.25">
      <c r="A26" s="2" t="s">
        <v>59</v>
      </c>
      <c r="B26" s="11">
        <f>B6</f>
        <v>528200</v>
      </c>
      <c r="C26" s="26">
        <v>5.0000000000000001E-4</v>
      </c>
      <c r="D26" s="5">
        <f t="shared" si="14"/>
        <v>264.10000000000002</v>
      </c>
      <c r="E26" s="11">
        <f t="shared" si="15"/>
        <v>528200</v>
      </c>
      <c r="F26" s="26">
        <v>5.0000000000000001E-4</v>
      </c>
      <c r="G26" s="5">
        <f t="shared" si="16"/>
        <v>264.10000000000002</v>
      </c>
      <c r="H26" s="5">
        <f t="shared" si="5"/>
        <v>0</v>
      </c>
      <c r="I26" s="27">
        <f t="shared" si="17"/>
        <v>0</v>
      </c>
    </row>
    <row r="27" spans="1:9" ht="15" x14ac:dyDescent="0.25">
      <c r="A27" s="2" t="s">
        <v>60</v>
      </c>
      <c r="B27" s="1">
        <v>1</v>
      </c>
      <c r="C27" s="5">
        <v>0.25</v>
      </c>
      <c r="D27" s="5">
        <f t="shared" si="14"/>
        <v>0.25</v>
      </c>
      <c r="E27" s="1">
        <f t="shared" si="15"/>
        <v>1</v>
      </c>
      <c r="F27" s="5">
        <v>0.25</v>
      </c>
      <c r="G27" s="5">
        <f t="shared" si="16"/>
        <v>0.25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67</v>
      </c>
      <c r="B28" s="11">
        <f>B6</f>
        <v>528200</v>
      </c>
      <c r="C28" s="26">
        <v>0.1101</v>
      </c>
      <c r="D28" s="5">
        <f>B28*C28</f>
        <v>58154.82</v>
      </c>
      <c r="E28" s="11">
        <f>B28</f>
        <v>528200</v>
      </c>
      <c r="F28" s="26">
        <f>C28</f>
        <v>0.1101</v>
      </c>
      <c r="G28" s="5">
        <f t="shared" si="16"/>
        <v>58154.82</v>
      </c>
      <c r="H28" s="5">
        <f t="shared" si="5"/>
        <v>0</v>
      </c>
      <c r="I28" s="27">
        <f t="shared" si="17"/>
        <v>0</v>
      </c>
    </row>
    <row r="29" spans="1:9" ht="15" x14ac:dyDescent="0.25">
      <c r="A29" s="20"/>
      <c r="B29" s="14"/>
      <c r="C29" s="21"/>
      <c r="D29" s="21"/>
      <c r="E29" s="14"/>
      <c r="F29" s="21"/>
      <c r="G29" s="21"/>
      <c r="H29" s="21"/>
      <c r="I29" s="30"/>
    </row>
    <row r="30" spans="1:9" ht="15" x14ac:dyDescent="0.25">
      <c r="A30" s="2" t="s">
        <v>61</v>
      </c>
      <c r="D30" s="6">
        <f>SUM(D24:D28)</f>
        <v>59272.82</v>
      </c>
      <c r="E30" s="1"/>
      <c r="F30" s="5"/>
      <c r="G30" s="6">
        <f>SUM(G24:G28)</f>
        <v>60822.82</v>
      </c>
      <c r="H30" s="6">
        <f>G30-D30</f>
        <v>1550</v>
      </c>
      <c r="I30" s="29">
        <f t="shared" ref="I30:I32" si="18">IF(ISERROR(H30/D30), "",H30/D30)</f>
        <v>2.6150265838541173E-2</v>
      </c>
    </row>
    <row r="31" spans="1:9" x14ac:dyDescent="0.3">
      <c r="A31" s="2" t="s">
        <v>5</v>
      </c>
      <c r="C31" s="7">
        <v>0.13</v>
      </c>
      <c r="D31" s="5">
        <f>C31*D30</f>
        <v>7705.4666000000007</v>
      </c>
      <c r="E31" s="1"/>
      <c r="F31" s="7">
        <v>0.13</v>
      </c>
      <c r="G31" s="5">
        <f>F31*G30</f>
        <v>7906.9666000000007</v>
      </c>
      <c r="H31" s="5">
        <f t="shared" ref="H31" si="19">G31-D31</f>
        <v>201.5</v>
      </c>
      <c r="I31" s="27">
        <f t="shared" si="18"/>
        <v>2.6150265838541169E-2</v>
      </c>
    </row>
    <row r="32" spans="1:9" x14ac:dyDescent="0.3">
      <c r="A32" s="2" t="s">
        <v>63</v>
      </c>
      <c r="D32" s="6">
        <f>SUM(D30:D31)</f>
        <v>66978.286600000007</v>
      </c>
      <c r="E32" s="1"/>
      <c r="F32" s="5"/>
      <c r="G32" s="6">
        <f>SUM(G30:G31)</f>
        <v>68729.786600000007</v>
      </c>
      <c r="H32" s="6">
        <f>G32-D32</f>
        <v>1751.5</v>
      </c>
      <c r="I32" s="29">
        <f t="shared" si="18"/>
        <v>2.6150265838541169E-2</v>
      </c>
    </row>
    <row r="33" spans="1:9" x14ac:dyDescent="0.3">
      <c r="A33" s="14"/>
      <c r="B33" s="14"/>
      <c r="C33" s="21"/>
      <c r="D33" s="15"/>
      <c r="E33" s="15"/>
      <c r="F33" s="24"/>
      <c r="G33" s="15"/>
      <c r="H33" s="21"/>
      <c r="I33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0 D22:H23 D21:H21 D24:H24 I22:I23 I21 I24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64</v>
      </c>
    </row>
    <row r="4" spans="1:9" ht="15" x14ac:dyDescent="0.25">
      <c r="A4" s="2" t="s">
        <v>66</v>
      </c>
      <c r="B4" s="10">
        <v>750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68</v>
      </c>
      <c r="B6" s="10">
        <f>B4*B5</f>
        <v>792.3</v>
      </c>
    </row>
    <row r="7" spans="1:9" ht="15" x14ac:dyDescent="0.25">
      <c r="A7" s="2"/>
      <c r="B7" s="10"/>
    </row>
    <row r="8" spans="1:9" ht="15" x14ac:dyDescent="0.25">
      <c r="B8" s="85" t="s">
        <v>39</v>
      </c>
      <c r="C8" s="85"/>
      <c r="D8" s="85"/>
      <c r="E8" s="85" t="s">
        <v>100</v>
      </c>
      <c r="F8" s="85"/>
      <c r="G8" s="85"/>
      <c r="H8" s="85" t="s">
        <v>40</v>
      </c>
      <c r="I8" s="85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32.79</v>
      </c>
      <c r="D10" s="5">
        <f t="shared" ref="D10:D13" si="0">B10*C10</f>
        <v>32.79</v>
      </c>
      <c r="E10" s="1">
        <f t="shared" ref="E10:E13" si="1">B10</f>
        <v>1</v>
      </c>
      <c r="F10" s="5">
        <f>VLOOKUP($B$3,'Data-DO NOT PRINT'!$B$3:$AC$11,18,0)</f>
        <v>36.799999999999997</v>
      </c>
      <c r="G10" s="5">
        <f t="shared" ref="G10:G13" si="2">E10*F10</f>
        <v>36.799999999999997</v>
      </c>
      <c r="H10" s="5">
        <f t="shared" ref="H10:H13" si="3">G10-D10</f>
        <v>4.009999999999998</v>
      </c>
      <c r="I10" s="27">
        <f>IF(ISERROR(H10/D10), "",H10/D10)</f>
        <v>0.12229338212869771</v>
      </c>
    </row>
    <row r="11" spans="1:9" ht="15" x14ac:dyDescent="0.25">
      <c r="A11" s="2" t="s">
        <v>45</v>
      </c>
      <c r="B11" s="1">
        <f>B4</f>
        <v>750</v>
      </c>
      <c r="C11" s="26">
        <f>VLOOKUP($B$3,'Data-DO NOT PRINT'!$B$3:$AC$11,8,0)</f>
        <v>5.4999999999999997E-3</v>
      </c>
      <c r="D11" s="5">
        <f t="shared" si="0"/>
        <v>4.125</v>
      </c>
      <c r="E11" s="1">
        <f t="shared" si="1"/>
        <v>750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-4.125</v>
      </c>
      <c r="I11" s="27">
        <f t="shared" ref="I11:I13" si="4">IF(ISERROR(H11/D11), "",H11/D11)</f>
        <v>-1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-0.49</v>
      </c>
      <c r="D12" s="5">
        <f t="shared" si="0"/>
        <v>-0.49</v>
      </c>
      <c r="E12" s="1">
        <f t="shared" si="1"/>
        <v>1</v>
      </c>
      <c r="F12" s="5">
        <f>VLOOKUP($B$3,'Data-DO NOT PRINT'!$B$3:$AC$11,21,0)</f>
        <v>-0.55000000000000004</v>
      </c>
      <c r="G12" s="5">
        <f t="shared" si="2"/>
        <v>-0.55000000000000004</v>
      </c>
      <c r="H12" s="5">
        <f t="shared" si="3"/>
        <v>-6.0000000000000053E-2</v>
      </c>
      <c r="I12" s="27">
        <f t="shared" si="4"/>
        <v>0.12244897959183684</v>
      </c>
    </row>
    <row r="13" spans="1:9" ht="15" x14ac:dyDescent="0.25">
      <c r="A13" s="2" t="s">
        <v>47</v>
      </c>
      <c r="B13" s="1">
        <f>B4</f>
        <v>750</v>
      </c>
      <c r="C13" s="26">
        <f>VLOOKUP($B$3,'Data-DO NOT PRINT'!$B$3:$AC$11,11,0)</f>
        <v>1E-4</v>
      </c>
      <c r="D13" s="5">
        <f t="shared" si="0"/>
        <v>7.4999999999999997E-2</v>
      </c>
      <c r="E13" s="1">
        <f t="shared" si="1"/>
        <v>750</v>
      </c>
      <c r="F13" s="26">
        <f>VLOOKUP($B$3,'Data-DO NOT PRINT'!$B$3:$AC$11,22,0)</f>
        <v>2.0000000000000001E-4</v>
      </c>
      <c r="G13" s="5">
        <f t="shared" si="2"/>
        <v>0.15</v>
      </c>
      <c r="H13" s="5">
        <f t="shared" si="3"/>
        <v>7.4999999999999997E-2</v>
      </c>
      <c r="I13" s="27">
        <f t="shared" si="4"/>
        <v>1</v>
      </c>
    </row>
    <row r="14" spans="1:9" ht="15" x14ac:dyDescent="0.25">
      <c r="A14" s="19" t="s">
        <v>48</v>
      </c>
      <c r="B14" s="17"/>
      <c r="C14" s="22"/>
      <c r="D14" s="18">
        <f>SUM(D10:D13)</f>
        <v>36.5</v>
      </c>
      <c r="E14" s="16"/>
      <c r="F14" s="18"/>
      <c r="G14" s="18">
        <f>SUM(G10:G13)</f>
        <v>36.4</v>
      </c>
      <c r="H14" s="18">
        <f>G14-D14</f>
        <v>-0.10000000000000142</v>
      </c>
      <c r="I14" s="28">
        <f>H14/D14</f>
        <v>-2.7397260273972993E-3</v>
      </c>
    </row>
    <row r="15" spans="1:9" ht="15" x14ac:dyDescent="0.25">
      <c r="A15" s="2" t="s">
        <v>49</v>
      </c>
      <c r="B15" s="8">
        <f>B6-B4</f>
        <v>42.299999999999955</v>
      </c>
      <c r="C15" s="25">
        <f>C29</f>
        <v>0.1101</v>
      </c>
      <c r="D15" s="5">
        <f>B15*C15</f>
        <v>4.6572299999999949</v>
      </c>
      <c r="E15" s="8">
        <f>B15</f>
        <v>42.299999999999955</v>
      </c>
      <c r="F15" s="25">
        <f>C15</f>
        <v>0.1101</v>
      </c>
      <c r="G15" s="5">
        <f>E15*F15</f>
        <v>4.6572299999999949</v>
      </c>
      <c r="H15" s="5">
        <f t="shared" ref="H15:H29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">
        <f>B4</f>
        <v>750</v>
      </c>
      <c r="C17" s="26">
        <f>VLOOKUP($B$3,'Data-DO NOT PRINT'!$B$3:$AC$11,13,0)</f>
        <v>4.1999999999999997E-3</v>
      </c>
      <c r="D17" s="5">
        <f>B17*C17</f>
        <v>3.15</v>
      </c>
      <c r="E17" s="1">
        <f>B17</f>
        <v>750</v>
      </c>
      <c r="F17" s="26">
        <f>VLOOKUP($B$3,'Data-DO NOT PRINT'!$B$3:$AC$11,24,0)</f>
        <v>0</v>
      </c>
      <c r="G17" s="5">
        <f>E17*F17</f>
        <v>0</v>
      </c>
      <c r="H17" s="5">
        <f t="shared" si="5"/>
        <v>-3.15</v>
      </c>
      <c r="I17" s="27">
        <f t="shared" si="6"/>
        <v>-1</v>
      </c>
    </row>
    <row r="18" spans="1:9" ht="15" x14ac:dyDescent="0.25">
      <c r="A18" s="4" t="s">
        <v>50</v>
      </c>
      <c r="B18" s="1">
        <f>B4</f>
        <v>750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750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51</v>
      </c>
      <c r="B19" s="1">
        <f>B4</f>
        <v>750</v>
      </c>
      <c r="C19" s="26">
        <f>VLOOKUP($B$3,'Data-DO NOT PRINT'!$B$3:$AC$11,15,0)</f>
        <v>-7.4000000000000003E-3</v>
      </c>
      <c r="D19" s="5">
        <f t="shared" si="7"/>
        <v>-5.55</v>
      </c>
      <c r="E19" s="1">
        <f>B19</f>
        <v>750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5.55</v>
      </c>
      <c r="I19" s="27">
        <f t="shared" si="6"/>
        <v>-1</v>
      </c>
    </row>
    <row r="20" spans="1:9" ht="15" x14ac:dyDescent="0.25">
      <c r="A20" s="4" t="s">
        <v>52</v>
      </c>
      <c r="B20" s="1">
        <f>B4</f>
        <v>750</v>
      </c>
      <c r="C20" s="26">
        <f>VLOOKUP($B$3,'Data-DO NOT PRINT'!$B$3:$AC$11,9,0)</f>
        <v>8.9999999999999998E-4</v>
      </c>
      <c r="D20" s="5">
        <f t="shared" si="7"/>
        <v>0.67499999999999993</v>
      </c>
      <c r="E20" s="1">
        <f>B20</f>
        <v>750</v>
      </c>
      <c r="F20" s="26">
        <f>VLOOKUP($B$3,'Data-DO NOT PRINT'!$B$3:$AC$11,20,0)</f>
        <v>8.9999999999999998E-4</v>
      </c>
      <c r="G20" s="5">
        <f t="shared" si="9"/>
        <v>0.67499999999999993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53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54</v>
      </c>
      <c r="B22" s="17"/>
      <c r="C22" s="22"/>
      <c r="D22" s="18">
        <f>SUM(D14:D21)</f>
        <v>40.002229999999997</v>
      </c>
      <c r="E22" s="17"/>
      <c r="F22" s="22"/>
      <c r="G22" s="18">
        <f>SUM(G14:G21)</f>
        <v>42.302229999999987</v>
      </c>
      <c r="H22" s="18">
        <f>G22-D22</f>
        <v>2.2999999999999901</v>
      </c>
      <c r="I22" s="28">
        <f>H22/D22</f>
        <v>5.7496794553703386E-2</v>
      </c>
    </row>
    <row r="23" spans="1:9" ht="15" x14ac:dyDescent="0.25">
      <c r="A23" s="2" t="s">
        <v>55</v>
      </c>
      <c r="B23" s="8">
        <f>B6</f>
        <v>792.3</v>
      </c>
      <c r="C23" s="26">
        <f>VLOOKUP($B$3,'Data-DO NOT PRINT'!$B$3:$AC$11,16,0)</f>
        <v>6.7000000000000002E-3</v>
      </c>
      <c r="D23" s="5">
        <f t="shared" ref="D23:D24" si="10">B23*C23</f>
        <v>5.3084100000000003</v>
      </c>
      <c r="E23" s="8">
        <f t="shared" ref="E23:E24" si="11">B23</f>
        <v>792.3</v>
      </c>
      <c r="F23" s="26">
        <f>VLOOKUP($B$3,'Data-DO NOT PRINT'!$B$3:$AC$11,27,0)</f>
        <v>6.7999999999999996E-3</v>
      </c>
      <c r="G23" s="5">
        <f t="shared" ref="G23:G24" si="12">E23*F23</f>
        <v>5.3876399999999993</v>
      </c>
      <c r="H23" s="5">
        <f t="shared" si="5"/>
        <v>7.9229999999999023E-2</v>
      </c>
      <c r="I23" s="27">
        <f t="shared" ref="I23:I24" si="13">IF(ISERROR(H23/D23), "",H23/D23)</f>
        <v>1.4925373134328174E-2</v>
      </c>
    </row>
    <row r="24" spans="1:9" ht="15" x14ac:dyDescent="0.25">
      <c r="A24" s="2" t="s">
        <v>56</v>
      </c>
      <c r="B24" s="8">
        <f>B6</f>
        <v>792.3</v>
      </c>
      <c r="C24" s="26">
        <f>VLOOKUP($B$3,'Data-DO NOT PRINT'!$B$3:$AC$11,17,0)</f>
        <v>3.8E-3</v>
      </c>
      <c r="D24" s="5">
        <f t="shared" si="10"/>
        <v>3.0107399999999997</v>
      </c>
      <c r="E24" s="8">
        <f t="shared" si="11"/>
        <v>792.3</v>
      </c>
      <c r="F24" s="26">
        <f>VLOOKUP($B$3,'Data-DO NOT PRINT'!$B$3:$AC$11,28,0)</f>
        <v>3.8E-3</v>
      </c>
      <c r="G24" s="5">
        <f t="shared" si="12"/>
        <v>3.0107399999999997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57</v>
      </c>
      <c r="B25" s="17"/>
      <c r="C25" s="22"/>
      <c r="D25" s="18">
        <f>SUM(D22:D24)</f>
        <v>48.321379999999998</v>
      </c>
      <c r="E25" s="17"/>
      <c r="F25" s="22"/>
      <c r="G25" s="18">
        <f>SUM(G22:G24)</f>
        <v>50.700609999999983</v>
      </c>
      <c r="H25" s="18">
        <f>G25-D25</f>
        <v>2.3792299999999855</v>
      </c>
      <c r="I25" s="28">
        <f>H25/D25</f>
        <v>4.9237625249940825E-2</v>
      </c>
    </row>
    <row r="26" spans="1:9" ht="15" x14ac:dyDescent="0.25">
      <c r="A26" s="2" t="s">
        <v>58</v>
      </c>
      <c r="B26" s="8">
        <f>B6</f>
        <v>792.3</v>
      </c>
      <c r="C26" s="26">
        <v>3.3999999999999998E-3</v>
      </c>
      <c r="D26" s="5">
        <f t="shared" ref="D26:D28" si="14">B26*C26</f>
        <v>2.6938199999999997</v>
      </c>
      <c r="E26" s="8">
        <f t="shared" ref="E26:E28" si="15">B26</f>
        <v>792.3</v>
      </c>
      <c r="F26" s="26">
        <v>3.3999999999999998E-3</v>
      </c>
      <c r="G26" s="5">
        <f t="shared" ref="G26:G29" si="16">E26*F26</f>
        <v>2.6938199999999997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59</v>
      </c>
      <c r="B27" s="8">
        <f>B6</f>
        <v>792.3</v>
      </c>
      <c r="C27" s="26">
        <v>5.0000000000000001E-4</v>
      </c>
      <c r="D27" s="5">
        <f t="shared" si="14"/>
        <v>0.39615</v>
      </c>
      <c r="E27" s="8">
        <f t="shared" si="15"/>
        <v>792.3</v>
      </c>
      <c r="F27" s="26">
        <v>5.0000000000000001E-4</v>
      </c>
      <c r="G27" s="5">
        <f t="shared" si="16"/>
        <v>0.39615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7" t="str">
        <f t="shared" si="17"/>
        <v/>
      </c>
    </row>
    <row r="29" spans="1:9" ht="15" x14ac:dyDescent="0.25">
      <c r="A29" s="2" t="s">
        <v>92</v>
      </c>
      <c r="B29" s="1">
        <f>IF($B$4&gt;1000,1000,$B$4)</f>
        <v>750</v>
      </c>
      <c r="C29" s="26">
        <v>0.1101</v>
      </c>
      <c r="D29" s="5">
        <f>B29*C29</f>
        <v>82.575000000000003</v>
      </c>
      <c r="E29" s="1">
        <f>B29</f>
        <v>750</v>
      </c>
      <c r="F29" s="26">
        <f>C29</f>
        <v>0.1101</v>
      </c>
      <c r="G29" s="5">
        <f t="shared" si="16"/>
        <v>82.575000000000003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x14ac:dyDescent="0.3">
      <c r="A31" s="2" t="s">
        <v>61</v>
      </c>
      <c r="D31" s="6">
        <f>SUM(D25:D29)</f>
        <v>133.98635000000002</v>
      </c>
      <c r="E31" s="1"/>
      <c r="F31" s="5"/>
      <c r="G31" s="6">
        <f>SUM(G25:G29)</f>
        <v>136.36557999999999</v>
      </c>
      <c r="H31" s="6">
        <f>G31-D31</f>
        <v>2.3792299999999784</v>
      </c>
      <c r="I31" s="29">
        <f t="shared" ref="I31:I34" si="18">IF(ISERROR(H31/D31), "",H31/D31)</f>
        <v>1.775725661606558E-2</v>
      </c>
    </row>
    <row r="32" spans="1:9" x14ac:dyDescent="0.3">
      <c r="A32" s="2" t="s">
        <v>5</v>
      </c>
      <c r="C32" s="7">
        <v>0.13</v>
      </c>
      <c r="D32" s="5">
        <f>C32*D31</f>
        <v>17.418225500000002</v>
      </c>
      <c r="E32" s="1"/>
      <c r="F32" s="7">
        <v>0.13</v>
      </c>
      <c r="G32" s="5">
        <f>F32*G31</f>
        <v>17.727525400000001</v>
      </c>
      <c r="H32" s="5">
        <f t="shared" ref="H32:H33" si="19">G32-D32</f>
        <v>0.30929989999999918</v>
      </c>
      <c r="I32" s="27">
        <f t="shared" si="18"/>
        <v>1.7757256616065691E-2</v>
      </c>
    </row>
    <row r="33" spans="1:9" x14ac:dyDescent="0.3">
      <c r="A33" s="2" t="s">
        <v>62</v>
      </c>
      <c r="C33" s="7">
        <v>-0.08</v>
      </c>
      <c r="D33" s="5">
        <f>C33*D31</f>
        <v>-10.718908000000001</v>
      </c>
      <c r="E33" s="1"/>
      <c r="F33" s="7">
        <v>-0.08</v>
      </c>
      <c r="G33" s="5">
        <f>F33*G31</f>
        <v>-10.909246399999999</v>
      </c>
      <c r="H33" s="5">
        <f t="shared" si="19"/>
        <v>-0.19033839999999813</v>
      </c>
      <c r="I33" s="27">
        <f t="shared" si="18"/>
        <v>1.7757256616065566E-2</v>
      </c>
    </row>
    <row r="34" spans="1:9" x14ac:dyDescent="0.3">
      <c r="A34" s="2" t="s">
        <v>63</v>
      </c>
      <c r="D34" s="6">
        <f>SUM(D31:D33)</f>
        <v>140.68566750000002</v>
      </c>
      <c r="E34" s="1"/>
      <c r="F34" s="5"/>
      <c r="G34" s="6">
        <f>SUM(G31:G33)</f>
        <v>143.18385899999998</v>
      </c>
      <c r="H34" s="6">
        <f>G34-D34</f>
        <v>2.4981914999999617</v>
      </c>
      <c r="I34" s="29">
        <f t="shared" si="18"/>
        <v>1.7757256616065465E-2</v>
      </c>
    </row>
    <row r="35" spans="1:9" x14ac:dyDescent="0.3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D15" sqref="D15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94</v>
      </c>
    </row>
    <row r="4" spans="1:9" ht="15" x14ac:dyDescent="0.25">
      <c r="A4" s="2" t="s">
        <v>66</v>
      </c>
      <c r="B4" s="31">
        <f>VLOOKUP($B$3,'Data-DO NOT PRINT'!$B$3:$AC$11,2,0)</f>
        <v>2000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68</v>
      </c>
      <c r="B6" s="31">
        <f>B4*B5</f>
        <v>2112.8000000000002</v>
      </c>
    </row>
    <row r="7" spans="1:9" ht="15" x14ac:dyDescent="0.25">
      <c r="A7" s="2"/>
      <c r="B7" s="10"/>
    </row>
    <row r="8" spans="1:9" ht="15" x14ac:dyDescent="0.25">
      <c r="B8" s="85" t="s">
        <v>39</v>
      </c>
      <c r="C8" s="85"/>
      <c r="D8" s="85"/>
      <c r="E8" s="85" t="s">
        <v>100</v>
      </c>
      <c r="F8" s="85"/>
      <c r="G8" s="85"/>
      <c r="H8" s="85" t="s">
        <v>40</v>
      </c>
      <c r="I8" s="85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49.98</v>
      </c>
      <c r="D10" s="5">
        <f t="shared" ref="D10:D13" si="0">B10*C10</f>
        <v>49.98</v>
      </c>
      <c r="E10" s="1">
        <f t="shared" ref="E10:E13" si="1">B10</f>
        <v>1</v>
      </c>
      <c r="F10" s="5">
        <f>VLOOKUP($B$3,'Data-DO NOT PRINT'!$B$3:$AC$11,18,0)</f>
        <v>49.98</v>
      </c>
      <c r="G10" s="5">
        <f t="shared" ref="G10:G13" si="2">E10*F10</f>
        <v>49.98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45</v>
      </c>
      <c r="B11" s="11">
        <f>B4</f>
        <v>2000</v>
      </c>
      <c r="C11" s="26">
        <f>VLOOKUP($B$3,'Data-DO NOT PRINT'!$B$3:$AC$11,8,0)</f>
        <v>1.5599999999999999E-2</v>
      </c>
      <c r="D11" s="5">
        <f t="shared" si="0"/>
        <v>31.2</v>
      </c>
      <c r="E11" s="11">
        <f t="shared" si="1"/>
        <v>2000</v>
      </c>
      <c r="F11" s="26">
        <f>VLOOKUP($B$3,'Data-DO NOT PRINT'!$B$3:$AC$11,19,0)</f>
        <v>1.5599999999999999E-2</v>
      </c>
      <c r="G11" s="5">
        <f t="shared" si="2"/>
        <v>31.2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-0.74</v>
      </c>
      <c r="D12" s="5">
        <f t="shared" si="0"/>
        <v>-0.74</v>
      </c>
      <c r="E12" s="1">
        <f t="shared" si="1"/>
        <v>1</v>
      </c>
      <c r="F12" s="5">
        <f>VLOOKUP($B$3,'Data-DO NOT PRINT'!$B$3:$AC$11,21,0)</f>
        <v>-0.74</v>
      </c>
      <c r="G12" s="5">
        <f t="shared" si="2"/>
        <v>-0.74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47</v>
      </c>
      <c r="B13" s="11">
        <f>B4</f>
        <v>2000</v>
      </c>
      <c r="C13" s="26">
        <f>VLOOKUP($B$3,'Data-DO NOT PRINT'!$B$3:$AC$11,11,0)</f>
        <v>-1.9999999999999998E-4</v>
      </c>
      <c r="D13" s="5">
        <f t="shared" si="0"/>
        <v>-0.39999999999999997</v>
      </c>
      <c r="E13" s="11">
        <f t="shared" si="1"/>
        <v>2000</v>
      </c>
      <c r="F13" s="26">
        <f>VLOOKUP($B$3,'Data-DO NOT PRINT'!$B$3:$AC$11,22,0)</f>
        <v>-1.9999999999999998E-4</v>
      </c>
      <c r="G13" s="5">
        <f t="shared" si="2"/>
        <v>-0.39999999999999997</v>
      </c>
      <c r="H13" s="5">
        <f t="shared" si="3"/>
        <v>0</v>
      </c>
      <c r="I13" s="27">
        <f t="shared" si="4"/>
        <v>0</v>
      </c>
    </row>
    <row r="14" spans="1:9" ht="15" x14ac:dyDescent="0.25">
      <c r="A14" s="19" t="s">
        <v>48</v>
      </c>
      <c r="B14" s="17"/>
      <c r="C14" s="22"/>
      <c r="D14" s="18">
        <f>SUM(D10:D13)</f>
        <v>80.039999999999992</v>
      </c>
      <c r="E14" s="16"/>
      <c r="F14" s="18"/>
      <c r="G14" s="18">
        <f>SUM(G10:G13)</f>
        <v>80.039999999999992</v>
      </c>
      <c r="H14" s="18">
        <f>G14-D14</f>
        <v>0</v>
      </c>
      <c r="I14" s="28">
        <f>H14/D14</f>
        <v>0</v>
      </c>
    </row>
    <row r="15" spans="1:9" ht="15" x14ac:dyDescent="0.25">
      <c r="A15" s="2" t="s">
        <v>49</v>
      </c>
      <c r="B15" s="11">
        <f>B6-B4</f>
        <v>112.80000000000018</v>
      </c>
      <c r="C15" s="25">
        <f>C29</f>
        <v>0.1101</v>
      </c>
      <c r="D15" s="5">
        <f>B15*C15</f>
        <v>12.41928000000002</v>
      </c>
      <c r="E15" s="11">
        <f>B15</f>
        <v>112.80000000000018</v>
      </c>
      <c r="F15" s="25">
        <f>C15</f>
        <v>0.1101</v>
      </c>
      <c r="G15" s="5">
        <f>E15*F15</f>
        <v>12.41928000000002</v>
      </c>
      <c r="H15" s="5">
        <f t="shared" ref="H15:H29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1">
        <f>B4</f>
        <v>2000</v>
      </c>
      <c r="C17" s="26">
        <f>VLOOKUP($B$3,'Data-DO NOT PRINT'!$B$3:$AC$11,13,0)</f>
        <v>4.1999999999999997E-3</v>
      </c>
      <c r="D17" s="5">
        <f>B17*C17</f>
        <v>8.4</v>
      </c>
      <c r="E17" s="11">
        <f>B17</f>
        <v>2000</v>
      </c>
      <c r="F17" s="26">
        <f>VLOOKUP($B$3,'Data-DO NOT PRINT'!$B$3:$AC$11,24,0)</f>
        <v>0</v>
      </c>
      <c r="G17" s="5">
        <f>E17*F17</f>
        <v>0</v>
      </c>
      <c r="H17" s="5">
        <f t="shared" si="5"/>
        <v>-8.4</v>
      </c>
      <c r="I17" s="27">
        <f t="shared" si="6"/>
        <v>-1</v>
      </c>
    </row>
    <row r="18" spans="1:9" ht="15" x14ac:dyDescent="0.25">
      <c r="A18" s="4" t="s">
        <v>50</v>
      </c>
      <c r="B18" s="11">
        <f>B4</f>
        <v>2000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2000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51</v>
      </c>
      <c r="B19" s="11">
        <f>B4</f>
        <v>2000</v>
      </c>
      <c r="C19" s="26">
        <f>VLOOKUP($B$3,'Data-DO NOT PRINT'!$B$3:$AC$11,15,0)</f>
        <v>-7.4000000000000003E-3</v>
      </c>
      <c r="D19" s="5">
        <f t="shared" si="7"/>
        <v>-14.8</v>
      </c>
      <c r="E19" s="11">
        <f>B19</f>
        <v>2000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14.8</v>
      </c>
      <c r="I19" s="27">
        <f t="shared" si="6"/>
        <v>-1</v>
      </c>
    </row>
    <row r="20" spans="1:9" ht="15" x14ac:dyDescent="0.25">
      <c r="A20" s="4" t="s">
        <v>52</v>
      </c>
      <c r="B20" s="11">
        <f>B4</f>
        <v>2000</v>
      </c>
      <c r="C20" s="26">
        <f>VLOOKUP($B$3,'Data-DO NOT PRINT'!$B$3:$AC$11,9,0)</f>
        <v>8.0000000000000004E-4</v>
      </c>
      <c r="D20" s="5">
        <f t="shared" si="7"/>
        <v>1.6</v>
      </c>
      <c r="E20" s="11">
        <f>B20</f>
        <v>2000</v>
      </c>
      <c r="F20" s="26">
        <f>VLOOKUP($B$3,'Data-DO NOT PRINT'!$B$3:$AC$11,20,0)</f>
        <v>8.0000000000000004E-4</v>
      </c>
      <c r="G20" s="5">
        <f t="shared" si="9"/>
        <v>1.6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53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54</v>
      </c>
      <c r="B22" s="17"/>
      <c r="C22" s="22"/>
      <c r="D22" s="18">
        <f>SUM(D14:D21)</f>
        <v>88.229280000000003</v>
      </c>
      <c r="E22" s="17"/>
      <c r="F22" s="22"/>
      <c r="G22" s="18">
        <f>SUM(G14:G21)</f>
        <v>94.629279999999994</v>
      </c>
      <c r="H22" s="18">
        <f>G22-D22</f>
        <v>6.3999999999999915</v>
      </c>
      <c r="I22" s="28">
        <f>H22/D22</f>
        <v>7.2538277542330526E-2</v>
      </c>
    </row>
    <row r="23" spans="1:9" ht="15" x14ac:dyDescent="0.25">
      <c r="A23" s="2" t="s">
        <v>55</v>
      </c>
      <c r="B23" s="11">
        <f>B6</f>
        <v>2112.8000000000002</v>
      </c>
      <c r="C23" s="26">
        <f>VLOOKUP($B$3,'Data-DO NOT PRINT'!$B$3:$AC$11,16,0)</f>
        <v>6.1999999999999998E-3</v>
      </c>
      <c r="D23" s="5">
        <f t="shared" ref="D23:D24" si="10">B23*C23</f>
        <v>13.099360000000001</v>
      </c>
      <c r="E23" s="11">
        <f t="shared" ref="E23:E24" si="11">B23</f>
        <v>2112.8000000000002</v>
      </c>
      <c r="F23" s="26">
        <f>VLOOKUP($B$3,'Data-DO NOT PRINT'!$B$3:$AC$11,27,0)</f>
        <v>6.3E-3</v>
      </c>
      <c r="G23" s="5">
        <f t="shared" ref="G23:G24" si="12">E23*F23</f>
        <v>13.310640000000001</v>
      </c>
      <c r="H23" s="5">
        <f t="shared" si="5"/>
        <v>0.21128000000000036</v>
      </c>
      <c r="I23" s="27">
        <f t="shared" ref="I23:I24" si="13">IF(ISERROR(H23/D23), "",H23/D23)</f>
        <v>1.6129032258064543E-2</v>
      </c>
    </row>
    <row r="24" spans="1:9" ht="15" x14ac:dyDescent="0.25">
      <c r="A24" s="2" t="s">
        <v>56</v>
      </c>
      <c r="B24" s="11">
        <f>B6</f>
        <v>2112.8000000000002</v>
      </c>
      <c r="C24" s="26">
        <f>VLOOKUP($B$3,'Data-DO NOT PRINT'!$B$3:$AC$11,17,0)</f>
        <v>3.3E-3</v>
      </c>
      <c r="D24" s="5">
        <f t="shared" si="10"/>
        <v>6.9722400000000002</v>
      </c>
      <c r="E24" s="11">
        <f t="shared" si="11"/>
        <v>2112.8000000000002</v>
      </c>
      <c r="F24" s="26">
        <f>VLOOKUP($B$3,'Data-DO NOT PRINT'!$B$3:$AC$11,28,0)</f>
        <v>3.3E-3</v>
      </c>
      <c r="G24" s="5">
        <f t="shared" si="12"/>
        <v>6.9722400000000002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57</v>
      </c>
      <c r="B25" s="17"/>
      <c r="C25" s="22"/>
      <c r="D25" s="18">
        <f>SUM(D22:D24)</f>
        <v>108.30088000000001</v>
      </c>
      <c r="E25" s="17"/>
      <c r="F25" s="22"/>
      <c r="G25" s="18">
        <f>SUM(G22:G24)</f>
        <v>114.91216</v>
      </c>
      <c r="H25" s="18">
        <f>G25-D25</f>
        <v>6.6112799999999936</v>
      </c>
      <c r="I25" s="28">
        <f>H25/D25</f>
        <v>6.1045487349687219E-2</v>
      </c>
    </row>
    <row r="26" spans="1:9" ht="15" x14ac:dyDescent="0.25">
      <c r="A26" s="2" t="s">
        <v>58</v>
      </c>
      <c r="B26" s="11">
        <f>B6</f>
        <v>2112.8000000000002</v>
      </c>
      <c r="C26" s="26">
        <v>3.3999999999999998E-3</v>
      </c>
      <c r="D26" s="5">
        <f t="shared" ref="D26:D28" si="14">B26*C26</f>
        <v>7.1835200000000006</v>
      </c>
      <c r="E26" s="11">
        <f t="shared" ref="E26:E28" si="15">B26</f>
        <v>2112.8000000000002</v>
      </c>
      <c r="F26" s="26">
        <v>3.3999999999999998E-3</v>
      </c>
      <c r="G26" s="5">
        <f t="shared" ref="G26:G29" si="16">E26*F26</f>
        <v>7.1835200000000006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59</v>
      </c>
      <c r="B27" s="11">
        <f>B6</f>
        <v>2112.8000000000002</v>
      </c>
      <c r="C27" s="26">
        <v>5.0000000000000001E-4</v>
      </c>
      <c r="D27" s="5">
        <f t="shared" si="14"/>
        <v>1.0564</v>
      </c>
      <c r="E27" s="11">
        <f t="shared" si="15"/>
        <v>2112.8000000000002</v>
      </c>
      <c r="F27" s="26">
        <v>5.0000000000000001E-4</v>
      </c>
      <c r="G27" s="5">
        <f t="shared" si="16"/>
        <v>1.0564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60</v>
      </c>
      <c r="B28" s="1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7" t="str">
        <f t="shared" si="17"/>
        <v/>
      </c>
    </row>
    <row r="29" spans="1:9" ht="15" x14ac:dyDescent="0.25">
      <c r="A29" s="2" t="s">
        <v>92</v>
      </c>
      <c r="B29" s="11">
        <f>IF($B$4&gt;750,750,$B$4)</f>
        <v>750</v>
      </c>
      <c r="C29" s="26">
        <v>0.1101</v>
      </c>
      <c r="D29" s="5">
        <f>B29*C29</f>
        <v>82.575000000000003</v>
      </c>
      <c r="E29" s="11">
        <f>B29</f>
        <v>750</v>
      </c>
      <c r="F29" s="26">
        <f>C29</f>
        <v>0.1101</v>
      </c>
      <c r="G29" s="5">
        <f t="shared" si="16"/>
        <v>82.575000000000003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x14ac:dyDescent="0.3">
      <c r="A31" s="2" t="s">
        <v>61</v>
      </c>
      <c r="D31" s="6">
        <f>SUM(D25:D29)</f>
        <v>199.11580000000001</v>
      </c>
      <c r="E31" s="1"/>
      <c r="F31" s="5"/>
      <c r="G31" s="6">
        <f>SUM(G25:G29)</f>
        <v>205.72708</v>
      </c>
      <c r="H31" s="6">
        <f>G31-D31</f>
        <v>6.6112799999999936</v>
      </c>
      <c r="I31" s="29">
        <f t="shared" ref="I31:I34" si="18">IF(ISERROR(H31/D31), "",H31/D31)</f>
        <v>3.3203191308776067E-2</v>
      </c>
    </row>
    <row r="32" spans="1:9" x14ac:dyDescent="0.3">
      <c r="A32" s="2" t="s">
        <v>5</v>
      </c>
      <c r="C32" s="7">
        <v>0.13</v>
      </c>
      <c r="D32" s="5">
        <f>C32*D31</f>
        <v>25.885054</v>
      </c>
      <c r="E32" s="1"/>
      <c r="F32" s="7">
        <v>0.13</v>
      </c>
      <c r="G32" s="5">
        <f>F32*G31</f>
        <v>26.744520400000003</v>
      </c>
      <c r="H32" s="5">
        <f t="shared" ref="H32:H33" si="19">G32-D32</f>
        <v>0.8594664000000023</v>
      </c>
      <c r="I32" s="27">
        <f t="shared" si="18"/>
        <v>3.3203191308776185E-2</v>
      </c>
    </row>
    <row r="33" spans="1:9" x14ac:dyDescent="0.3">
      <c r="A33" s="2" t="s">
        <v>62</v>
      </c>
      <c r="C33" s="7">
        <v>-0.08</v>
      </c>
      <c r="D33" s="5">
        <f>C33*D31</f>
        <v>-15.929264000000002</v>
      </c>
      <c r="E33" s="1"/>
      <c r="F33" s="7">
        <v>-0.08</v>
      </c>
      <c r="G33" s="5">
        <f>F33*G31</f>
        <v>-16.4581664</v>
      </c>
      <c r="H33" s="5">
        <f t="shared" si="19"/>
        <v>-0.528902399999998</v>
      </c>
      <c r="I33" s="27">
        <f t="shared" si="18"/>
        <v>3.320319130877597E-2</v>
      </c>
    </row>
    <row r="34" spans="1:9" x14ac:dyDescent="0.3">
      <c r="A34" s="2" t="s">
        <v>63</v>
      </c>
      <c r="D34" s="6">
        <f>SUM(D31:D33)</f>
        <v>209.07159000000001</v>
      </c>
      <c r="E34" s="1"/>
      <c r="F34" s="5"/>
      <c r="G34" s="6">
        <f>SUM(G31:G33)</f>
        <v>216.01343399999999</v>
      </c>
      <c r="H34" s="6">
        <f>G34-D34</f>
        <v>6.9418439999999748</v>
      </c>
      <c r="I34" s="29">
        <f t="shared" si="18"/>
        <v>3.3203191308775977E-2</v>
      </c>
    </row>
    <row r="35" spans="1:9" x14ac:dyDescent="0.3">
      <c r="A35" s="14"/>
      <c r="B35" s="14"/>
      <c r="C35" s="21"/>
      <c r="D35" s="15"/>
      <c r="E35" s="15"/>
      <c r="F35" s="24"/>
      <c r="G35" s="15"/>
      <c r="H35" s="21"/>
      <c r="I35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H28" sqref="H28"/>
    </sheetView>
  </sheetViews>
  <sheetFormatPr defaultRowHeight="14.4" x14ac:dyDescent="0.3"/>
  <cols>
    <col min="1" max="1" width="24.5546875" customWidth="1"/>
    <col min="2" max="2" width="26.6640625" customWidth="1"/>
    <col min="6" max="6" width="11.33203125" customWidth="1"/>
    <col min="7" max="7" width="11" customWidth="1"/>
    <col min="8" max="8" width="12.109375" customWidth="1"/>
    <col min="9" max="9" width="11.33203125" customWidth="1"/>
  </cols>
  <sheetData>
    <row r="1" spans="1:13" ht="15" x14ac:dyDescent="0.25">
      <c r="A1" s="73" t="s">
        <v>91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x14ac:dyDescent="0.3">
      <c r="A2" s="63" t="s">
        <v>76</v>
      </c>
      <c r="B2" s="64"/>
      <c r="C2" s="74" t="s">
        <v>71</v>
      </c>
      <c r="D2" s="75" t="s">
        <v>77</v>
      </c>
      <c r="E2" s="76"/>
      <c r="F2" s="79" t="s">
        <v>72</v>
      </c>
      <c r="G2" s="79"/>
      <c r="H2" s="79"/>
      <c r="I2" s="79"/>
      <c r="J2" s="79"/>
      <c r="K2" s="79"/>
      <c r="L2" s="80" t="s">
        <v>73</v>
      </c>
      <c r="M2" s="81"/>
    </row>
    <row r="3" spans="1:13" x14ac:dyDescent="0.3">
      <c r="A3" s="65"/>
      <c r="B3" s="66"/>
      <c r="C3" s="74"/>
      <c r="D3" s="77"/>
      <c r="E3" s="78"/>
      <c r="F3" s="84" t="s">
        <v>78</v>
      </c>
      <c r="G3" s="84"/>
      <c r="H3" s="84" t="s">
        <v>79</v>
      </c>
      <c r="I3" s="84"/>
      <c r="J3" s="84" t="s">
        <v>80</v>
      </c>
      <c r="K3" s="84"/>
      <c r="L3" s="82"/>
      <c r="M3" s="83"/>
    </row>
    <row r="4" spans="1:13" x14ac:dyDescent="0.3">
      <c r="A4" s="67"/>
      <c r="B4" s="68"/>
      <c r="C4" s="74"/>
      <c r="D4" s="33" t="s">
        <v>81</v>
      </c>
      <c r="E4" s="33" t="s">
        <v>82</v>
      </c>
      <c r="F4" s="34" t="s">
        <v>74</v>
      </c>
      <c r="G4" s="35" t="s">
        <v>75</v>
      </c>
      <c r="H4" s="34" t="s">
        <v>74</v>
      </c>
      <c r="I4" s="34" t="s">
        <v>75</v>
      </c>
      <c r="J4" s="34" t="s">
        <v>74</v>
      </c>
      <c r="K4" s="34" t="s">
        <v>75</v>
      </c>
      <c r="L4" s="34" t="s">
        <v>74</v>
      </c>
      <c r="M4" s="34" t="s">
        <v>75</v>
      </c>
    </row>
    <row r="5" spans="1:13" ht="15.75" x14ac:dyDescent="0.25">
      <c r="A5" s="69" t="s">
        <v>96</v>
      </c>
      <c r="B5" s="70"/>
      <c r="C5" s="36" t="s">
        <v>81</v>
      </c>
      <c r="D5" s="37">
        <f>Res_RPP_Low!B4</f>
        <v>200</v>
      </c>
      <c r="E5" s="38"/>
      <c r="F5" s="39">
        <f>Res_RPP_Low!$H$14</f>
        <v>2.8699999999999974</v>
      </c>
      <c r="G5" s="40">
        <f>Res_RPP_Low!$I$14</f>
        <v>8.5876720526630673E-2</v>
      </c>
      <c r="H5" s="39">
        <f>Res_RPP_Low!$H$22</f>
        <v>2.029999999999994</v>
      </c>
      <c r="I5" s="40">
        <f>Res_RPP_Low!$I$22</f>
        <v>5.6491126529682127E-2</v>
      </c>
      <c r="J5" s="39">
        <f>Res_RPP_Low!$H$25</f>
        <v>2.0511279999999914</v>
      </c>
      <c r="K5" s="40">
        <f>Res_RPP_Low!$I$25</f>
        <v>5.3760190812601617E-2</v>
      </c>
      <c r="L5" s="39">
        <f>Res_RPP_Low!$H$36</f>
        <v>2.1536843999999959</v>
      </c>
      <c r="M5" s="40">
        <f>Res_RPP_Low!$I$36</f>
        <v>3.6874026153202587E-2</v>
      </c>
    </row>
    <row r="6" spans="1:13" ht="15.75" x14ac:dyDescent="0.25">
      <c r="A6" s="69" t="s">
        <v>96</v>
      </c>
      <c r="B6" s="70"/>
      <c r="C6" s="36" t="s">
        <v>81</v>
      </c>
      <c r="D6" s="37">
        <f>Res_RPP_Typical!B4</f>
        <v>750</v>
      </c>
      <c r="E6" s="38"/>
      <c r="F6" s="39">
        <f>Res_RPP_Typical!$H$14</f>
        <v>-0.10000000000000142</v>
      </c>
      <c r="G6" s="40">
        <f>Res_RPP_Typical!$I$14</f>
        <v>-2.7397260273972993E-3</v>
      </c>
      <c r="H6" s="39">
        <f>Res_RPP_Typical!$H$22</f>
        <v>-3.25</v>
      </c>
      <c r="I6" s="40">
        <f>Res_RPP_Typical!$I$22</f>
        <v>-7.3258955281764432E-2</v>
      </c>
      <c r="J6" s="39">
        <f>Res_RPP_Typical!$H$25</f>
        <v>-3.1707700000000045</v>
      </c>
      <c r="K6" s="40">
        <f>Res_RPP_Typical!$I$25</f>
        <v>-6.018659730045723E-2</v>
      </c>
      <c r="L6" s="39">
        <f>Res_RPP_Typical!$H$36</f>
        <v>-3.3293085000000104</v>
      </c>
      <c r="M6" s="40">
        <f>Res_RPP_Typical!$I$36</f>
        <v>-2.6981878716090622E-2</v>
      </c>
    </row>
    <row r="7" spans="1:13" ht="15.75" x14ac:dyDescent="0.25">
      <c r="A7" s="69" t="s">
        <v>96</v>
      </c>
      <c r="B7" s="70"/>
      <c r="C7" s="36" t="s">
        <v>81</v>
      </c>
      <c r="D7" s="37">
        <f>Res_RPP_High!B4</f>
        <v>1500</v>
      </c>
      <c r="E7" s="38"/>
      <c r="F7" s="39">
        <f>Res_RPP_High!$H$14</f>
        <v>-4.1499999999999986</v>
      </c>
      <c r="G7" s="40">
        <f>Res_RPP_High!$I$14</f>
        <v>-0.10196560196560193</v>
      </c>
      <c r="H7" s="39">
        <f>Res_RPP_High!$H$22</f>
        <v>-10.449999999999996</v>
      </c>
      <c r="I7" s="40">
        <f>Res_RPP_High!$I$22</f>
        <v>-0.18708704116276545</v>
      </c>
      <c r="J7" s="39">
        <f>Res_RPP_High!$H$25</f>
        <v>-10.291539999999998</v>
      </c>
      <c r="K7" s="40">
        <f>Res_RPP_High!$I$25</f>
        <v>-0.14196274390108821</v>
      </c>
      <c r="L7" s="39">
        <f>Res_RPP_High!$H$36</f>
        <v>-10.806117</v>
      </c>
      <c r="M7" s="40">
        <f>Res_RPP_High!$I$36</f>
        <v>-5.0971030133417049E-2</v>
      </c>
    </row>
    <row r="8" spans="1:13" ht="15" x14ac:dyDescent="0.25">
      <c r="A8" s="69" t="s">
        <v>83</v>
      </c>
      <c r="B8" s="70"/>
      <c r="C8" s="36" t="s">
        <v>81</v>
      </c>
      <c r="D8" s="37">
        <f>'GS&lt;50kW_RPP'!B4</f>
        <v>2000</v>
      </c>
      <c r="E8" s="38"/>
      <c r="F8" s="39">
        <f>'GS&lt;50kW_RPP'!$H$14</f>
        <v>0</v>
      </c>
      <c r="G8" s="40">
        <f>'GS&lt;50kW_RPP'!$I$14</f>
        <v>0</v>
      </c>
      <c r="H8" s="39">
        <f>'GS&lt;50kW_RPP'!$H$22</f>
        <v>-8.4000000000000057</v>
      </c>
      <c r="I8" s="40">
        <f>'GS&lt;50kW_RPP'!$I$22</f>
        <v>-8.4119052011931497E-2</v>
      </c>
      <c r="J8" s="39">
        <f>'GS&lt;50kW_RPP'!$H$25</f>
        <v>-8.1887200000000036</v>
      </c>
      <c r="K8" s="40">
        <f>'GS&lt;50kW_RPP'!$I$25</f>
        <v>-6.8279121853608182E-2</v>
      </c>
      <c r="L8" s="39">
        <f>'GS&lt;50kW_RPP'!$H$36</f>
        <v>-8.5981560000000172</v>
      </c>
      <c r="M8" s="40">
        <f>'GS&lt;50kW_RPP'!$I$36</f>
        <v>-2.8005199124629305E-2</v>
      </c>
    </row>
    <row r="9" spans="1:13" ht="15" x14ac:dyDescent="0.25">
      <c r="A9" s="69" t="s">
        <v>84</v>
      </c>
      <c r="B9" s="70"/>
      <c r="C9" s="41" t="s">
        <v>82</v>
      </c>
      <c r="D9" s="42">
        <f>'GS 50-4,999kW'!B4</f>
        <v>47246</v>
      </c>
      <c r="E9" s="43">
        <f>'GS 50-4,999kW'!B5</f>
        <v>100</v>
      </c>
      <c r="F9" s="44">
        <f>'GS 50-4,999kW'!H15</f>
        <v>0</v>
      </c>
      <c r="G9" s="45">
        <f>'GS 50-4,999kW'!I15</f>
        <v>0</v>
      </c>
      <c r="H9" s="44">
        <f>'GS 50-4,999kW'!H22</f>
        <v>188.71040000000005</v>
      </c>
      <c r="I9" s="45">
        <f>'GS 50-4,999kW'!I22</f>
        <v>0.39667575866626775</v>
      </c>
      <c r="J9" s="44">
        <f>'GS 50-4,999kW'!H25</f>
        <v>191.95040000000006</v>
      </c>
      <c r="K9" s="45">
        <f>'GS 50-4,999kW'!I25</f>
        <v>0.22389074294480282</v>
      </c>
      <c r="L9" s="44">
        <f>'GS 50-4,999kW'!H33</f>
        <v>216.90395200000057</v>
      </c>
      <c r="M9" s="45">
        <f>'GS 50-4,999kW'!I33</f>
        <v>2.93170128568363E-2</v>
      </c>
    </row>
    <row r="10" spans="1:13" ht="15" x14ac:dyDescent="0.25">
      <c r="A10" s="69" t="s">
        <v>85</v>
      </c>
      <c r="B10" s="70"/>
      <c r="C10" s="36" t="s">
        <v>81</v>
      </c>
      <c r="D10" s="37">
        <f>USL!B4</f>
        <v>500</v>
      </c>
      <c r="E10" s="38"/>
      <c r="F10" s="39">
        <f>USL!H14</f>
        <v>0</v>
      </c>
      <c r="G10" s="40">
        <f>USL!I14</f>
        <v>0</v>
      </c>
      <c r="H10" s="39">
        <f>USL!H22</f>
        <v>-2.1499999999999986</v>
      </c>
      <c r="I10" s="40">
        <f>USL!I22</f>
        <v>-8.8145821888042444E-2</v>
      </c>
      <c r="J10" s="39">
        <f>USL!H25</f>
        <v>-2.097179999999998</v>
      </c>
      <c r="K10" s="40">
        <f>USL!I25</f>
        <v>-7.1310095786026803E-2</v>
      </c>
      <c r="L10" s="39">
        <f>USL!H35</f>
        <v>-2.202038999999985</v>
      </c>
      <c r="M10" s="40">
        <f>USL!I35</f>
        <v>-2.986615641743957E-2</v>
      </c>
    </row>
    <row r="11" spans="1:13" ht="15" x14ac:dyDescent="0.25">
      <c r="A11" s="69" t="s">
        <v>86</v>
      </c>
      <c r="B11" s="70"/>
      <c r="C11" s="36" t="s">
        <v>82</v>
      </c>
      <c r="D11" s="37">
        <f>SenLgt!B4</f>
        <v>108</v>
      </c>
      <c r="E11" s="46">
        <f>SenLgt!B5</f>
        <v>0.3</v>
      </c>
      <c r="F11" s="39">
        <f>SenLgt!H15</f>
        <v>0</v>
      </c>
      <c r="G11" s="40">
        <f>SenLgt!I15</f>
        <v>0</v>
      </c>
      <c r="H11" s="39">
        <f>SenLgt!H23</f>
        <v>-0.5072100000000006</v>
      </c>
      <c r="I11" s="40">
        <f>SenLgt!I23</f>
        <v>-3.8152922262155338E-2</v>
      </c>
      <c r="J11" s="39">
        <f>SenLgt!H26</f>
        <v>-0.49995000000000012</v>
      </c>
      <c r="K11" s="40">
        <f>SenLgt!I26</f>
        <v>-3.527172640987148E-2</v>
      </c>
      <c r="L11" s="39">
        <f>SenLgt!H36</f>
        <v>-0.52494749999999613</v>
      </c>
      <c r="M11" s="40">
        <f>SenLgt!I36</f>
        <v>-2.1563326665354775E-2</v>
      </c>
    </row>
    <row r="12" spans="1:13" ht="15" x14ac:dyDescent="0.25">
      <c r="A12" s="69" t="s">
        <v>89</v>
      </c>
      <c r="B12" s="70"/>
      <c r="C12" s="36" t="s">
        <v>82</v>
      </c>
      <c r="D12" s="37">
        <f>StLgt!B4</f>
        <v>66</v>
      </c>
      <c r="E12" s="46">
        <f>StLgt!B5</f>
        <v>0.2</v>
      </c>
      <c r="F12" s="39">
        <f>StLgt!H15</f>
        <v>0</v>
      </c>
      <c r="G12" s="40">
        <f>StLgt!I15</f>
        <v>0</v>
      </c>
      <c r="H12" s="39">
        <f>StLgt!H23</f>
        <v>-0.29530000000000012</v>
      </c>
      <c r="I12" s="40">
        <f>StLgt!I23</f>
        <v>-7.3000012261431158E-2</v>
      </c>
      <c r="J12" s="39">
        <f>StLgt!H26</f>
        <v>-0.29046000000000038</v>
      </c>
      <c r="K12" s="40">
        <f>StLgt!I26</f>
        <v>-6.2791507291908688E-2</v>
      </c>
      <c r="L12" s="39">
        <f>StLgt!H36</f>
        <v>-0.30498299999999823</v>
      </c>
      <c r="M12" s="40">
        <f>StLgt!I36</f>
        <v>-2.8393788544083906E-2</v>
      </c>
    </row>
    <row r="13" spans="1:13" ht="15" x14ac:dyDescent="0.25">
      <c r="A13" s="71" t="s">
        <v>90</v>
      </c>
      <c r="B13" s="72"/>
      <c r="C13" s="41" t="s">
        <v>82</v>
      </c>
      <c r="D13" s="42">
        <f>Emb_Dist!B4</f>
        <v>500000</v>
      </c>
      <c r="E13" s="43"/>
      <c r="F13" s="44">
        <f>Emb_Dist!H14</f>
        <v>0</v>
      </c>
      <c r="G13" s="45">
        <f>Emb_Dist!I14</f>
        <v>0</v>
      </c>
      <c r="H13" s="44">
        <f>Emb_Dist!H21</f>
        <v>1550</v>
      </c>
      <c r="I13" s="45">
        <f>Emb_Dist!I21</f>
        <v>1.6450335905246065</v>
      </c>
      <c r="J13" s="44">
        <f>Emb_Dist!H24</f>
        <v>1550</v>
      </c>
      <c r="K13" s="45">
        <f>Emb_Dist!I24</f>
        <v>1.6450335905246065</v>
      </c>
      <c r="L13" s="44">
        <f>Emb_Dist!H32</f>
        <v>1751.5</v>
      </c>
      <c r="M13" s="45">
        <f>Emb_Dist!I32</f>
        <v>2.6150265838541169E-2</v>
      </c>
    </row>
    <row r="14" spans="1:13" ht="15" x14ac:dyDescent="0.25">
      <c r="A14" s="69" t="s">
        <v>87</v>
      </c>
      <c r="B14" s="70"/>
      <c r="C14" s="36" t="s">
        <v>81</v>
      </c>
      <c r="D14" s="37">
        <f>Res_NonRPP_Typical!B4</f>
        <v>750</v>
      </c>
      <c r="E14" s="38"/>
      <c r="F14" s="39">
        <f>Res_NonRPP_Typical!$H$14</f>
        <v>-0.10000000000000142</v>
      </c>
      <c r="G14" s="40">
        <f>Res_NonRPP_Typical!$I$14</f>
        <v>-2.7397260273972993E-3</v>
      </c>
      <c r="H14" s="39">
        <f>Res_NonRPP_Typical!$H$22</f>
        <v>2.2999999999999901</v>
      </c>
      <c r="I14" s="40">
        <f>Res_NonRPP_Typical!$I$22</f>
        <v>5.7496794553703386E-2</v>
      </c>
      <c r="J14" s="39">
        <f>Res_NonRPP_Typical!$H$25</f>
        <v>2.3792299999999855</v>
      </c>
      <c r="K14" s="40">
        <f>Res_NonRPP_Typical!$I$25</f>
        <v>4.9237625249940825E-2</v>
      </c>
      <c r="L14" s="39">
        <f>Res_NonRPP_Typical!$H$34</f>
        <v>2.4981914999999617</v>
      </c>
      <c r="M14" s="40">
        <f>Res_NonRPP_Typical!$I$34</f>
        <v>1.7757256616065465E-2</v>
      </c>
    </row>
    <row r="15" spans="1:13" ht="15" x14ac:dyDescent="0.25">
      <c r="A15" s="62" t="s">
        <v>88</v>
      </c>
      <c r="B15" s="62"/>
      <c r="C15" s="36" t="s">
        <v>81</v>
      </c>
      <c r="D15" s="37">
        <f>'GS&lt;50kW_NonRPP'!B4</f>
        <v>2000</v>
      </c>
      <c r="E15" s="38"/>
      <c r="F15" s="39">
        <f>'GS&lt;50kW_NonRPP'!$H$14</f>
        <v>0</v>
      </c>
      <c r="G15" s="40">
        <f>'GS&lt;50kW_NonRPP'!$I$14</f>
        <v>0</v>
      </c>
      <c r="H15" s="39">
        <f>'GS&lt;50kW_NonRPP'!$H$22</f>
        <v>6.3999999999999915</v>
      </c>
      <c r="I15" s="40">
        <f>'GS&lt;50kW_NonRPP'!$I$22</f>
        <v>7.2538277542330526E-2</v>
      </c>
      <c r="J15" s="39">
        <f>'GS&lt;50kW_NonRPP'!$H$25</f>
        <v>6.6112799999999936</v>
      </c>
      <c r="K15" s="40">
        <f>'GS&lt;50kW_NonRPP'!$I$25</f>
        <v>6.1045487349687219E-2</v>
      </c>
      <c r="L15" s="39">
        <f>'GS&lt;50kW_NonRPP'!$H$34</f>
        <v>6.9418439999999748</v>
      </c>
      <c r="M15" s="40">
        <f>'GS&lt;50kW_NonRPP'!$I$34</f>
        <v>3.3203191308775977E-2</v>
      </c>
    </row>
    <row r="16" spans="1:13" ht="15" customHeight="1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ht="15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</sheetData>
  <mergeCells count="20">
    <mergeCell ref="A1:M1"/>
    <mergeCell ref="C2:C4"/>
    <mergeCell ref="D2:E3"/>
    <mergeCell ref="F2:K2"/>
    <mergeCell ref="A5:B5"/>
    <mergeCell ref="L2:M3"/>
    <mergeCell ref="F3:G3"/>
    <mergeCell ref="H3:I3"/>
    <mergeCell ref="J3:K3"/>
    <mergeCell ref="A15:B15"/>
    <mergeCell ref="A2:B4"/>
    <mergeCell ref="A10:B10"/>
    <mergeCell ref="A11:B11"/>
    <mergeCell ref="A12:B12"/>
    <mergeCell ref="A13:B13"/>
    <mergeCell ref="A14:B14"/>
    <mergeCell ref="A6:B6"/>
    <mergeCell ref="A7:B7"/>
    <mergeCell ref="A8:B8"/>
    <mergeCell ref="A9:B9"/>
  </mergeCells>
  <pageMargins left="0.7" right="0.7" top="0.75" bottom="0.75" header="0.3" footer="0.3"/>
  <ignoredErrors>
    <ignoredError sqref="F6:M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B28" sqref="B28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6" t="s">
        <v>97</v>
      </c>
      <c r="B1" s="87"/>
      <c r="C1" s="87"/>
      <c r="D1" s="87"/>
      <c r="E1" s="87"/>
      <c r="F1" s="87"/>
      <c r="G1" s="87"/>
      <c r="H1" s="87"/>
      <c r="I1" s="87"/>
    </row>
    <row r="2" spans="1:9" ht="15.6" x14ac:dyDescent="0.3">
      <c r="A2" s="57"/>
      <c r="B2" s="58"/>
      <c r="C2" s="58"/>
      <c r="D2" s="58"/>
      <c r="E2" s="58"/>
      <c r="F2" s="58"/>
      <c r="G2" s="58"/>
      <c r="H2" s="58"/>
      <c r="I2" s="58"/>
    </row>
    <row r="3" spans="1:9" x14ac:dyDescent="0.3">
      <c r="A3" s="2" t="s">
        <v>12</v>
      </c>
      <c r="B3" s="3" t="s">
        <v>43</v>
      </c>
    </row>
    <row r="4" spans="1:9" ht="15" x14ac:dyDescent="0.25">
      <c r="A4" s="2" t="s">
        <v>66</v>
      </c>
      <c r="B4" s="3">
        <v>200</v>
      </c>
    </row>
    <row r="5" spans="1:9" ht="15" x14ac:dyDescent="0.25">
      <c r="A5" s="2" t="s">
        <v>4</v>
      </c>
      <c r="B5" s="3">
        <f>VLOOKUP(B3,'Data-DO NOT PRINT'!B3:Y11,5,0)</f>
        <v>1.0564</v>
      </c>
    </row>
    <row r="6" spans="1:9" ht="15" x14ac:dyDescent="0.25">
      <c r="A6" s="2" t="s">
        <v>68</v>
      </c>
      <c r="B6" s="3">
        <f>B4*B5</f>
        <v>211.28</v>
      </c>
    </row>
    <row r="7" spans="1:9" ht="15" x14ac:dyDescent="0.25">
      <c r="A7" s="2"/>
      <c r="B7" s="10"/>
    </row>
    <row r="8" spans="1:9" ht="15" x14ac:dyDescent="0.25">
      <c r="B8" s="85" t="s">
        <v>39</v>
      </c>
      <c r="C8" s="85"/>
      <c r="D8" s="85"/>
      <c r="E8" s="85" t="s">
        <v>100</v>
      </c>
      <c r="F8" s="85"/>
      <c r="G8" s="85"/>
      <c r="H8" s="85" t="s">
        <v>40</v>
      </c>
      <c r="I8" s="85"/>
    </row>
    <row r="9" spans="1:9" ht="15" x14ac:dyDescent="0.25">
      <c r="A9"/>
      <c r="B9" s="3" t="s">
        <v>1</v>
      </c>
      <c r="C9" s="6" t="s">
        <v>0</v>
      </c>
      <c r="D9" s="3" t="s">
        <v>2</v>
      </c>
      <c r="E9" s="3" t="s">
        <v>1</v>
      </c>
      <c r="F9" s="6" t="s">
        <v>0</v>
      </c>
      <c r="G9" s="3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32.79</v>
      </c>
      <c r="D10" s="5">
        <f t="shared" ref="D10:D13" si="0">B10*C10</f>
        <v>32.79</v>
      </c>
      <c r="E10" s="1">
        <f t="shared" ref="E10:E13" si="1">B10</f>
        <v>1</v>
      </c>
      <c r="F10" s="5">
        <f>VLOOKUP($B$3,'Data-DO NOT PRINT'!$B$3:$AC$11,18,0)</f>
        <v>36.799999999999997</v>
      </c>
      <c r="G10" s="5">
        <f t="shared" ref="G10:G13" si="2">E10*F10</f>
        <v>36.799999999999997</v>
      </c>
      <c r="H10" s="5">
        <f t="shared" ref="H10:H13" si="3">G10-D10</f>
        <v>4.009999999999998</v>
      </c>
      <c r="I10" s="27">
        <f>IF(ISERROR(H10/D10), "",H10/D10)</f>
        <v>0.12229338212869771</v>
      </c>
    </row>
    <row r="11" spans="1:9" ht="15" x14ac:dyDescent="0.25">
      <c r="A11" s="2" t="s">
        <v>45</v>
      </c>
      <c r="B11" s="1">
        <f>B4</f>
        <v>200</v>
      </c>
      <c r="C11" s="26">
        <f>VLOOKUP($B$3,'Data-DO NOT PRINT'!$B$3:$AC$11,8,0)</f>
        <v>5.4999999999999997E-3</v>
      </c>
      <c r="D11" s="5">
        <f t="shared" si="0"/>
        <v>1.0999999999999999</v>
      </c>
      <c r="E11" s="1">
        <f t="shared" si="1"/>
        <v>200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-1.0999999999999999</v>
      </c>
      <c r="I11" s="27">
        <f t="shared" ref="I11:I13" si="4">IF(ISERROR(H11/D11), "",H11/D11)</f>
        <v>-1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-0.49</v>
      </c>
      <c r="D12" s="5">
        <f t="shared" si="0"/>
        <v>-0.49</v>
      </c>
      <c r="E12" s="1">
        <f t="shared" si="1"/>
        <v>1</v>
      </c>
      <c r="F12" s="5">
        <f>VLOOKUP($B$3,'Data-DO NOT PRINT'!$B$3:$AC$11,21,0)</f>
        <v>-0.55000000000000004</v>
      </c>
      <c r="G12" s="5">
        <f t="shared" si="2"/>
        <v>-0.55000000000000004</v>
      </c>
      <c r="H12" s="5">
        <f t="shared" si="3"/>
        <v>-6.0000000000000053E-2</v>
      </c>
      <c r="I12" s="27">
        <f t="shared" si="4"/>
        <v>0.12244897959183684</v>
      </c>
    </row>
    <row r="13" spans="1:9" ht="15" x14ac:dyDescent="0.25">
      <c r="A13" s="2" t="s">
        <v>47</v>
      </c>
      <c r="B13" s="1">
        <f>B4</f>
        <v>200</v>
      </c>
      <c r="C13" s="26">
        <f>VLOOKUP($B$3,'Data-DO NOT PRINT'!$B$3:$AC$11,11,0)</f>
        <v>1E-4</v>
      </c>
      <c r="D13" s="5">
        <f t="shared" si="0"/>
        <v>0.02</v>
      </c>
      <c r="E13" s="1">
        <f t="shared" si="1"/>
        <v>200</v>
      </c>
      <c r="F13" s="26">
        <f>VLOOKUP($B$3,'Data-DO NOT PRINT'!$B$3:$AC$11,22,0)</f>
        <v>2.0000000000000001E-4</v>
      </c>
      <c r="G13" s="5">
        <f t="shared" si="2"/>
        <v>0.04</v>
      </c>
      <c r="H13" s="5">
        <f t="shared" si="3"/>
        <v>0.02</v>
      </c>
      <c r="I13" s="27">
        <f t="shared" si="4"/>
        <v>1</v>
      </c>
    </row>
    <row r="14" spans="1:9" ht="15" x14ac:dyDescent="0.25">
      <c r="A14" s="19" t="s">
        <v>48</v>
      </c>
      <c r="B14" s="17"/>
      <c r="C14" s="22"/>
      <c r="D14" s="18">
        <f>SUM(D10:D13)</f>
        <v>33.42</v>
      </c>
      <c r="E14" s="16"/>
      <c r="F14" s="18"/>
      <c r="G14" s="18">
        <f>SUM(G10:G13)</f>
        <v>36.29</v>
      </c>
      <c r="H14" s="18">
        <f>G14-D14</f>
        <v>2.8699999999999974</v>
      </c>
      <c r="I14" s="28">
        <f>H14/D14</f>
        <v>8.5876720526630673E-2</v>
      </c>
    </row>
    <row r="15" spans="1:9" ht="15" x14ac:dyDescent="0.25">
      <c r="A15" s="2" t="s">
        <v>49</v>
      </c>
      <c r="B15" s="8">
        <f>B6-B4</f>
        <v>11.280000000000001</v>
      </c>
      <c r="C15" s="25">
        <f>IF(ISNUMBER(SEARCH("_RPP",$B$3)),((0.65*C29)+(0.17*C30)+(0.18*C31)),0.1101)</f>
        <v>8.1990000000000007E-2</v>
      </c>
      <c r="D15" s="5">
        <f>B15*C15</f>
        <v>0.9248472000000002</v>
      </c>
      <c r="E15" s="8">
        <f>B15</f>
        <v>11.280000000000001</v>
      </c>
      <c r="F15" s="25">
        <f>C15</f>
        <v>8.1990000000000007E-2</v>
      </c>
      <c r="G15" s="5">
        <f>E15*F15</f>
        <v>0.9248472000000002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">
        <f>B4</f>
        <v>200</v>
      </c>
      <c r="C17" s="26">
        <f>VLOOKUP($B$3,'Data-DO NOT PRINT'!$B$3:$AC$11,13,0)</f>
        <v>4.1999999999999997E-3</v>
      </c>
      <c r="D17" s="5">
        <f>B17*C17</f>
        <v>0.84</v>
      </c>
      <c r="E17" s="1">
        <f>B17</f>
        <v>200</v>
      </c>
      <c r="F17" s="26">
        <f>VLOOKUP($B$3,'Data-DO NOT PRINT'!$B$3:$AC$11,24,0)</f>
        <v>0</v>
      </c>
      <c r="G17" s="5">
        <f>E17*F17</f>
        <v>0</v>
      </c>
      <c r="H17" s="5">
        <f t="shared" si="5"/>
        <v>-0.84</v>
      </c>
      <c r="I17" s="27">
        <f t="shared" si="6"/>
        <v>-1</v>
      </c>
    </row>
    <row r="18" spans="1:9" ht="15" x14ac:dyDescent="0.25">
      <c r="A18" s="4" t="s">
        <v>50</v>
      </c>
      <c r="B18" s="1">
        <f>B4</f>
        <v>200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200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51</v>
      </c>
      <c r="B19" s="1">
        <f>B4</f>
        <v>200</v>
      </c>
      <c r="C19" s="26">
        <f>VLOOKUP($B$3,'Data-DO NOT PRINT'!$B$3:$AC$11,15,0)</f>
        <v>0</v>
      </c>
      <c r="D19" s="5">
        <f t="shared" si="7"/>
        <v>0</v>
      </c>
      <c r="E19" s="1">
        <f>B19</f>
        <v>200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52</v>
      </c>
      <c r="B20" s="1">
        <f>B4</f>
        <v>200</v>
      </c>
      <c r="C20" s="26">
        <f>VLOOKUP($B$3,'Data-DO NOT PRINT'!$B$3:$AC$11,9,0)</f>
        <v>8.9999999999999998E-4</v>
      </c>
      <c r="D20" s="5">
        <f t="shared" si="7"/>
        <v>0.18</v>
      </c>
      <c r="E20" s="1">
        <f>B20</f>
        <v>200</v>
      </c>
      <c r="F20" s="26">
        <f>VLOOKUP($B$3,'Data-DO NOT PRINT'!$B$3:$AC$11,20,0)</f>
        <v>8.9999999999999998E-4</v>
      </c>
      <c r="G20" s="5">
        <f t="shared" si="9"/>
        <v>0.18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53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54</v>
      </c>
      <c r="B22" s="17"/>
      <c r="C22" s="22"/>
      <c r="D22" s="18">
        <f>SUM(D14:D21)</f>
        <v>35.934847200000007</v>
      </c>
      <c r="E22" s="17"/>
      <c r="F22" s="22"/>
      <c r="G22" s="18">
        <f>SUM(G14:G21)</f>
        <v>37.964847200000001</v>
      </c>
      <c r="H22" s="18">
        <f>G22-D22</f>
        <v>2.029999999999994</v>
      </c>
      <c r="I22" s="28">
        <f>H22/D22</f>
        <v>5.6491126529682127E-2</v>
      </c>
    </row>
    <row r="23" spans="1:9" ht="15" x14ac:dyDescent="0.25">
      <c r="A23" s="2" t="s">
        <v>55</v>
      </c>
      <c r="B23" s="8">
        <f>B6</f>
        <v>211.28</v>
      </c>
      <c r="C23" s="26">
        <f>VLOOKUP($B$3,'Data-DO NOT PRINT'!$B$3:$AC$11,16,0)</f>
        <v>6.7000000000000002E-3</v>
      </c>
      <c r="D23" s="5">
        <f t="shared" ref="D23:D24" si="10">B23*C23</f>
        <v>1.4155759999999999</v>
      </c>
      <c r="E23" s="8">
        <f t="shared" ref="E23:E24" si="11">B23</f>
        <v>211.28</v>
      </c>
      <c r="F23" s="26">
        <f>VLOOKUP($B$3,'Data-DO NOT PRINT'!$B$3:$AC$11,27,0)</f>
        <v>6.7999999999999996E-3</v>
      </c>
      <c r="G23" s="5">
        <f t="shared" ref="G23:G24" si="12">E23*F23</f>
        <v>1.436704</v>
      </c>
      <c r="H23" s="5">
        <f t="shared" si="5"/>
        <v>2.1128000000000036E-2</v>
      </c>
      <c r="I23" s="27">
        <f t="shared" ref="I23:I24" si="13">IF(ISERROR(H23/D23), "",H23/D23)</f>
        <v>1.4925373134328384E-2</v>
      </c>
    </row>
    <row r="24" spans="1:9" ht="15" x14ac:dyDescent="0.25">
      <c r="A24" s="2" t="s">
        <v>56</v>
      </c>
      <c r="B24" s="8">
        <f>B6</f>
        <v>211.28</v>
      </c>
      <c r="C24" s="26">
        <f>VLOOKUP($B$3,'Data-DO NOT PRINT'!$B$3:$AC$11,17,0)</f>
        <v>3.8E-3</v>
      </c>
      <c r="D24" s="5">
        <f t="shared" si="10"/>
        <v>0.80286400000000002</v>
      </c>
      <c r="E24" s="8">
        <f t="shared" si="11"/>
        <v>211.28</v>
      </c>
      <c r="F24" s="26">
        <f>VLOOKUP($B$3,'Data-DO NOT PRINT'!$B$3:$AC$11,28,0)</f>
        <v>3.8E-3</v>
      </c>
      <c r="G24" s="5">
        <f t="shared" si="12"/>
        <v>0.80286400000000002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57</v>
      </c>
      <c r="B25" s="17"/>
      <c r="C25" s="22"/>
      <c r="D25" s="18">
        <f>SUM(D22:D24)</f>
        <v>38.153287200000008</v>
      </c>
      <c r="E25" s="17"/>
      <c r="F25" s="22"/>
      <c r="G25" s="18">
        <f>SUM(G22:G24)</f>
        <v>40.2044152</v>
      </c>
      <c r="H25" s="18">
        <f>G25-D25</f>
        <v>2.0511279999999914</v>
      </c>
      <c r="I25" s="28">
        <f>H25/D25</f>
        <v>5.3760190812601617E-2</v>
      </c>
    </row>
    <row r="26" spans="1:9" ht="15" x14ac:dyDescent="0.25">
      <c r="A26" s="2" t="s">
        <v>58</v>
      </c>
      <c r="B26" s="8">
        <f>B6</f>
        <v>211.28</v>
      </c>
      <c r="C26" s="26">
        <v>3.3999999999999998E-3</v>
      </c>
      <c r="D26" s="5">
        <f t="shared" ref="D26:D28" si="14">B26*C26</f>
        <v>0.71835199999999999</v>
      </c>
      <c r="E26" s="8">
        <f t="shared" ref="E26:E28" si="15">B26</f>
        <v>211.28</v>
      </c>
      <c r="F26" s="26">
        <v>3.3999999999999998E-3</v>
      </c>
      <c r="G26" s="5">
        <f t="shared" ref="G26:G31" si="16">E26*F26</f>
        <v>0.71835199999999999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59</v>
      </c>
      <c r="B27" s="8">
        <f>B6</f>
        <v>211.28</v>
      </c>
      <c r="C27" s="26">
        <v>5.0000000000000001E-4</v>
      </c>
      <c r="D27" s="5">
        <f t="shared" si="14"/>
        <v>0.10564</v>
      </c>
      <c r="E27" s="8">
        <f t="shared" si="15"/>
        <v>211.28</v>
      </c>
      <c r="F27" s="26">
        <v>5.0000000000000001E-4</v>
      </c>
      <c r="G27" s="5">
        <f t="shared" si="16"/>
        <v>0.10564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130</v>
      </c>
      <c r="C29" s="25">
        <v>6.5000000000000002E-2</v>
      </c>
      <c r="D29" s="5">
        <f>B29*C29</f>
        <v>8.4500000000000011</v>
      </c>
      <c r="E29" s="1">
        <f>B29</f>
        <v>130</v>
      </c>
      <c r="F29" s="25">
        <f>C29</f>
        <v>6.5000000000000002E-2</v>
      </c>
      <c r="G29" s="5">
        <f t="shared" si="16"/>
        <v>8.4500000000000011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34</v>
      </c>
      <c r="C30" s="25">
        <v>9.4E-2</v>
      </c>
      <c r="D30" s="5">
        <f t="shared" ref="D30:D31" si="18">B30*C30</f>
        <v>3.1960000000000002</v>
      </c>
      <c r="E30" s="1">
        <f>B30</f>
        <v>34</v>
      </c>
      <c r="F30" s="25">
        <f t="shared" ref="F30:F31" si="19">C30</f>
        <v>9.4E-2</v>
      </c>
      <c r="G30" s="5">
        <f t="shared" si="16"/>
        <v>3.1960000000000002</v>
      </c>
      <c r="H30" s="5">
        <f t="shared" si="5"/>
        <v>0</v>
      </c>
      <c r="I30" s="27">
        <f t="shared" si="17"/>
        <v>0</v>
      </c>
    </row>
    <row r="31" spans="1:9" x14ac:dyDescent="0.3">
      <c r="A31" s="2" t="s">
        <v>7</v>
      </c>
      <c r="B31" s="1">
        <f>$B$4*0.18</f>
        <v>36</v>
      </c>
      <c r="C31" s="25">
        <v>0.13200000000000001</v>
      </c>
      <c r="D31" s="5">
        <f t="shared" si="18"/>
        <v>4.7520000000000007</v>
      </c>
      <c r="E31" s="1">
        <f>B31</f>
        <v>36</v>
      </c>
      <c r="F31" s="25">
        <f t="shared" si="19"/>
        <v>0.13200000000000001</v>
      </c>
      <c r="G31" s="5">
        <f t="shared" si="16"/>
        <v>4.7520000000000007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61</v>
      </c>
      <c r="D33" s="6">
        <f>SUM(D25:D31)</f>
        <v>55.625279200000016</v>
      </c>
      <c r="E33" s="1"/>
      <c r="F33" s="5"/>
      <c r="G33" s="6">
        <f>SUM(G25:G31)</f>
        <v>57.676407200000007</v>
      </c>
      <c r="H33" s="6">
        <f>G33-D33</f>
        <v>2.0511279999999914</v>
      </c>
      <c r="I33" s="29">
        <f t="shared" ref="I33:I36" si="20">IF(ISERROR(H33/D33), "",H33/D33)</f>
        <v>3.6874026153202497E-2</v>
      </c>
    </row>
    <row r="34" spans="1:9" x14ac:dyDescent="0.3">
      <c r="A34" s="2" t="s">
        <v>5</v>
      </c>
      <c r="C34" s="7">
        <v>0.13</v>
      </c>
      <c r="D34" s="5">
        <f>C34*D33</f>
        <v>7.2312862960000022</v>
      </c>
      <c r="E34" s="1"/>
      <c r="F34" s="7">
        <v>0.13</v>
      </c>
      <c r="G34" s="5">
        <f>F34*G33</f>
        <v>7.4979329360000015</v>
      </c>
      <c r="H34" s="5">
        <f t="shared" ref="H34:H35" si="21">G34-D34</f>
        <v>0.26664663999999938</v>
      </c>
      <c r="I34" s="27">
        <f t="shared" si="20"/>
        <v>3.6874026153202566E-2</v>
      </c>
    </row>
    <row r="35" spans="1:9" x14ac:dyDescent="0.3">
      <c r="A35" s="2" t="s">
        <v>62</v>
      </c>
      <c r="C35" s="7">
        <v>-0.08</v>
      </c>
      <c r="D35" s="5">
        <f>C35*D33</f>
        <v>-4.4500223360000017</v>
      </c>
      <c r="E35" s="1"/>
      <c r="F35" s="7">
        <v>-0.08</v>
      </c>
      <c r="G35" s="5">
        <f>F35*G33</f>
        <v>-4.614112576000001</v>
      </c>
      <c r="H35" s="5">
        <f t="shared" si="21"/>
        <v>-0.16409023999999928</v>
      </c>
      <c r="I35" s="27">
        <f t="shared" si="20"/>
        <v>3.6874026153202483E-2</v>
      </c>
    </row>
    <row r="36" spans="1:9" x14ac:dyDescent="0.3">
      <c r="A36" s="2" t="s">
        <v>63</v>
      </c>
      <c r="D36" s="6">
        <f>SUM(D33:D35)</f>
        <v>58.406543160000012</v>
      </c>
      <c r="E36" s="1"/>
      <c r="F36" s="5"/>
      <c r="G36" s="6">
        <f>SUM(G33:G35)</f>
        <v>60.560227560000008</v>
      </c>
      <c r="H36" s="6">
        <f>G36-D36</f>
        <v>2.1536843999999959</v>
      </c>
      <c r="I36" s="29">
        <f t="shared" si="20"/>
        <v>3.6874026153202587E-2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G14 D22:G22 E25:F25 D25 G25 I14:I3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43</v>
      </c>
    </row>
    <row r="4" spans="1:9" ht="15" x14ac:dyDescent="0.25">
      <c r="A4" s="2" t="s">
        <v>66</v>
      </c>
      <c r="B4" s="10">
        <v>750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68</v>
      </c>
      <c r="B6" s="10">
        <f>B4*B5</f>
        <v>792.3</v>
      </c>
    </row>
    <row r="7" spans="1:9" ht="15" x14ac:dyDescent="0.25">
      <c r="A7" s="2"/>
      <c r="B7" s="10"/>
    </row>
    <row r="8" spans="1:9" ht="15" x14ac:dyDescent="0.25">
      <c r="B8" s="85" t="s">
        <v>39</v>
      </c>
      <c r="C8" s="85"/>
      <c r="D8" s="85"/>
      <c r="E8" s="85" t="s">
        <v>100</v>
      </c>
      <c r="F8" s="85"/>
      <c r="G8" s="85"/>
      <c r="H8" s="85" t="s">
        <v>40</v>
      </c>
      <c r="I8" s="85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32.79</v>
      </c>
      <c r="D10" s="5">
        <f t="shared" ref="D10:D13" si="0">B10*C10</f>
        <v>32.79</v>
      </c>
      <c r="E10" s="1">
        <f t="shared" ref="E10:E13" si="1">B10</f>
        <v>1</v>
      </c>
      <c r="F10" s="5">
        <f>VLOOKUP($B$3,'Data-DO NOT PRINT'!$B$3:$AC$11,18,0)</f>
        <v>36.799999999999997</v>
      </c>
      <c r="G10" s="5">
        <f t="shared" ref="G10:G13" si="2">E10*F10</f>
        <v>36.799999999999997</v>
      </c>
      <c r="H10" s="5">
        <f t="shared" ref="H10:H13" si="3">G10-D10</f>
        <v>4.009999999999998</v>
      </c>
      <c r="I10" s="27">
        <f>IF(ISERROR(H10/D10), "",H10/D10)</f>
        <v>0.12229338212869771</v>
      </c>
    </row>
    <row r="11" spans="1:9" ht="15" x14ac:dyDescent="0.25">
      <c r="A11" s="2" t="s">
        <v>45</v>
      </c>
      <c r="B11" s="1">
        <f>B4</f>
        <v>750</v>
      </c>
      <c r="C11" s="26">
        <f>VLOOKUP($B$3,'Data-DO NOT PRINT'!$B$3:$AC$11,8,0)</f>
        <v>5.4999999999999997E-3</v>
      </c>
      <c r="D11" s="5">
        <f t="shared" si="0"/>
        <v>4.125</v>
      </c>
      <c r="E11" s="1">
        <f t="shared" si="1"/>
        <v>750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-4.125</v>
      </c>
      <c r="I11" s="27">
        <f t="shared" ref="I11:I13" si="4">IF(ISERROR(H11/D11), "",H11/D11)</f>
        <v>-1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-0.49</v>
      </c>
      <c r="D12" s="5">
        <f t="shared" si="0"/>
        <v>-0.49</v>
      </c>
      <c r="E12" s="1">
        <f t="shared" si="1"/>
        <v>1</v>
      </c>
      <c r="F12" s="5">
        <f>VLOOKUP($B$3,'Data-DO NOT PRINT'!$B$3:$AC$11,21,0)</f>
        <v>-0.55000000000000004</v>
      </c>
      <c r="G12" s="5">
        <f t="shared" si="2"/>
        <v>-0.55000000000000004</v>
      </c>
      <c r="H12" s="5">
        <f t="shared" si="3"/>
        <v>-6.0000000000000053E-2</v>
      </c>
      <c r="I12" s="27">
        <f t="shared" si="4"/>
        <v>0.12244897959183684</v>
      </c>
    </row>
    <row r="13" spans="1:9" ht="15" x14ac:dyDescent="0.25">
      <c r="A13" s="2" t="s">
        <v>47</v>
      </c>
      <c r="B13" s="1">
        <f>B4</f>
        <v>750</v>
      </c>
      <c r="C13" s="26">
        <f>VLOOKUP($B$3,'Data-DO NOT PRINT'!$B$3:$AC$11,11,0)</f>
        <v>1E-4</v>
      </c>
      <c r="D13" s="5">
        <f t="shared" si="0"/>
        <v>7.4999999999999997E-2</v>
      </c>
      <c r="E13" s="1">
        <f t="shared" si="1"/>
        <v>750</v>
      </c>
      <c r="F13" s="26">
        <f>VLOOKUP($B$3,'Data-DO NOT PRINT'!$B$3:$AC$11,22,0)</f>
        <v>2.0000000000000001E-4</v>
      </c>
      <c r="G13" s="5">
        <f t="shared" si="2"/>
        <v>0.15</v>
      </c>
      <c r="H13" s="5">
        <f t="shared" si="3"/>
        <v>7.4999999999999997E-2</v>
      </c>
      <c r="I13" s="27">
        <f t="shared" si="4"/>
        <v>1</v>
      </c>
    </row>
    <row r="14" spans="1:9" ht="15" x14ac:dyDescent="0.25">
      <c r="A14" s="19" t="s">
        <v>48</v>
      </c>
      <c r="B14" s="17"/>
      <c r="C14" s="22"/>
      <c r="D14" s="18">
        <f>SUM(D10:D13)</f>
        <v>36.5</v>
      </c>
      <c r="E14" s="16"/>
      <c r="F14" s="18"/>
      <c r="G14" s="18">
        <f>SUM(G10:G13)</f>
        <v>36.4</v>
      </c>
      <c r="H14" s="18">
        <f>G14-D14</f>
        <v>-0.10000000000000142</v>
      </c>
      <c r="I14" s="28">
        <f>H14/D14</f>
        <v>-2.7397260273972993E-3</v>
      </c>
    </row>
    <row r="15" spans="1:9" ht="15" x14ac:dyDescent="0.25">
      <c r="A15" s="2" t="s">
        <v>49</v>
      </c>
      <c r="B15" s="8">
        <f>B6-B4</f>
        <v>42.299999999999955</v>
      </c>
      <c r="C15" s="25">
        <f>IF(ISNUMBER(SEARCH("_RPP",$B$3)),((0.65*C29)+(0.17*C30)+(0.18*C31)),0.1101)</f>
        <v>8.1990000000000007E-2</v>
      </c>
      <c r="D15" s="5">
        <f>B15*C15</f>
        <v>3.4681769999999967</v>
      </c>
      <c r="E15" s="8">
        <f>B15</f>
        <v>42.299999999999955</v>
      </c>
      <c r="F15" s="25">
        <f>C15</f>
        <v>8.1990000000000007E-2</v>
      </c>
      <c r="G15" s="5">
        <f>E15*F15</f>
        <v>3.4681769999999967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">
        <f>B4</f>
        <v>750</v>
      </c>
      <c r="C17" s="26">
        <f>VLOOKUP($B$3,'Data-DO NOT PRINT'!$B$3:$AC$11,13,0)</f>
        <v>4.1999999999999997E-3</v>
      </c>
      <c r="D17" s="5">
        <f>B17*C17</f>
        <v>3.15</v>
      </c>
      <c r="E17" s="1">
        <f>B17</f>
        <v>750</v>
      </c>
      <c r="F17" s="26">
        <f>VLOOKUP($B$3,'Data-DO NOT PRINT'!$B$3:$AC$11,24,0)</f>
        <v>0</v>
      </c>
      <c r="G17" s="5">
        <f>E17*F17</f>
        <v>0</v>
      </c>
      <c r="H17" s="5">
        <f t="shared" si="5"/>
        <v>-3.15</v>
      </c>
      <c r="I17" s="27">
        <f t="shared" si="6"/>
        <v>-1</v>
      </c>
    </row>
    <row r="18" spans="1:9" ht="15" x14ac:dyDescent="0.25">
      <c r="A18" s="4" t="s">
        <v>50</v>
      </c>
      <c r="B18" s="1">
        <f>B4</f>
        <v>750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750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51</v>
      </c>
      <c r="B19" s="1">
        <f>B4</f>
        <v>750</v>
      </c>
      <c r="C19" s="26">
        <f>VLOOKUP($B$3,'Data-DO NOT PRINT'!$B$3:$AC$11,15,0)</f>
        <v>0</v>
      </c>
      <c r="D19" s="5">
        <f t="shared" si="7"/>
        <v>0</v>
      </c>
      <c r="E19" s="1">
        <f>B19</f>
        <v>750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52</v>
      </c>
      <c r="B20" s="1">
        <f>B4</f>
        <v>750</v>
      </c>
      <c r="C20" s="26">
        <f>VLOOKUP($B$3,'Data-DO NOT PRINT'!$B$3:$AC$11,9,0)</f>
        <v>8.9999999999999998E-4</v>
      </c>
      <c r="D20" s="5">
        <f t="shared" si="7"/>
        <v>0.67499999999999993</v>
      </c>
      <c r="E20" s="1">
        <f>B20</f>
        <v>750</v>
      </c>
      <c r="F20" s="26">
        <f>VLOOKUP($B$3,'Data-DO NOT PRINT'!$B$3:$AC$11,20,0)</f>
        <v>8.9999999999999998E-4</v>
      </c>
      <c r="G20" s="5">
        <f t="shared" si="9"/>
        <v>0.67499999999999993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53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54</v>
      </c>
      <c r="B22" s="17"/>
      <c r="C22" s="22"/>
      <c r="D22" s="18">
        <f>SUM(D14:D21)</f>
        <v>44.363176999999993</v>
      </c>
      <c r="E22" s="17"/>
      <c r="F22" s="22"/>
      <c r="G22" s="18">
        <f>SUM(G14:G21)</f>
        <v>41.113176999999993</v>
      </c>
      <c r="H22" s="18">
        <f>G22-D22</f>
        <v>-3.25</v>
      </c>
      <c r="I22" s="28">
        <f>H22/D22</f>
        <v>-7.3258955281764432E-2</v>
      </c>
    </row>
    <row r="23" spans="1:9" ht="15" x14ac:dyDescent="0.25">
      <c r="A23" s="2" t="s">
        <v>55</v>
      </c>
      <c r="B23" s="8">
        <f>B6</f>
        <v>792.3</v>
      </c>
      <c r="C23" s="26">
        <f>VLOOKUP($B$3,'Data-DO NOT PRINT'!$B$3:$AC$11,16,0)</f>
        <v>6.7000000000000002E-3</v>
      </c>
      <c r="D23" s="5">
        <f t="shared" ref="D23:D24" si="10">B23*C23</f>
        <v>5.3084100000000003</v>
      </c>
      <c r="E23" s="8">
        <f t="shared" ref="E23:E24" si="11">B23</f>
        <v>792.3</v>
      </c>
      <c r="F23" s="26">
        <f>VLOOKUP($B$3,'Data-DO NOT PRINT'!$B$3:$AC$11,27,0)</f>
        <v>6.7999999999999996E-3</v>
      </c>
      <c r="G23" s="5">
        <f t="shared" ref="G23:G24" si="12">E23*F23</f>
        <v>5.3876399999999993</v>
      </c>
      <c r="H23" s="5">
        <f t="shared" si="5"/>
        <v>7.9229999999999023E-2</v>
      </c>
      <c r="I23" s="27">
        <f t="shared" ref="I23:I24" si="13">IF(ISERROR(H23/D23), "",H23/D23)</f>
        <v>1.4925373134328174E-2</v>
      </c>
    </row>
    <row r="24" spans="1:9" ht="15" x14ac:dyDescent="0.25">
      <c r="A24" s="2" t="s">
        <v>56</v>
      </c>
      <c r="B24" s="8">
        <f>B6</f>
        <v>792.3</v>
      </c>
      <c r="C24" s="26">
        <f>VLOOKUP($B$3,'Data-DO NOT PRINT'!$B$3:$AC$11,17,0)</f>
        <v>3.8E-3</v>
      </c>
      <c r="D24" s="5">
        <f t="shared" si="10"/>
        <v>3.0107399999999997</v>
      </c>
      <c r="E24" s="8">
        <f t="shared" si="11"/>
        <v>792.3</v>
      </c>
      <c r="F24" s="26">
        <f>VLOOKUP($B$3,'Data-DO NOT PRINT'!$B$3:$AC$11,28,0)</f>
        <v>3.8E-3</v>
      </c>
      <c r="G24" s="5">
        <f t="shared" si="12"/>
        <v>3.0107399999999997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57</v>
      </c>
      <c r="B25" s="17"/>
      <c r="C25" s="22"/>
      <c r="D25" s="18">
        <f>SUM(D22:D24)</f>
        <v>52.682326999999994</v>
      </c>
      <c r="E25" s="17"/>
      <c r="F25" s="22"/>
      <c r="G25" s="18">
        <f>SUM(G22:G24)</f>
        <v>49.511556999999989</v>
      </c>
      <c r="H25" s="18">
        <f>G25-D25</f>
        <v>-3.1707700000000045</v>
      </c>
      <c r="I25" s="28">
        <f>H25/D25</f>
        <v>-6.018659730045723E-2</v>
      </c>
    </row>
    <row r="26" spans="1:9" ht="15" x14ac:dyDescent="0.25">
      <c r="A26" s="2" t="s">
        <v>58</v>
      </c>
      <c r="B26" s="8">
        <f>B6</f>
        <v>792.3</v>
      </c>
      <c r="C26" s="26">
        <v>3.3999999999999998E-3</v>
      </c>
      <c r="D26" s="5">
        <f t="shared" ref="D26:D28" si="14">B26*C26</f>
        <v>2.6938199999999997</v>
      </c>
      <c r="E26" s="8">
        <f t="shared" ref="E26:E28" si="15">B26</f>
        <v>792.3</v>
      </c>
      <c r="F26" s="26">
        <v>3.3999999999999998E-3</v>
      </c>
      <c r="G26" s="5">
        <f t="shared" ref="G26:G31" si="16">E26*F26</f>
        <v>2.6938199999999997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59</v>
      </c>
      <c r="B27" s="8">
        <f>B6</f>
        <v>792.3</v>
      </c>
      <c r="C27" s="26">
        <v>5.0000000000000001E-4</v>
      </c>
      <c r="D27" s="5">
        <f t="shared" si="14"/>
        <v>0.39615</v>
      </c>
      <c r="E27" s="8">
        <f t="shared" si="15"/>
        <v>792.3</v>
      </c>
      <c r="F27" s="26">
        <v>5.0000000000000001E-4</v>
      </c>
      <c r="G27" s="5">
        <f t="shared" si="16"/>
        <v>0.39615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487.5</v>
      </c>
      <c r="C29" s="25">
        <v>6.5000000000000002E-2</v>
      </c>
      <c r="D29" s="5">
        <f>B29*C29</f>
        <v>31.6875</v>
      </c>
      <c r="E29" s="1">
        <f>B29</f>
        <v>487.5</v>
      </c>
      <c r="F29" s="25">
        <f>C29</f>
        <v>6.5000000000000002E-2</v>
      </c>
      <c r="G29" s="5">
        <f t="shared" si="16"/>
        <v>31.6875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127.50000000000001</v>
      </c>
      <c r="C30" s="25">
        <v>9.4E-2</v>
      </c>
      <c r="D30" s="5">
        <f t="shared" ref="D30:D31" si="18">B30*C30</f>
        <v>11.985000000000001</v>
      </c>
      <c r="E30" s="1">
        <f>B30</f>
        <v>127.50000000000001</v>
      </c>
      <c r="F30" s="25">
        <f t="shared" ref="F30:F31" si="19">C30</f>
        <v>9.4E-2</v>
      </c>
      <c r="G30" s="5">
        <f t="shared" si="16"/>
        <v>11.985000000000001</v>
      </c>
      <c r="H30" s="5">
        <f t="shared" si="5"/>
        <v>0</v>
      </c>
      <c r="I30" s="27">
        <f t="shared" si="17"/>
        <v>0</v>
      </c>
    </row>
    <row r="31" spans="1:9" x14ac:dyDescent="0.3">
      <c r="A31" s="2" t="s">
        <v>7</v>
      </c>
      <c r="B31" s="1">
        <f>$B$4*0.18</f>
        <v>135</v>
      </c>
      <c r="C31" s="25">
        <v>0.13200000000000001</v>
      </c>
      <c r="D31" s="5">
        <f t="shared" si="18"/>
        <v>17.82</v>
      </c>
      <c r="E31" s="1">
        <f>B31</f>
        <v>135</v>
      </c>
      <c r="F31" s="25">
        <f t="shared" si="19"/>
        <v>0.13200000000000001</v>
      </c>
      <c r="G31" s="5">
        <f t="shared" si="16"/>
        <v>17.82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61</v>
      </c>
      <c r="D33" s="6">
        <f>SUM(D25:D31)</f>
        <v>117.51479699999999</v>
      </c>
      <c r="E33" s="1"/>
      <c r="F33" s="5"/>
      <c r="G33" s="6">
        <f>SUM(G25:G31)</f>
        <v>114.34402699999998</v>
      </c>
      <c r="H33" s="6">
        <f>G33-D33</f>
        <v>-3.1707700000000045</v>
      </c>
      <c r="I33" s="29">
        <f t="shared" ref="I33:I36" si="20">IF(ISERROR(H33/D33), "",H33/D33)</f>
        <v>-2.6981878716090577E-2</v>
      </c>
    </row>
    <row r="34" spans="1:9" x14ac:dyDescent="0.3">
      <c r="A34" s="2" t="s">
        <v>5</v>
      </c>
      <c r="C34" s="7">
        <v>0.13</v>
      </c>
      <c r="D34" s="5">
        <f>C34*D33</f>
        <v>15.276923609999999</v>
      </c>
      <c r="E34" s="1"/>
      <c r="F34" s="7">
        <v>0.13</v>
      </c>
      <c r="G34" s="5">
        <f>F34*G33</f>
        <v>14.864723509999997</v>
      </c>
      <c r="H34" s="5">
        <f t="shared" ref="H34:H35" si="21">G34-D34</f>
        <v>-0.41220010000000151</v>
      </c>
      <c r="I34" s="27">
        <f t="shared" si="20"/>
        <v>-2.6981878716090636E-2</v>
      </c>
    </row>
    <row r="35" spans="1:9" x14ac:dyDescent="0.3">
      <c r="A35" s="2" t="s">
        <v>62</v>
      </c>
      <c r="C35" s="7">
        <v>-0.08</v>
      </c>
      <c r="D35" s="5">
        <f>C35*D33</f>
        <v>-9.4011837599999986</v>
      </c>
      <c r="E35" s="1"/>
      <c r="F35" s="7">
        <v>-0.08</v>
      </c>
      <c r="G35" s="5">
        <f>F35*G33</f>
        <v>-9.1475221599999994</v>
      </c>
      <c r="H35" s="5">
        <f t="shared" si="21"/>
        <v>0.25366159999999915</v>
      </c>
      <c r="I35" s="27">
        <f t="shared" si="20"/>
        <v>-2.6981878716090452E-2</v>
      </c>
    </row>
    <row r="36" spans="1:9" x14ac:dyDescent="0.3">
      <c r="A36" s="2" t="s">
        <v>63</v>
      </c>
      <c r="D36" s="6">
        <f>SUM(D33:D35)</f>
        <v>123.39053685</v>
      </c>
      <c r="E36" s="1"/>
      <c r="F36" s="5"/>
      <c r="G36" s="6">
        <f>SUM(G33:G35)</f>
        <v>120.06122834999999</v>
      </c>
      <c r="H36" s="6">
        <f>G36-D36</f>
        <v>-3.3293085000000104</v>
      </c>
      <c r="I36" s="29">
        <f t="shared" si="20"/>
        <v>-2.6981878716090622E-2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43</v>
      </c>
    </row>
    <row r="4" spans="1:9" ht="15" x14ac:dyDescent="0.25">
      <c r="A4" s="2" t="s">
        <v>66</v>
      </c>
      <c r="B4" s="31">
        <v>1500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68</v>
      </c>
      <c r="B6" s="10">
        <f>B4*B5</f>
        <v>1584.6</v>
      </c>
    </row>
    <row r="7" spans="1:9" ht="15" x14ac:dyDescent="0.25">
      <c r="A7" s="2"/>
      <c r="B7" s="10"/>
    </row>
    <row r="8" spans="1:9" ht="15" x14ac:dyDescent="0.25">
      <c r="B8" s="85" t="s">
        <v>39</v>
      </c>
      <c r="C8" s="85"/>
      <c r="D8" s="85"/>
      <c r="E8" s="85" t="s">
        <v>100</v>
      </c>
      <c r="F8" s="85"/>
      <c r="G8" s="85"/>
      <c r="H8" s="85" t="s">
        <v>40</v>
      </c>
      <c r="I8" s="85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32.79</v>
      </c>
      <c r="D10" s="5">
        <f t="shared" ref="D10:D13" si="0">B10*C10</f>
        <v>32.79</v>
      </c>
      <c r="E10" s="1">
        <f t="shared" ref="E10:E13" si="1">B10</f>
        <v>1</v>
      </c>
      <c r="F10" s="5">
        <f>VLOOKUP($B$3,'Data-DO NOT PRINT'!$B$3:$AC$11,18,0)</f>
        <v>36.799999999999997</v>
      </c>
      <c r="G10" s="5">
        <f t="shared" ref="G10:G13" si="2">E10*F10</f>
        <v>36.799999999999997</v>
      </c>
      <c r="H10" s="5">
        <f t="shared" ref="H10:H13" si="3">G10-D10</f>
        <v>4.009999999999998</v>
      </c>
      <c r="I10" s="27">
        <f>IF(ISERROR(H10/D10), "",H10/D10)</f>
        <v>0.12229338212869771</v>
      </c>
    </row>
    <row r="11" spans="1:9" ht="15" x14ac:dyDescent="0.25">
      <c r="A11" s="2" t="s">
        <v>45</v>
      </c>
      <c r="B11" s="1">
        <f>B4</f>
        <v>1500</v>
      </c>
      <c r="C11" s="26">
        <f>VLOOKUP($B$3,'Data-DO NOT PRINT'!$B$3:$AC$11,8,0)</f>
        <v>5.4999999999999997E-3</v>
      </c>
      <c r="D11" s="5">
        <f t="shared" si="0"/>
        <v>8.25</v>
      </c>
      <c r="E11" s="1">
        <f t="shared" si="1"/>
        <v>1500</v>
      </c>
      <c r="F11" s="26">
        <f>VLOOKUP($B$3,'Data-DO NOT PRINT'!$B$3:$AC$11,19,0)</f>
        <v>0</v>
      </c>
      <c r="G11" s="5">
        <f t="shared" si="2"/>
        <v>0</v>
      </c>
      <c r="H11" s="5">
        <f t="shared" si="3"/>
        <v>-8.25</v>
      </c>
      <c r="I11" s="27">
        <f t="shared" ref="I11:I13" si="4">IF(ISERROR(H11/D11), "",H11/D11)</f>
        <v>-1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-0.49</v>
      </c>
      <c r="D12" s="5">
        <f t="shared" si="0"/>
        <v>-0.49</v>
      </c>
      <c r="E12" s="1">
        <f t="shared" si="1"/>
        <v>1</v>
      </c>
      <c r="F12" s="5">
        <f>VLOOKUP($B$3,'Data-DO NOT PRINT'!$B$3:$AC$11,21,0)</f>
        <v>-0.55000000000000004</v>
      </c>
      <c r="G12" s="5">
        <f t="shared" si="2"/>
        <v>-0.55000000000000004</v>
      </c>
      <c r="H12" s="5">
        <f t="shared" si="3"/>
        <v>-6.0000000000000053E-2</v>
      </c>
      <c r="I12" s="27">
        <f t="shared" si="4"/>
        <v>0.12244897959183684</v>
      </c>
    </row>
    <row r="13" spans="1:9" ht="15" x14ac:dyDescent="0.25">
      <c r="A13" s="2" t="s">
        <v>47</v>
      </c>
      <c r="B13" s="1">
        <f>B4</f>
        <v>1500</v>
      </c>
      <c r="C13" s="26">
        <f>VLOOKUP($B$3,'Data-DO NOT PRINT'!$B$3:$AC$11,11,0)</f>
        <v>1E-4</v>
      </c>
      <c r="D13" s="5">
        <f t="shared" si="0"/>
        <v>0.15</v>
      </c>
      <c r="E13" s="1">
        <f t="shared" si="1"/>
        <v>1500</v>
      </c>
      <c r="F13" s="26">
        <f>VLOOKUP($B$3,'Data-DO NOT PRINT'!$B$3:$AC$11,22,0)</f>
        <v>2.0000000000000001E-4</v>
      </c>
      <c r="G13" s="5">
        <f t="shared" si="2"/>
        <v>0.3</v>
      </c>
      <c r="H13" s="5">
        <f t="shared" si="3"/>
        <v>0.15</v>
      </c>
      <c r="I13" s="27">
        <f t="shared" si="4"/>
        <v>1</v>
      </c>
    </row>
    <row r="14" spans="1:9" ht="15" x14ac:dyDescent="0.25">
      <c r="A14" s="19" t="s">
        <v>48</v>
      </c>
      <c r="B14" s="17"/>
      <c r="C14" s="22"/>
      <c r="D14" s="18">
        <f>SUM(D10:D13)</f>
        <v>40.699999999999996</v>
      </c>
      <c r="E14" s="16"/>
      <c r="F14" s="18"/>
      <c r="G14" s="18">
        <f>SUM(G10:G13)</f>
        <v>36.549999999999997</v>
      </c>
      <c r="H14" s="18">
        <f>G14-D14</f>
        <v>-4.1499999999999986</v>
      </c>
      <c r="I14" s="28">
        <f>H14/D14</f>
        <v>-0.10196560196560193</v>
      </c>
    </row>
    <row r="15" spans="1:9" ht="15" x14ac:dyDescent="0.25">
      <c r="A15" s="2" t="s">
        <v>49</v>
      </c>
      <c r="B15" s="8">
        <f>B6-B4</f>
        <v>84.599999999999909</v>
      </c>
      <c r="C15" s="25">
        <f>IF(ISNUMBER(SEARCH("_RPP",$B$3)),((0.65*C29)+(0.17*C30)+(0.18*C31)),0.1101)</f>
        <v>8.1990000000000007E-2</v>
      </c>
      <c r="D15" s="5">
        <f>B15*C15</f>
        <v>6.9363539999999935</v>
      </c>
      <c r="E15" s="8">
        <f>B15</f>
        <v>84.599999999999909</v>
      </c>
      <c r="F15" s="25">
        <f>C15</f>
        <v>8.1990000000000007E-2</v>
      </c>
      <c r="G15" s="5">
        <f>E15*F15</f>
        <v>6.9363539999999935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">
        <f>B4</f>
        <v>1500</v>
      </c>
      <c r="C17" s="26">
        <f>VLOOKUP($B$3,'Data-DO NOT PRINT'!$B$3:$AC$11,13,0)</f>
        <v>4.1999999999999997E-3</v>
      </c>
      <c r="D17" s="5">
        <f>B17*C17</f>
        <v>6.3</v>
      </c>
      <c r="E17" s="1">
        <f>B17</f>
        <v>1500</v>
      </c>
      <c r="F17" s="26">
        <f>VLOOKUP($B$3,'Data-DO NOT PRINT'!$B$3:$AC$11,24,0)</f>
        <v>0</v>
      </c>
      <c r="G17" s="5">
        <f>E17*F17</f>
        <v>0</v>
      </c>
      <c r="H17" s="5">
        <f t="shared" si="5"/>
        <v>-6.3</v>
      </c>
      <c r="I17" s="27">
        <f t="shared" si="6"/>
        <v>-1</v>
      </c>
    </row>
    <row r="18" spans="1:9" ht="15" x14ac:dyDescent="0.25">
      <c r="A18" s="4" t="s">
        <v>50</v>
      </c>
      <c r="B18" s="1">
        <f>B4</f>
        <v>1500</v>
      </c>
      <c r="C18" s="26">
        <f>VLOOKUP($B$3,'Data-DO NOT PRINT'!$B$3:$AC$11,14,0)</f>
        <v>0</v>
      </c>
      <c r="D18" s="5">
        <f t="shared" ref="D18:D21" si="7">B18*C18</f>
        <v>0</v>
      </c>
      <c r="E18" s="1">
        <f t="shared" ref="E18:E21" si="8">B18</f>
        <v>1500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51</v>
      </c>
      <c r="B19" s="1">
        <f>B4</f>
        <v>1500</v>
      </c>
      <c r="C19" s="26">
        <f>VLOOKUP($B$3,'Data-DO NOT PRINT'!$B$3:$AC$11,15,0)</f>
        <v>0</v>
      </c>
      <c r="D19" s="5">
        <f t="shared" si="7"/>
        <v>0</v>
      </c>
      <c r="E19" s="1">
        <f>B19</f>
        <v>1500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52</v>
      </c>
      <c r="B20" s="1">
        <f>B4</f>
        <v>1500</v>
      </c>
      <c r="C20" s="26">
        <f>VLOOKUP($B$3,'Data-DO NOT PRINT'!$B$3:$AC$11,9,0)</f>
        <v>8.9999999999999998E-4</v>
      </c>
      <c r="D20" s="5">
        <f t="shared" si="7"/>
        <v>1.3499999999999999</v>
      </c>
      <c r="E20" s="1">
        <f>B20</f>
        <v>1500</v>
      </c>
      <c r="F20" s="26">
        <f>VLOOKUP($B$3,'Data-DO NOT PRINT'!$B$3:$AC$11,20,0)</f>
        <v>8.9999999999999998E-4</v>
      </c>
      <c r="G20" s="5">
        <f t="shared" si="9"/>
        <v>1.3499999999999999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53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54</v>
      </c>
      <c r="B22" s="17"/>
      <c r="C22" s="22"/>
      <c r="D22" s="18">
        <f>SUM(D14:D21)</f>
        <v>55.856353999999989</v>
      </c>
      <c r="E22" s="17"/>
      <c r="F22" s="22"/>
      <c r="G22" s="18">
        <f>SUM(G14:G21)</f>
        <v>45.406353999999993</v>
      </c>
      <c r="H22" s="18">
        <f>G22-D22</f>
        <v>-10.449999999999996</v>
      </c>
      <c r="I22" s="28">
        <f>H22/D22</f>
        <v>-0.18708704116276545</v>
      </c>
    </row>
    <row r="23" spans="1:9" ht="15" x14ac:dyDescent="0.25">
      <c r="A23" s="2" t="s">
        <v>55</v>
      </c>
      <c r="B23" s="8">
        <f>B6</f>
        <v>1584.6</v>
      </c>
      <c r="C23" s="26">
        <f>VLOOKUP($B$3,'Data-DO NOT PRINT'!$B$3:$AC$11,16,0)</f>
        <v>6.7000000000000002E-3</v>
      </c>
      <c r="D23" s="5">
        <f t="shared" ref="D23:D24" si="10">B23*C23</f>
        <v>10.616820000000001</v>
      </c>
      <c r="E23" s="8">
        <f t="shared" ref="E23:E24" si="11">B23</f>
        <v>1584.6</v>
      </c>
      <c r="F23" s="26">
        <f>VLOOKUP($B$3,'Data-DO NOT PRINT'!$B$3:$AC$11,27,0)</f>
        <v>6.7999999999999996E-3</v>
      </c>
      <c r="G23" s="5">
        <f t="shared" ref="G23:G24" si="12">E23*F23</f>
        <v>10.775279999999999</v>
      </c>
      <c r="H23" s="5">
        <f t="shared" si="5"/>
        <v>0.15845999999999805</v>
      </c>
      <c r="I23" s="27">
        <f t="shared" ref="I23:I24" si="13">IF(ISERROR(H23/D23), "",H23/D23)</f>
        <v>1.4925373134328174E-2</v>
      </c>
    </row>
    <row r="24" spans="1:9" ht="15" x14ac:dyDescent="0.25">
      <c r="A24" s="2" t="s">
        <v>56</v>
      </c>
      <c r="B24" s="8">
        <f>B6</f>
        <v>1584.6</v>
      </c>
      <c r="C24" s="26">
        <f>VLOOKUP($B$3,'Data-DO NOT PRINT'!$B$3:$AC$11,17,0)</f>
        <v>3.8E-3</v>
      </c>
      <c r="D24" s="5">
        <f t="shared" si="10"/>
        <v>6.0214799999999995</v>
      </c>
      <c r="E24" s="8">
        <f t="shared" si="11"/>
        <v>1584.6</v>
      </c>
      <c r="F24" s="26">
        <f>VLOOKUP($B$3,'Data-DO NOT PRINT'!$B$3:$AC$11,28,0)</f>
        <v>3.8E-3</v>
      </c>
      <c r="G24" s="5">
        <f t="shared" si="12"/>
        <v>6.0214799999999995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57</v>
      </c>
      <c r="B25" s="17"/>
      <c r="C25" s="22"/>
      <c r="D25" s="18">
        <f>SUM(D22:D24)</f>
        <v>72.494653999999983</v>
      </c>
      <c r="E25" s="17"/>
      <c r="F25" s="22"/>
      <c r="G25" s="18">
        <f>SUM(G22:G24)</f>
        <v>62.203113999999985</v>
      </c>
      <c r="H25" s="18">
        <f>G25-D25</f>
        <v>-10.291539999999998</v>
      </c>
      <c r="I25" s="28">
        <f>H25/D25</f>
        <v>-0.14196274390108821</v>
      </c>
    </row>
    <row r="26" spans="1:9" ht="15" x14ac:dyDescent="0.25">
      <c r="A26" s="2" t="s">
        <v>58</v>
      </c>
      <c r="B26" s="8">
        <f>B6</f>
        <v>1584.6</v>
      </c>
      <c r="C26" s="26">
        <v>3.3999999999999998E-3</v>
      </c>
      <c r="D26" s="5">
        <f t="shared" ref="D26:D28" si="14">B26*C26</f>
        <v>5.3876399999999993</v>
      </c>
      <c r="E26" s="8">
        <f t="shared" ref="E26:E28" si="15">B26</f>
        <v>1584.6</v>
      </c>
      <c r="F26" s="26">
        <v>3.3999999999999998E-3</v>
      </c>
      <c r="G26" s="5">
        <f t="shared" ref="G26:G31" si="16">E26*F26</f>
        <v>5.3876399999999993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59</v>
      </c>
      <c r="B27" s="8">
        <f>B6</f>
        <v>1584.6</v>
      </c>
      <c r="C27" s="26">
        <v>5.0000000000000001E-4</v>
      </c>
      <c r="D27" s="5">
        <f t="shared" si="14"/>
        <v>0.7923</v>
      </c>
      <c r="E27" s="8">
        <f t="shared" si="15"/>
        <v>1584.6</v>
      </c>
      <c r="F27" s="26">
        <v>5.0000000000000001E-4</v>
      </c>
      <c r="G27" s="5">
        <f t="shared" si="16"/>
        <v>0.7923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">
        <f>$B$4*0.65</f>
        <v>975</v>
      </c>
      <c r="C29" s="25">
        <v>6.5000000000000002E-2</v>
      </c>
      <c r="D29" s="5">
        <f>B29*C29</f>
        <v>63.375</v>
      </c>
      <c r="E29" s="1">
        <f>B29</f>
        <v>975</v>
      </c>
      <c r="F29" s="25">
        <f>C29</f>
        <v>6.5000000000000002E-2</v>
      </c>
      <c r="G29" s="5">
        <f t="shared" si="16"/>
        <v>63.375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">
        <f>$B$4*0.17</f>
        <v>255.00000000000003</v>
      </c>
      <c r="C30" s="25">
        <v>9.4E-2</v>
      </c>
      <c r="D30" s="5">
        <f t="shared" ref="D30:D31" si="18">B30*C30</f>
        <v>23.970000000000002</v>
      </c>
      <c r="E30" s="1">
        <f>B30</f>
        <v>255.00000000000003</v>
      </c>
      <c r="F30" s="25">
        <f t="shared" ref="F30:F31" si="19">C30</f>
        <v>9.4E-2</v>
      </c>
      <c r="G30" s="5">
        <f t="shared" si="16"/>
        <v>23.970000000000002</v>
      </c>
      <c r="H30" s="5">
        <f t="shared" si="5"/>
        <v>0</v>
      </c>
      <c r="I30" s="27">
        <f t="shared" si="17"/>
        <v>0</v>
      </c>
    </row>
    <row r="31" spans="1:9" x14ac:dyDescent="0.3">
      <c r="A31" s="2" t="s">
        <v>7</v>
      </c>
      <c r="B31" s="1">
        <f>$B$4*0.18</f>
        <v>270</v>
      </c>
      <c r="C31" s="25">
        <v>0.13200000000000001</v>
      </c>
      <c r="D31" s="5">
        <f t="shared" si="18"/>
        <v>35.64</v>
      </c>
      <c r="E31" s="1">
        <f>B31</f>
        <v>270</v>
      </c>
      <c r="F31" s="25">
        <f t="shared" si="19"/>
        <v>0.13200000000000001</v>
      </c>
      <c r="G31" s="5">
        <f t="shared" si="16"/>
        <v>35.64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61</v>
      </c>
      <c r="D33" s="6">
        <f>SUM(D25:D31)</f>
        <v>201.90959399999997</v>
      </c>
      <c r="E33" s="1"/>
      <c r="F33" s="5"/>
      <c r="G33" s="6">
        <f>SUM(G25:G31)</f>
        <v>191.61805399999997</v>
      </c>
      <c r="H33" s="6">
        <f>G33-D33</f>
        <v>-10.291539999999998</v>
      </c>
      <c r="I33" s="29">
        <f t="shared" ref="I33:I36" si="20">IF(ISERROR(H33/D33), "",H33/D33)</f>
        <v>-5.0971030133417035E-2</v>
      </c>
    </row>
    <row r="34" spans="1:9" x14ac:dyDescent="0.3">
      <c r="A34" s="2" t="s">
        <v>5</v>
      </c>
      <c r="C34" s="7">
        <v>0.13</v>
      </c>
      <c r="D34" s="5">
        <f>C34*D33</f>
        <v>26.248247219999996</v>
      </c>
      <c r="E34" s="1"/>
      <c r="F34" s="7">
        <v>0.13</v>
      </c>
      <c r="G34" s="5">
        <f>F34*G33</f>
        <v>24.910347019999996</v>
      </c>
      <c r="H34" s="5">
        <f t="shared" ref="H34:H35" si="21">G34-D34</f>
        <v>-1.3379002</v>
      </c>
      <c r="I34" s="27">
        <f t="shared" si="20"/>
        <v>-5.0971030133417042E-2</v>
      </c>
    </row>
    <row r="35" spans="1:9" x14ac:dyDescent="0.3">
      <c r="A35" s="2" t="s">
        <v>62</v>
      </c>
      <c r="C35" s="7">
        <v>-0.08</v>
      </c>
      <c r="D35" s="5">
        <f>C35*D33</f>
        <v>-16.152767519999998</v>
      </c>
      <c r="E35" s="1"/>
      <c r="F35" s="7">
        <v>-0.08</v>
      </c>
      <c r="G35" s="5">
        <f>F35*G33</f>
        <v>-15.329444319999999</v>
      </c>
      <c r="H35" s="5">
        <f t="shared" si="21"/>
        <v>0.82332319999999903</v>
      </c>
      <c r="I35" s="27">
        <f t="shared" si="20"/>
        <v>-5.0971030133416986E-2</v>
      </c>
    </row>
    <row r="36" spans="1:9" x14ac:dyDescent="0.3">
      <c r="A36" s="2" t="s">
        <v>63</v>
      </c>
      <c r="D36" s="6">
        <f>SUM(D33:D35)</f>
        <v>212.00507369999997</v>
      </c>
      <c r="E36" s="1"/>
      <c r="F36" s="5"/>
      <c r="G36" s="6">
        <f>SUM(G33:G35)</f>
        <v>201.19895669999997</v>
      </c>
      <c r="H36" s="6">
        <f>G36-D36</f>
        <v>-10.806117</v>
      </c>
      <c r="I36" s="29">
        <f t="shared" si="20"/>
        <v>-5.0971030133417049E-2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93</v>
      </c>
    </row>
    <row r="4" spans="1:9" ht="15" x14ac:dyDescent="0.25">
      <c r="A4" s="2" t="s">
        <v>66</v>
      </c>
      <c r="B4" s="31">
        <f>VLOOKUP($B$3,'Data-DO NOT PRINT'!$B$3:$AC$11,2,0)</f>
        <v>2000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68</v>
      </c>
      <c r="B6" s="31">
        <f>B4*B5</f>
        <v>2112.8000000000002</v>
      </c>
    </row>
    <row r="7" spans="1:9" ht="15" x14ac:dyDescent="0.25">
      <c r="A7" s="2"/>
      <c r="B7" s="10"/>
    </row>
    <row r="8" spans="1:9" ht="15" x14ac:dyDescent="0.25">
      <c r="B8" s="85" t="s">
        <v>39</v>
      </c>
      <c r="C8" s="85"/>
      <c r="D8" s="85"/>
      <c r="E8" s="85" t="s">
        <v>100</v>
      </c>
      <c r="F8" s="85"/>
      <c r="G8" s="85"/>
      <c r="H8" s="85" t="s">
        <v>40</v>
      </c>
      <c r="I8" s="85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49.98</v>
      </c>
      <c r="D10" s="5">
        <f t="shared" ref="D10:D13" si="0">B10*C10</f>
        <v>49.98</v>
      </c>
      <c r="E10" s="1">
        <f t="shared" ref="E10:E13" si="1">B10</f>
        <v>1</v>
      </c>
      <c r="F10" s="5">
        <f>VLOOKUP($B$3,'Data-DO NOT PRINT'!$B$3:$AC$11,18,0)</f>
        <v>49.98</v>
      </c>
      <c r="G10" s="5">
        <f t="shared" ref="G10:G13" si="2">E10*F10</f>
        <v>49.98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45</v>
      </c>
      <c r="B11" s="11">
        <f>B4</f>
        <v>2000</v>
      </c>
      <c r="C11" s="26">
        <f>VLOOKUP($B$3,'Data-DO NOT PRINT'!$B$3:$AC$11,8,0)</f>
        <v>1.5599999999999999E-2</v>
      </c>
      <c r="D11" s="5">
        <f t="shared" si="0"/>
        <v>31.2</v>
      </c>
      <c r="E11" s="11">
        <f t="shared" si="1"/>
        <v>2000</v>
      </c>
      <c r="F11" s="26">
        <f>VLOOKUP($B$3,'Data-DO NOT PRINT'!$B$3:$AC$11,19,0)</f>
        <v>1.5599999999999999E-2</v>
      </c>
      <c r="G11" s="5">
        <f t="shared" si="2"/>
        <v>31.2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-0.74</v>
      </c>
      <c r="D12" s="5">
        <f t="shared" si="0"/>
        <v>-0.74</v>
      </c>
      <c r="E12" s="1">
        <f t="shared" si="1"/>
        <v>1</v>
      </c>
      <c r="F12" s="5">
        <f>VLOOKUP($B$3,'Data-DO NOT PRINT'!$B$3:$AC$11,21,0)</f>
        <v>-0.74</v>
      </c>
      <c r="G12" s="5">
        <f t="shared" si="2"/>
        <v>-0.74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47</v>
      </c>
      <c r="B13" s="11">
        <f>B4</f>
        <v>2000</v>
      </c>
      <c r="C13" s="26">
        <f>VLOOKUP($B$3,'Data-DO NOT PRINT'!$B$3:$AC$11,11,0)</f>
        <v>-1.9999999999999998E-4</v>
      </c>
      <c r="D13" s="5">
        <f t="shared" si="0"/>
        <v>-0.39999999999999997</v>
      </c>
      <c r="E13" s="11">
        <f t="shared" si="1"/>
        <v>2000</v>
      </c>
      <c r="F13" s="26">
        <f>VLOOKUP($B$3,'Data-DO NOT PRINT'!$B$3:$AC$11,22,0)</f>
        <v>-1.9999999999999998E-4</v>
      </c>
      <c r="G13" s="5">
        <f t="shared" si="2"/>
        <v>-0.39999999999999997</v>
      </c>
      <c r="H13" s="5">
        <f t="shared" si="3"/>
        <v>0</v>
      </c>
      <c r="I13" s="27">
        <f t="shared" si="4"/>
        <v>0</v>
      </c>
    </row>
    <row r="14" spans="1:9" ht="15" x14ac:dyDescent="0.25">
      <c r="A14" s="19" t="s">
        <v>48</v>
      </c>
      <c r="B14" s="17"/>
      <c r="C14" s="22"/>
      <c r="D14" s="18">
        <f>SUM(D10:D13)</f>
        <v>80.039999999999992</v>
      </c>
      <c r="E14" s="16"/>
      <c r="F14" s="18"/>
      <c r="G14" s="18">
        <f>SUM(G10:G13)</f>
        <v>80.039999999999992</v>
      </c>
      <c r="H14" s="18">
        <f>G14-D14</f>
        <v>0</v>
      </c>
      <c r="I14" s="28">
        <f>H14/D14</f>
        <v>0</v>
      </c>
    </row>
    <row r="15" spans="1:9" ht="15" x14ac:dyDescent="0.25">
      <c r="A15" s="2" t="s">
        <v>49</v>
      </c>
      <c r="B15" s="11">
        <f>B6-B4</f>
        <v>112.80000000000018</v>
      </c>
      <c r="C15" s="25">
        <f>IF(ISNUMBER(SEARCH("_RPP",$B$3)),((0.65*C29)+(0.17*C30)+(0.18*C31)),0.1101)</f>
        <v>8.1990000000000007E-2</v>
      </c>
      <c r="D15" s="5">
        <f>B15*C15</f>
        <v>9.2484720000000156</v>
      </c>
      <c r="E15" s="11">
        <f>B15</f>
        <v>112.80000000000018</v>
      </c>
      <c r="F15" s="25">
        <f>C15</f>
        <v>8.1990000000000007E-2</v>
      </c>
      <c r="G15" s="5">
        <f>E15*F15</f>
        <v>9.2484720000000156</v>
      </c>
      <c r="H15" s="5">
        <f t="shared" ref="H15:H31" si="5">G15-D15</f>
        <v>0</v>
      </c>
      <c r="I15" s="27">
        <f t="shared" ref="I15:I21" si="6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si="5"/>
        <v>0</v>
      </c>
      <c r="I16" s="27" t="str">
        <f t="shared" si="6"/>
        <v/>
      </c>
    </row>
    <row r="17" spans="1:9" ht="15" x14ac:dyDescent="0.25">
      <c r="A17" s="2" t="s">
        <v>99</v>
      </c>
      <c r="B17" s="11">
        <f>B4</f>
        <v>2000</v>
      </c>
      <c r="C17" s="26">
        <f>VLOOKUP($B$3,'Data-DO NOT PRINT'!$B$3:$AC$11,13,0)</f>
        <v>4.1999999999999997E-3</v>
      </c>
      <c r="D17" s="5">
        <f>B17*C17</f>
        <v>8.4</v>
      </c>
      <c r="E17" s="11">
        <f>B17</f>
        <v>2000</v>
      </c>
      <c r="F17" s="26">
        <f>VLOOKUP($B$3,'Data-DO NOT PRINT'!$B$3:$AC$11,24,0)</f>
        <v>0</v>
      </c>
      <c r="G17" s="5">
        <f>E17*F17</f>
        <v>0</v>
      </c>
      <c r="H17" s="5">
        <f t="shared" si="5"/>
        <v>-8.4</v>
      </c>
      <c r="I17" s="27">
        <f t="shared" si="6"/>
        <v>-1</v>
      </c>
    </row>
    <row r="18" spans="1:9" ht="15" x14ac:dyDescent="0.25">
      <c r="A18" s="4" t="s">
        <v>50</v>
      </c>
      <c r="B18" s="11">
        <f>B4</f>
        <v>2000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2000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51</v>
      </c>
      <c r="B19" s="11">
        <f>B4</f>
        <v>2000</v>
      </c>
      <c r="C19" s="26">
        <f>VLOOKUP($B$3,'Data-DO NOT PRINT'!$B$3:$AC$11,15,0)</f>
        <v>0</v>
      </c>
      <c r="D19" s="5">
        <f t="shared" si="7"/>
        <v>0</v>
      </c>
      <c r="E19" s="11">
        <f>B19</f>
        <v>2000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0</v>
      </c>
      <c r="I19" s="27" t="str">
        <f t="shared" si="6"/>
        <v/>
      </c>
    </row>
    <row r="20" spans="1:9" ht="15" x14ac:dyDescent="0.25">
      <c r="A20" s="4" t="s">
        <v>52</v>
      </c>
      <c r="B20" s="11">
        <f>B4</f>
        <v>2000</v>
      </c>
      <c r="C20" s="26">
        <f>VLOOKUP($B$3,'Data-DO NOT PRINT'!$B$3:$AC$11,9,0)</f>
        <v>8.0000000000000004E-4</v>
      </c>
      <c r="D20" s="5">
        <f t="shared" si="7"/>
        <v>1.6</v>
      </c>
      <c r="E20" s="11">
        <f>B20</f>
        <v>2000</v>
      </c>
      <c r="F20" s="26">
        <f>VLOOKUP($B$3,'Data-DO NOT PRINT'!$B$3:$AC$11,20,0)</f>
        <v>8.0000000000000004E-4</v>
      </c>
      <c r="G20" s="5">
        <f t="shared" si="9"/>
        <v>1.6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53</v>
      </c>
      <c r="B21" s="1">
        <v>1</v>
      </c>
      <c r="C21" s="5">
        <f>VLOOKUP($B$3,'Data-DO NOT PRINT'!$B$3:$AC$11,6,0)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7">
        <f t="shared" si="6"/>
        <v>0</v>
      </c>
    </row>
    <row r="22" spans="1:9" ht="15" x14ac:dyDescent="0.25">
      <c r="A22" s="19" t="s">
        <v>54</v>
      </c>
      <c r="B22" s="17"/>
      <c r="C22" s="22"/>
      <c r="D22" s="18">
        <f>SUM(D14:D21)</f>
        <v>99.858472000000006</v>
      </c>
      <c r="E22" s="17"/>
      <c r="F22" s="22"/>
      <c r="G22" s="18">
        <f>SUM(G14:G21)</f>
        <v>91.458472</v>
      </c>
      <c r="H22" s="18">
        <f>G22-D22</f>
        <v>-8.4000000000000057</v>
      </c>
      <c r="I22" s="28">
        <f>H22/D22</f>
        <v>-8.4119052011931497E-2</v>
      </c>
    </row>
    <row r="23" spans="1:9" ht="15" x14ac:dyDescent="0.25">
      <c r="A23" s="2" t="s">
        <v>55</v>
      </c>
      <c r="B23" s="11">
        <f>B6</f>
        <v>2112.8000000000002</v>
      </c>
      <c r="C23" s="26">
        <f>VLOOKUP($B$3,'Data-DO NOT PRINT'!$B$3:$AC$11,16,0)</f>
        <v>6.1999999999999998E-3</v>
      </c>
      <c r="D23" s="5">
        <f t="shared" ref="D23:D24" si="10">B23*C23</f>
        <v>13.099360000000001</v>
      </c>
      <c r="E23" s="11">
        <f t="shared" ref="E23:E24" si="11">B23</f>
        <v>2112.8000000000002</v>
      </c>
      <c r="F23" s="26">
        <f>VLOOKUP($B$3,'Data-DO NOT PRINT'!$B$3:$AC$11,27,0)</f>
        <v>6.3E-3</v>
      </c>
      <c r="G23" s="5">
        <f t="shared" ref="G23:G24" si="12">E23*F23</f>
        <v>13.310640000000001</v>
      </c>
      <c r="H23" s="5">
        <f t="shared" si="5"/>
        <v>0.21128000000000036</v>
      </c>
      <c r="I23" s="27">
        <f t="shared" ref="I23:I24" si="13">IF(ISERROR(H23/D23), "",H23/D23)</f>
        <v>1.6129032258064543E-2</v>
      </c>
    </row>
    <row r="24" spans="1:9" ht="15" x14ac:dyDescent="0.25">
      <c r="A24" s="2" t="s">
        <v>56</v>
      </c>
      <c r="B24" s="11">
        <f>B6</f>
        <v>2112.8000000000002</v>
      </c>
      <c r="C24" s="26">
        <f>VLOOKUP($B$3,'Data-DO NOT PRINT'!$B$3:$AC$11,17,0)</f>
        <v>3.3E-3</v>
      </c>
      <c r="D24" s="5">
        <f t="shared" si="10"/>
        <v>6.9722400000000002</v>
      </c>
      <c r="E24" s="11">
        <f t="shared" si="11"/>
        <v>2112.8000000000002</v>
      </c>
      <c r="F24" s="26">
        <f>VLOOKUP($B$3,'Data-DO NOT PRINT'!$B$3:$AC$11,28,0)</f>
        <v>3.3E-3</v>
      </c>
      <c r="G24" s="5">
        <f t="shared" si="12"/>
        <v>6.9722400000000002</v>
      </c>
      <c r="H24" s="5">
        <f t="shared" si="5"/>
        <v>0</v>
      </c>
      <c r="I24" s="27">
        <f t="shared" si="13"/>
        <v>0</v>
      </c>
    </row>
    <row r="25" spans="1:9" ht="15" x14ac:dyDescent="0.25">
      <c r="A25" s="19" t="s">
        <v>57</v>
      </c>
      <c r="B25" s="17"/>
      <c r="C25" s="22"/>
      <c r="D25" s="18">
        <f>SUM(D22:D24)</f>
        <v>119.93007200000001</v>
      </c>
      <c r="E25" s="32"/>
      <c r="F25" s="22"/>
      <c r="G25" s="18">
        <f>SUM(G22:G24)</f>
        <v>111.74135200000001</v>
      </c>
      <c r="H25" s="18">
        <f>G25-D25</f>
        <v>-8.1887200000000036</v>
      </c>
      <c r="I25" s="28">
        <f>H25/D25</f>
        <v>-6.8279121853608182E-2</v>
      </c>
    </row>
    <row r="26" spans="1:9" ht="15" x14ac:dyDescent="0.25">
      <c r="A26" s="2" t="s">
        <v>58</v>
      </c>
      <c r="B26" s="11">
        <f>B6</f>
        <v>2112.8000000000002</v>
      </c>
      <c r="C26" s="26">
        <v>3.3999999999999998E-3</v>
      </c>
      <c r="D26" s="5">
        <f t="shared" ref="D26:D28" si="14">B26*C26</f>
        <v>7.1835200000000006</v>
      </c>
      <c r="E26" s="11">
        <f t="shared" ref="E26:E28" si="15">B26</f>
        <v>2112.8000000000002</v>
      </c>
      <c r="F26" s="26">
        <v>3.3999999999999998E-3</v>
      </c>
      <c r="G26" s="5">
        <f t="shared" ref="G26:G31" si="16">E26*F26</f>
        <v>7.1835200000000006</v>
      </c>
      <c r="H26" s="5">
        <f t="shared" si="5"/>
        <v>0</v>
      </c>
      <c r="I26" s="27">
        <f t="shared" ref="I26:I31" si="17">IF(ISERROR(H26/D26), "",H26/D26)</f>
        <v>0</v>
      </c>
    </row>
    <row r="27" spans="1:9" ht="15" x14ac:dyDescent="0.25">
      <c r="A27" s="2" t="s">
        <v>59</v>
      </c>
      <c r="B27" s="11">
        <f>B6</f>
        <v>2112.8000000000002</v>
      </c>
      <c r="C27" s="26">
        <v>5.0000000000000001E-4</v>
      </c>
      <c r="D27" s="5">
        <f t="shared" si="14"/>
        <v>1.0564</v>
      </c>
      <c r="E27" s="11">
        <f t="shared" si="15"/>
        <v>2112.8000000000002</v>
      </c>
      <c r="F27" s="26">
        <v>5.0000000000000001E-4</v>
      </c>
      <c r="G27" s="5">
        <f t="shared" si="16"/>
        <v>1.0564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9</v>
      </c>
      <c r="B29" s="11">
        <f>$B$4*0.65</f>
        <v>1300</v>
      </c>
      <c r="C29" s="25">
        <v>6.5000000000000002E-2</v>
      </c>
      <c r="D29" s="5">
        <f>B29*C29</f>
        <v>84.5</v>
      </c>
      <c r="E29" s="11">
        <f>B29</f>
        <v>1300</v>
      </c>
      <c r="F29" s="25">
        <f>C29</f>
        <v>6.5000000000000002E-2</v>
      </c>
      <c r="G29" s="5">
        <f t="shared" si="16"/>
        <v>84.5</v>
      </c>
      <c r="H29" s="5">
        <f t="shared" si="5"/>
        <v>0</v>
      </c>
      <c r="I29" s="27">
        <f t="shared" si="17"/>
        <v>0</v>
      </c>
    </row>
    <row r="30" spans="1:9" ht="15" x14ac:dyDescent="0.25">
      <c r="A30" s="2" t="s">
        <v>8</v>
      </c>
      <c r="B30" s="11">
        <f>$B$4*0.17</f>
        <v>340</v>
      </c>
      <c r="C30" s="25">
        <v>9.4E-2</v>
      </c>
      <c r="D30" s="5">
        <f t="shared" ref="D30:D31" si="18">B30*C30</f>
        <v>31.96</v>
      </c>
      <c r="E30" s="11">
        <f>B30</f>
        <v>340</v>
      </c>
      <c r="F30" s="25">
        <f t="shared" ref="F30:F31" si="19">C30</f>
        <v>9.4E-2</v>
      </c>
      <c r="G30" s="5">
        <f t="shared" si="16"/>
        <v>31.96</v>
      </c>
      <c r="H30" s="5">
        <f t="shared" si="5"/>
        <v>0</v>
      </c>
      <c r="I30" s="27">
        <f t="shared" si="17"/>
        <v>0</v>
      </c>
    </row>
    <row r="31" spans="1:9" x14ac:dyDescent="0.3">
      <c r="A31" s="2" t="s">
        <v>7</v>
      </c>
      <c r="B31" s="11">
        <f>$B$4*0.18</f>
        <v>360</v>
      </c>
      <c r="C31" s="25">
        <v>0.13200000000000001</v>
      </c>
      <c r="D31" s="5">
        <f t="shared" si="18"/>
        <v>47.52</v>
      </c>
      <c r="E31" s="11">
        <f>B31</f>
        <v>360</v>
      </c>
      <c r="F31" s="25">
        <f t="shared" si="19"/>
        <v>0.13200000000000001</v>
      </c>
      <c r="G31" s="5">
        <f t="shared" si="16"/>
        <v>47.52</v>
      </c>
      <c r="H31" s="5">
        <f t="shared" si="5"/>
        <v>0</v>
      </c>
      <c r="I31" s="27">
        <f t="shared" si="17"/>
        <v>0</v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61</v>
      </c>
      <c r="D33" s="6">
        <f>SUM(D25:D31)</f>
        <v>292.399992</v>
      </c>
      <c r="E33" s="1"/>
      <c r="F33" s="5"/>
      <c r="G33" s="6">
        <f>SUM(G25:G31)</f>
        <v>284.21127200000001</v>
      </c>
      <c r="H33" s="6">
        <f>G33-D33</f>
        <v>-8.1887199999999893</v>
      </c>
      <c r="I33" s="29">
        <f t="shared" ref="I33:I36" si="20">IF(ISERROR(H33/D33), "",H33/D33)</f>
        <v>-2.8005199124629215E-2</v>
      </c>
    </row>
    <row r="34" spans="1:9" x14ac:dyDescent="0.3">
      <c r="A34" s="2" t="s">
        <v>5</v>
      </c>
      <c r="C34" s="7">
        <v>0.13</v>
      </c>
      <c r="D34" s="5">
        <f>C34*D33</f>
        <v>38.01199896</v>
      </c>
      <c r="E34" s="1"/>
      <c r="F34" s="7">
        <v>0.13</v>
      </c>
      <c r="G34" s="5">
        <f>F34*G33</f>
        <v>36.947465360000002</v>
      </c>
      <c r="H34" s="5">
        <f t="shared" ref="H34:H35" si="21">G34-D34</f>
        <v>-1.0645335999999972</v>
      </c>
      <c r="I34" s="27">
        <f t="shared" si="20"/>
        <v>-2.8005199124629176E-2</v>
      </c>
    </row>
    <row r="35" spans="1:9" x14ac:dyDescent="0.3">
      <c r="A35" s="2" t="s">
        <v>62</v>
      </c>
      <c r="C35" s="7">
        <v>-0.08</v>
      </c>
      <c r="D35" s="5">
        <f>C35*D33</f>
        <v>-23.39199936</v>
      </c>
      <c r="E35" s="1"/>
      <c r="F35" s="7">
        <v>-0.08</v>
      </c>
      <c r="G35" s="5">
        <f>F35*G33</f>
        <v>-22.736901760000002</v>
      </c>
      <c r="H35" s="5">
        <f t="shared" si="21"/>
        <v>0.65509759999999773</v>
      </c>
      <c r="I35" s="27">
        <f t="shared" si="20"/>
        <v>-2.8005199124629156E-2</v>
      </c>
    </row>
    <row r="36" spans="1:9" x14ac:dyDescent="0.3">
      <c r="A36" s="2" t="s">
        <v>63</v>
      </c>
      <c r="D36" s="6">
        <f>SUM(D33:D35)</f>
        <v>307.01999160000003</v>
      </c>
      <c r="E36" s="1"/>
      <c r="F36" s="5"/>
      <c r="G36" s="6">
        <f>SUM(G33:G35)</f>
        <v>298.42183560000001</v>
      </c>
      <c r="H36" s="6">
        <f>G36-D36</f>
        <v>-8.5981560000000172</v>
      </c>
      <c r="I36" s="29">
        <f t="shared" si="20"/>
        <v>-2.8005199124629305E-2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95</v>
      </c>
    </row>
    <row r="4" spans="1:9" ht="15" x14ac:dyDescent="0.25">
      <c r="A4" s="2" t="s">
        <v>66</v>
      </c>
      <c r="B4" s="31">
        <f>VLOOKUP($B$3,'Data-DO NOT PRINT'!$B$3:$AC$11,2,0)</f>
        <v>47246</v>
      </c>
    </row>
    <row r="5" spans="1:9" ht="15" x14ac:dyDescent="0.25">
      <c r="A5" s="2" t="s">
        <v>65</v>
      </c>
      <c r="B5" s="10">
        <f>VLOOKUP($B$3,'Data-DO NOT PRINT'!$B$3:$AC$11,3)</f>
        <v>100</v>
      </c>
    </row>
    <row r="6" spans="1:9" ht="15" x14ac:dyDescent="0.25">
      <c r="A6" s="2" t="s">
        <v>4</v>
      </c>
      <c r="B6" s="10">
        <f>VLOOKUP(B3,'Data-DO NOT PRINT'!B3:Y11,5,0)</f>
        <v>1.0564</v>
      </c>
    </row>
    <row r="7" spans="1:9" ht="15" x14ac:dyDescent="0.25">
      <c r="A7" s="2" t="s">
        <v>28</v>
      </c>
      <c r="B7" s="31">
        <f>B4*B6</f>
        <v>49910.674400000004</v>
      </c>
    </row>
    <row r="8" spans="1:9" ht="15" x14ac:dyDescent="0.25">
      <c r="A8" s="2"/>
      <c r="B8" s="10"/>
    </row>
    <row r="9" spans="1:9" ht="15" x14ac:dyDescent="0.25">
      <c r="B9" s="85" t="s">
        <v>39</v>
      </c>
      <c r="C9" s="85"/>
      <c r="D9" s="85"/>
      <c r="E9" s="85" t="s">
        <v>100</v>
      </c>
      <c r="F9" s="85"/>
      <c r="G9" s="85"/>
      <c r="H9" s="85" t="s">
        <v>40</v>
      </c>
      <c r="I9" s="85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41</v>
      </c>
      <c r="I10" s="29" t="s">
        <v>42</v>
      </c>
    </row>
    <row r="11" spans="1:9" ht="15" x14ac:dyDescent="0.25">
      <c r="A11" s="2" t="s">
        <v>44</v>
      </c>
      <c r="B11" s="1">
        <v>1</v>
      </c>
      <c r="C11" s="5">
        <f>VLOOKUP($B$3,'Data-DO NOT PRINT'!$B$3:$AC$11,7,0)</f>
        <v>245.55</v>
      </c>
      <c r="D11" s="5">
        <f t="shared" ref="D11:D14" si="0">B11*C11</f>
        <v>245.55</v>
      </c>
      <c r="E11" s="1">
        <f t="shared" ref="E11:E14" si="1">B11</f>
        <v>1</v>
      </c>
      <c r="F11" s="5">
        <f>VLOOKUP($B$3,'Data-DO NOT PRINT'!$B$3:$AC$11,18,0)</f>
        <v>245.55</v>
      </c>
      <c r="G11" s="5">
        <f t="shared" ref="G11:G14" si="2">E11*F11</f>
        <v>245.55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45</v>
      </c>
      <c r="B12" s="11">
        <f>B5</f>
        <v>100</v>
      </c>
      <c r="C12" s="26">
        <f>VLOOKUP($B$3,'Data-DO NOT PRINT'!$B$3:$AC$11,8,0)</f>
        <v>3.9601999999999999</v>
      </c>
      <c r="D12" s="5">
        <f t="shared" si="0"/>
        <v>396.02</v>
      </c>
      <c r="E12" s="11">
        <f t="shared" si="1"/>
        <v>100</v>
      </c>
      <c r="F12" s="26">
        <f>VLOOKUP($B$3,'Data-DO NOT PRINT'!$B$3:$AC$11,19,0)</f>
        <v>3.9601999999999999</v>
      </c>
      <c r="G12" s="5">
        <f t="shared" si="2"/>
        <v>396.02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46</v>
      </c>
      <c r="B13" s="1">
        <v>1</v>
      </c>
      <c r="C13" s="5">
        <f>VLOOKUP($B$3,'Data-DO NOT PRINT'!$B$3:$AC$11,10,0)</f>
        <v>-3.61</v>
      </c>
      <c r="D13" s="5">
        <f t="shared" si="0"/>
        <v>-3.61</v>
      </c>
      <c r="E13" s="1">
        <f t="shared" si="1"/>
        <v>1</v>
      </c>
      <c r="F13" s="5">
        <f>VLOOKUP($B$3,'Data-DO NOT PRINT'!$B$3:$AC$11,21,0)</f>
        <v>-3.61</v>
      </c>
      <c r="G13" s="5">
        <f t="shared" si="2"/>
        <v>-3.61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47</v>
      </c>
      <c r="B14" s="11">
        <f>B5</f>
        <v>100</v>
      </c>
      <c r="C14" s="26">
        <f>VLOOKUP($B$3,'Data-DO NOT PRINT'!$B$3:$AC$11,11,0)</f>
        <v>-4.02E-2</v>
      </c>
      <c r="D14" s="5">
        <f t="shared" si="0"/>
        <v>-4.0199999999999996</v>
      </c>
      <c r="E14" s="11">
        <f t="shared" si="1"/>
        <v>100</v>
      </c>
      <c r="F14" s="26">
        <f>VLOOKUP($B$3,'Data-DO NOT PRINT'!$B$3:$AC$11,22,0)</f>
        <v>-4.02E-2</v>
      </c>
      <c r="G14" s="5">
        <f t="shared" si="2"/>
        <v>-4.0199999999999996</v>
      </c>
      <c r="H14" s="5">
        <f t="shared" si="3"/>
        <v>0</v>
      </c>
      <c r="I14" s="27">
        <f t="shared" si="4"/>
        <v>0</v>
      </c>
    </row>
    <row r="15" spans="1:9" ht="15" x14ac:dyDescent="0.25">
      <c r="A15" s="19" t="s">
        <v>48</v>
      </c>
      <c r="B15" s="17"/>
      <c r="C15" s="22"/>
      <c r="D15" s="18">
        <f>SUM(D11:D14)</f>
        <v>633.93999999999994</v>
      </c>
      <c r="E15" s="16"/>
      <c r="F15" s="18"/>
      <c r="G15" s="18">
        <f>SUM(G11:G14)</f>
        <v>633.93999999999994</v>
      </c>
      <c r="H15" s="18">
        <f>G15-D15</f>
        <v>0</v>
      </c>
      <c r="I15" s="28">
        <f>H15/D15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29" si="5">G16-D16</f>
        <v>0</v>
      </c>
      <c r="I16" s="27" t="str">
        <f t="shared" ref="I16:I21" si="6">IF(ISERROR(H16/D16), "",H16/D16)</f>
        <v/>
      </c>
    </row>
    <row r="17" spans="1:9" ht="15" x14ac:dyDescent="0.25">
      <c r="A17" s="2" t="s">
        <v>99</v>
      </c>
      <c r="B17" s="11">
        <f>B5</f>
        <v>100</v>
      </c>
      <c r="C17" s="26">
        <f>VLOOKUP($B$3,'Data-DO NOT PRINT'!$B$3:$AC$11,13,0)</f>
        <v>1.6091</v>
      </c>
      <c r="D17" s="5">
        <f>B17*C17</f>
        <v>160.91</v>
      </c>
      <c r="E17" s="11">
        <f>B17</f>
        <v>100</v>
      </c>
      <c r="F17" s="26">
        <f>VLOOKUP($B$3,'Data-DO NOT PRINT'!$B$3:$AC$11,24,0)</f>
        <v>0</v>
      </c>
      <c r="G17" s="5">
        <f>E17*F17</f>
        <v>0</v>
      </c>
      <c r="H17" s="5">
        <f t="shared" si="5"/>
        <v>-160.91</v>
      </c>
      <c r="I17" s="27">
        <f t="shared" si="6"/>
        <v>-1</v>
      </c>
    </row>
    <row r="18" spans="1:9" ht="15" x14ac:dyDescent="0.25">
      <c r="A18" s="4" t="s">
        <v>50</v>
      </c>
      <c r="B18" s="11">
        <f>B5</f>
        <v>100</v>
      </c>
      <c r="C18" s="26">
        <f>VLOOKUP($B$3,'Data-DO NOT PRINT'!$B$3:$AC$11,14,0)</f>
        <v>0</v>
      </c>
      <c r="D18" s="5">
        <f t="shared" ref="D18:D21" si="7">B18*C18</f>
        <v>0</v>
      </c>
      <c r="E18" s="11">
        <f t="shared" ref="E18:E21" si="8">B18</f>
        <v>100</v>
      </c>
      <c r="F18" s="26">
        <f>VLOOKUP($B$3,'Data-DO NOT PRINT'!$B$3:$AC$11,25,0)</f>
        <v>0</v>
      </c>
      <c r="G18" s="5">
        <f t="shared" ref="G18:G21" si="9">E18*F18</f>
        <v>0</v>
      </c>
      <c r="H18" s="5">
        <f t="shared" si="5"/>
        <v>0</v>
      </c>
      <c r="I18" s="27" t="str">
        <f t="shared" si="6"/>
        <v/>
      </c>
    </row>
    <row r="19" spans="1:9" ht="15" x14ac:dyDescent="0.25">
      <c r="A19" s="4" t="s">
        <v>51</v>
      </c>
      <c r="B19" s="11">
        <f>B4</f>
        <v>47246</v>
      </c>
      <c r="C19" s="26">
        <f>VLOOKUP($B$3,'Data-DO NOT PRINT'!$B$3:$AC$11,15,0)</f>
        <v>-7.4000000000000003E-3</v>
      </c>
      <c r="D19" s="5">
        <f t="shared" si="7"/>
        <v>-349.62040000000002</v>
      </c>
      <c r="E19" s="11">
        <f>B19</f>
        <v>47246</v>
      </c>
      <c r="F19" s="26">
        <f>VLOOKUP($B$3,'Data-DO NOT PRINT'!$B$3:$AC$11,26,0)</f>
        <v>0</v>
      </c>
      <c r="G19" s="5">
        <f t="shared" si="9"/>
        <v>0</v>
      </c>
      <c r="H19" s="5">
        <f t="shared" si="5"/>
        <v>349.62040000000002</v>
      </c>
      <c r="I19" s="27">
        <f t="shared" si="6"/>
        <v>-1</v>
      </c>
    </row>
    <row r="20" spans="1:9" ht="15" x14ac:dyDescent="0.25">
      <c r="A20" s="4" t="s">
        <v>52</v>
      </c>
      <c r="B20" s="11">
        <f>B5</f>
        <v>100</v>
      </c>
      <c r="C20" s="26">
        <f>VLOOKUP($B$3,'Data-DO NOT PRINT'!$B$3:$AC$11,9,0)</f>
        <v>0.30499999999999999</v>
      </c>
      <c r="D20" s="5">
        <f t="shared" si="7"/>
        <v>30.5</v>
      </c>
      <c r="E20" s="11">
        <f>B20</f>
        <v>100</v>
      </c>
      <c r="F20" s="26">
        <f>VLOOKUP($B$3,'Data-DO NOT PRINT'!$B$3:$AC$11,20,0)</f>
        <v>0.30499999999999999</v>
      </c>
      <c r="G20" s="5">
        <f t="shared" si="9"/>
        <v>30.5</v>
      </c>
      <c r="H20" s="5">
        <f t="shared" si="5"/>
        <v>0</v>
      </c>
      <c r="I20" s="27">
        <f t="shared" si="6"/>
        <v>0</v>
      </c>
    </row>
    <row r="21" spans="1:9" ht="15" x14ac:dyDescent="0.25">
      <c r="A21" s="2" t="s">
        <v>53</v>
      </c>
      <c r="B21" s="1">
        <v>1</v>
      </c>
      <c r="C21" s="5">
        <f>VLOOKUP($B$3,'Data-DO NOT PRINT'!$B$3:$AC$11,6,0)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7" t="str">
        <f t="shared" si="6"/>
        <v/>
      </c>
    </row>
    <row r="22" spans="1:9" ht="15" x14ac:dyDescent="0.25">
      <c r="A22" s="19" t="s">
        <v>54</v>
      </c>
      <c r="B22" s="17"/>
      <c r="C22" s="22"/>
      <c r="D22" s="18">
        <f>SUM(D15:D21)</f>
        <v>475.72959999999989</v>
      </c>
      <c r="E22" s="17"/>
      <c r="F22" s="22"/>
      <c r="G22" s="18">
        <f>SUM(G15:G21)</f>
        <v>664.43999999999994</v>
      </c>
      <c r="H22" s="18">
        <f>G22-D22</f>
        <v>188.71040000000005</v>
      </c>
      <c r="I22" s="28">
        <f>H22/D22</f>
        <v>0.39667575866626775</v>
      </c>
    </row>
    <row r="23" spans="1:9" ht="15" x14ac:dyDescent="0.25">
      <c r="A23" s="2" t="s">
        <v>55</v>
      </c>
      <c r="B23" s="11">
        <f>B5</f>
        <v>100</v>
      </c>
      <c r="C23" s="26">
        <f>VLOOKUP($B$3,'Data-DO NOT PRINT'!$B$3:$AC$11,16,0)</f>
        <v>2.4984000000000002</v>
      </c>
      <c r="D23" s="5">
        <f t="shared" ref="D23:D24" si="10">B23*C23</f>
        <v>249.84000000000003</v>
      </c>
      <c r="E23" s="11">
        <f t="shared" ref="E23:E24" si="11">B23</f>
        <v>100</v>
      </c>
      <c r="F23" s="26">
        <f>VLOOKUP($B$3,'Data-DO NOT PRINT'!$B$3:$AC$11,27,0)</f>
        <v>2.5445000000000002</v>
      </c>
      <c r="G23" s="5">
        <f t="shared" ref="G23:G24" si="12">E23*F23</f>
        <v>254.45000000000002</v>
      </c>
      <c r="H23" s="5">
        <f t="shared" si="5"/>
        <v>4.6099999999999852</v>
      </c>
      <c r="I23" s="27">
        <f t="shared" ref="I23:I24" si="13">IF(ISERROR(H23/D23), "",H23/D23)</f>
        <v>1.845180915786097E-2</v>
      </c>
    </row>
    <row r="24" spans="1:9" ht="15" x14ac:dyDescent="0.25">
      <c r="A24" s="2" t="s">
        <v>56</v>
      </c>
      <c r="B24" s="11">
        <f>B5</f>
        <v>100</v>
      </c>
      <c r="C24" s="26">
        <f>VLOOKUP($B$3,'Data-DO NOT PRINT'!$B$3:$AC$11,17,0)</f>
        <v>1.3177000000000001</v>
      </c>
      <c r="D24" s="5">
        <f t="shared" si="10"/>
        <v>131.77000000000001</v>
      </c>
      <c r="E24" s="11">
        <f t="shared" si="11"/>
        <v>100</v>
      </c>
      <c r="F24" s="26">
        <f>VLOOKUP($B$3,'Data-DO NOT PRINT'!$B$3:$AC$11,28,0)</f>
        <v>1.304</v>
      </c>
      <c r="G24" s="5">
        <f t="shared" si="12"/>
        <v>130.4</v>
      </c>
      <c r="H24" s="5">
        <f t="shared" si="5"/>
        <v>-1.3700000000000045</v>
      </c>
      <c r="I24" s="27">
        <f t="shared" si="13"/>
        <v>-1.0396903695833683E-2</v>
      </c>
    </row>
    <row r="25" spans="1:9" ht="15" x14ac:dyDescent="0.25">
      <c r="A25" s="19" t="s">
        <v>57</v>
      </c>
      <c r="B25" s="17"/>
      <c r="C25" s="22"/>
      <c r="D25" s="18">
        <f>SUM(D22:D24)</f>
        <v>857.3395999999999</v>
      </c>
      <c r="E25" s="17"/>
      <c r="F25" s="22"/>
      <c r="G25" s="18">
        <f>SUM(G22:G24)</f>
        <v>1049.29</v>
      </c>
      <c r="H25" s="18">
        <f>G25-D25</f>
        <v>191.95040000000006</v>
      </c>
      <c r="I25" s="28">
        <f>H25/D25</f>
        <v>0.22389074294480282</v>
      </c>
    </row>
    <row r="26" spans="1:9" ht="15" x14ac:dyDescent="0.25">
      <c r="A26" s="2" t="s">
        <v>58</v>
      </c>
      <c r="B26" s="11">
        <f>B7</f>
        <v>49910.674400000004</v>
      </c>
      <c r="C26" s="26">
        <v>3.3999999999999998E-3</v>
      </c>
      <c r="D26" s="5">
        <f t="shared" ref="D26:D28" si="14">B26*C26</f>
        <v>169.69629295999999</v>
      </c>
      <c r="E26" s="11">
        <f t="shared" ref="E26:E28" si="15">B26</f>
        <v>49910.674400000004</v>
      </c>
      <c r="F26" s="26">
        <v>3.3999999999999998E-3</v>
      </c>
      <c r="G26" s="5">
        <f t="shared" ref="G26:G29" si="16">E26*F26</f>
        <v>169.69629295999999</v>
      </c>
      <c r="H26" s="5">
        <f t="shared" si="5"/>
        <v>0</v>
      </c>
      <c r="I26" s="27">
        <f t="shared" ref="I26:I29" si="17">IF(ISERROR(H26/D26), "",H26/D26)</f>
        <v>0</v>
      </c>
    </row>
    <row r="27" spans="1:9" ht="15" x14ac:dyDescent="0.25">
      <c r="A27" s="2" t="s">
        <v>59</v>
      </c>
      <c r="B27" s="11">
        <f>B7</f>
        <v>49910.674400000004</v>
      </c>
      <c r="C27" s="26">
        <v>5.0000000000000001E-4</v>
      </c>
      <c r="D27" s="5">
        <f t="shared" si="14"/>
        <v>24.955337200000002</v>
      </c>
      <c r="E27" s="11">
        <f t="shared" si="15"/>
        <v>49910.674400000004</v>
      </c>
      <c r="F27" s="26">
        <v>5.0000000000000001E-4</v>
      </c>
      <c r="G27" s="5">
        <f t="shared" si="16"/>
        <v>24.955337200000002</v>
      </c>
      <c r="H27" s="5">
        <f t="shared" si="5"/>
        <v>0</v>
      </c>
      <c r="I27" s="27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7">
        <f t="shared" si="17"/>
        <v>0</v>
      </c>
    </row>
    <row r="29" spans="1:9" ht="15" x14ac:dyDescent="0.25">
      <c r="A29" s="2" t="s">
        <v>67</v>
      </c>
      <c r="B29" s="11">
        <f>B7</f>
        <v>49910.674400000004</v>
      </c>
      <c r="C29" s="26">
        <v>0.1101</v>
      </c>
      <c r="D29" s="5">
        <f>B29*C29</f>
        <v>5495.1652514400002</v>
      </c>
      <c r="E29" s="11">
        <f>B29</f>
        <v>49910.674400000004</v>
      </c>
      <c r="F29" s="26">
        <f>C29</f>
        <v>0.1101</v>
      </c>
      <c r="G29" s="5">
        <f t="shared" si="16"/>
        <v>5495.1652514400002</v>
      </c>
      <c r="H29" s="5">
        <f t="shared" si="5"/>
        <v>0</v>
      </c>
      <c r="I29" s="27">
        <f t="shared" si="17"/>
        <v>0</v>
      </c>
    </row>
    <row r="30" spans="1:9" ht="15" x14ac:dyDescent="0.25">
      <c r="A30" s="20"/>
      <c r="B30" s="14"/>
      <c r="C30" s="21"/>
      <c r="D30" s="21"/>
      <c r="E30" s="14"/>
      <c r="F30" s="21"/>
      <c r="G30" s="21"/>
      <c r="H30" s="21"/>
      <c r="I30" s="30"/>
    </row>
    <row r="31" spans="1:9" x14ac:dyDescent="0.3">
      <c r="A31" s="2" t="s">
        <v>61</v>
      </c>
      <c r="D31" s="6">
        <f>SUM(D25:D29)</f>
        <v>6547.4064816</v>
      </c>
      <c r="E31" s="1"/>
      <c r="F31" s="5"/>
      <c r="G31" s="6">
        <f>SUM(G25:G29)</f>
        <v>6739.3568816000006</v>
      </c>
      <c r="H31" s="6">
        <f>G31-D31</f>
        <v>191.95040000000063</v>
      </c>
      <c r="I31" s="29">
        <f t="shared" ref="I31:I33" si="18">IF(ISERROR(H31/D31), "",H31/D31)</f>
        <v>2.9317012856836317E-2</v>
      </c>
    </row>
    <row r="32" spans="1:9" x14ac:dyDescent="0.3">
      <c r="A32" s="2" t="s">
        <v>5</v>
      </c>
      <c r="C32" s="7">
        <v>0.13</v>
      </c>
      <c r="D32" s="5">
        <f>C32*D31</f>
        <v>851.16284260800001</v>
      </c>
      <c r="E32" s="1"/>
      <c r="F32" s="7">
        <v>0.13</v>
      </c>
      <c r="G32" s="5">
        <f>F32*G31</f>
        <v>876.11639460800006</v>
      </c>
      <c r="H32" s="5">
        <f t="shared" ref="H32" si="19">G32-D32</f>
        <v>24.953552000000059</v>
      </c>
      <c r="I32" s="27">
        <f t="shared" si="18"/>
        <v>2.9317012856836289E-2</v>
      </c>
    </row>
    <row r="33" spans="1:9" x14ac:dyDescent="0.3">
      <c r="A33" s="2" t="s">
        <v>63</v>
      </c>
      <c r="D33" s="6">
        <f>SUM(D31:D32)</f>
        <v>7398.5693242079997</v>
      </c>
      <c r="E33" s="1"/>
      <c r="F33" s="5"/>
      <c r="G33" s="6">
        <f>SUM(G31:G32)</f>
        <v>7615.4732762080002</v>
      </c>
      <c r="H33" s="6">
        <f>G33-D33</f>
        <v>216.90395200000057</v>
      </c>
      <c r="I33" s="29">
        <f t="shared" si="18"/>
        <v>2.93170128568363E-2</v>
      </c>
    </row>
    <row r="34" spans="1:9" x14ac:dyDescent="0.3">
      <c r="A34" s="14"/>
      <c r="B34" s="14"/>
      <c r="C34" s="21"/>
      <c r="D34" s="15"/>
      <c r="E34" s="15"/>
      <c r="F34" s="24"/>
      <c r="G34" s="15"/>
      <c r="H34" s="21"/>
      <c r="I34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26" sqref="F26:F27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3" customWidth="1"/>
    <col min="7" max="7" width="11" customWidth="1"/>
    <col min="9" max="9" width="9.109375" style="27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23</v>
      </c>
    </row>
    <row r="4" spans="1:9" ht="15" x14ac:dyDescent="0.25">
      <c r="A4" s="2" t="s">
        <v>66</v>
      </c>
      <c r="B4" s="10">
        <f>VLOOKUP($B$3,'Data-DO NOT PRINT'!$B$3:$AC$11,2,0)</f>
        <v>500</v>
      </c>
    </row>
    <row r="5" spans="1:9" ht="15" x14ac:dyDescent="0.25">
      <c r="A5" s="2" t="s">
        <v>4</v>
      </c>
      <c r="B5" s="10">
        <f>VLOOKUP(B3,'Data-DO NOT PRINT'!B3:Y11,5,0)</f>
        <v>1.0564</v>
      </c>
    </row>
    <row r="6" spans="1:9" ht="15" x14ac:dyDescent="0.25">
      <c r="A6" s="2" t="s">
        <v>68</v>
      </c>
      <c r="B6" s="10">
        <f>B4*B5</f>
        <v>528.20000000000005</v>
      </c>
    </row>
    <row r="7" spans="1:9" ht="15" x14ac:dyDescent="0.25">
      <c r="A7" s="2"/>
      <c r="B7" s="10"/>
    </row>
    <row r="8" spans="1:9" ht="15" x14ac:dyDescent="0.25">
      <c r="B8" s="85" t="s">
        <v>39</v>
      </c>
      <c r="C8" s="85"/>
      <c r="D8" s="85"/>
      <c r="E8" s="85" t="s">
        <v>100</v>
      </c>
      <c r="F8" s="85"/>
      <c r="G8" s="85"/>
      <c r="H8" s="85" t="s">
        <v>40</v>
      </c>
      <c r="I8" s="85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41</v>
      </c>
      <c r="I9" s="29" t="s">
        <v>42</v>
      </c>
    </row>
    <row r="10" spans="1:9" ht="15" x14ac:dyDescent="0.25">
      <c r="A10" s="2" t="s">
        <v>44</v>
      </c>
      <c r="B10" s="1">
        <v>1</v>
      </c>
      <c r="C10" s="5">
        <f>VLOOKUP($B$3,'Data-DO NOT PRINT'!$B$3:$AC$11,7,0)</f>
        <v>15.49</v>
      </c>
      <c r="D10" s="5">
        <f t="shared" ref="D10:D15" si="0">B10*C10</f>
        <v>15.49</v>
      </c>
      <c r="E10" s="1">
        <f t="shared" ref="E10:E13" si="1">B10</f>
        <v>1</v>
      </c>
      <c r="F10" s="5">
        <f>VLOOKUP($B$3,'Data-DO NOT PRINT'!$B$3:$AC$11,18,0)</f>
        <v>15.49</v>
      </c>
      <c r="G10" s="5">
        <f t="shared" ref="G10:G13" si="2">E10*F10</f>
        <v>15.49</v>
      </c>
      <c r="H10" s="5">
        <f t="shared" ref="H10:H13" si="3">G10-D10</f>
        <v>0</v>
      </c>
      <c r="I10" s="27">
        <f>IF(ISERROR(H10/D10), "",H10/D10)</f>
        <v>0</v>
      </c>
    </row>
    <row r="11" spans="1:9" ht="15" x14ac:dyDescent="0.25">
      <c r="A11" s="2" t="s">
        <v>45</v>
      </c>
      <c r="B11" s="1">
        <f>B4</f>
        <v>500</v>
      </c>
      <c r="C11" s="26">
        <f>VLOOKUP($B$3,'Data-DO NOT PRINT'!$B$3:$AC$11,8,0)</f>
        <v>8.6999999999999994E-3</v>
      </c>
      <c r="D11" s="5">
        <f t="shared" si="0"/>
        <v>4.3499999999999996</v>
      </c>
      <c r="E11" s="1">
        <f t="shared" si="1"/>
        <v>500</v>
      </c>
      <c r="F11" s="26">
        <f>VLOOKUP($B$3,'Data-DO NOT PRINT'!$B$3:$AC$11,19,0)</f>
        <v>8.6999999999999994E-3</v>
      </c>
      <c r="G11" s="5">
        <f t="shared" si="2"/>
        <v>4.3499999999999996</v>
      </c>
      <c r="H11" s="5">
        <f t="shared" si="3"/>
        <v>0</v>
      </c>
      <c r="I11" s="27">
        <f t="shared" ref="I11:I13" si="4">IF(ISERROR(H11/D11), "",H11/D11)</f>
        <v>0</v>
      </c>
    </row>
    <row r="12" spans="1:9" ht="15" x14ac:dyDescent="0.25">
      <c r="A12" s="2" t="s">
        <v>46</v>
      </c>
      <c r="B12" s="1">
        <v>1</v>
      </c>
      <c r="C12" s="5">
        <f>VLOOKUP($B$3,'Data-DO NOT PRINT'!$B$3:$AC$11,10,0)</f>
        <v>-0.22</v>
      </c>
      <c r="D12" s="5">
        <f t="shared" si="0"/>
        <v>-0.22</v>
      </c>
      <c r="E12" s="1">
        <f t="shared" si="1"/>
        <v>1</v>
      </c>
      <c r="F12" s="5">
        <f>VLOOKUP($B$3,'Data-DO NOT PRINT'!$B$3:$AC$11,21,0)</f>
        <v>-0.22</v>
      </c>
      <c r="G12" s="5">
        <f t="shared" si="2"/>
        <v>-0.22</v>
      </c>
      <c r="H12" s="5">
        <f t="shared" si="3"/>
        <v>0</v>
      </c>
      <c r="I12" s="27">
        <f t="shared" si="4"/>
        <v>0</v>
      </c>
    </row>
    <row r="13" spans="1:9" ht="15" x14ac:dyDescent="0.25">
      <c r="A13" s="2" t="s">
        <v>47</v>
      </c>
      <c r="B13" s="1">
        <f>B4</f>
        <v>500</v>
      </c>
      <c r="C13" s="26">
        <f>VLOOKUP($B$3,'Data-DO NOT PRINT'!$B$3:$AC$11,11,0)</f>
        <v>1E-4</v>
      </c>
      <c r="D13" s="5">
        <f t="shared" si="0"/>
        <v>0.05</v>
      </c>
      <c r="E13" s="1">
        <f t="shared" si="1"/>
        <v>500</v>
      </c>
      <c r="F13" s="26">
        <f>VLOOKUP($B$3,'Data-DO NOT PRINT'!$B$3:$AC$11,22,0)</f>
        <v>1E-4</v>
      </c>
      <c r="G13" s="5">
        <f t="shared" si="2"/>
        <v>0.05</v>
      </c>
      <c r="H13" s="5">
        <f t="shared" si="3"/>
        <v>0</v>
      </c>
      <c r="I13" s="27">
        <f t="shared" si="4"/>
        <v>0</v>
      </c>
    </row>
    <row r="14" spans="1:9" ht="15" x14ac:dyDescent="0.25">
      <c r="A14" s="19" t="s">
        <v>48</v>
      </c>
      <c r="B14" s="17"/>
      <c r="C14" s="22"/>
      <c r="D14" s="18">
        <f>SUM(D10:D13)</f>
        <v>19.670000000000002</v>
      </c>
      <c r="E14" s="16"/>
      <c r="F14" s="18"/>
      <c r="G14" s="18">
        <f>SUM(G10:G13)</f>
        <v>19.670000000000002</v>
      </c>
      <c r="H14" s="18">
        <f>G14-D14</f>
        <v>0</v>
      </c>
      <c r="I14" s="28">
        <f>H14/D14</f>
        <v>0</v>
      </c>
    </row>
    <row r="15" spans="1:9" s="50" customFormat="1" ht="15" x14ac:dyDescent="0.25">
      <c r="A15" s="51" t="s">
        <v>49</v>
      </c>
      <c r="B15" s="47">
        <f>B6-B4</f>
        <v>28.200000000000045</v>
      </c>
      <c r="C15" s="52">
        <f>IF(B4&gt;750,C30,C29)</f>
        <v>7.6999999999999999E-2</v>
      </c>
      <c r="D15" s="48">
        <f t="shared" si="0"/>
        <v>2.1714000000000033</v>
      </c>
      <c r="E15" s="47">
        <f>B15</f>
        <v>28.200000000000045</v>
      </c>
      <c r="F15" s="48">
        <f>C15</f>
        <v>7.6999999999999999E-2</v>
      </c>
      <c r="G15" s="48">
        <f t="shared" ref="G15" si="5">E15*F15</f>
        <v>2.1714000000000033</v>
      </c>
      <c r="H15" s="48">
        <f t="shared" ref="H15" si="6">G15-D15</f>
        <v>0</v>
      </c>
      <c r="I15" s="49">
        <f t="shared" ref="I15" si="7">IF(ISERROR(H15/D15), "",H15/D15)</f>
        <v>0</v>
      </c>
    </row>
    <row r="16" spans="1:9" ht="15" x14ac:dyDescent="0.25">
      <c r="A16" s="2" t="s">
        <v>98</v>
      </c>
      <c r="B16" s="1">
        <v>1</v>
      </c>
      <c r="C16" s="5">
        <f>VLOOKUP($B$3,'Data-DO NOT PRINT'!$B$3:$AC$11,12,0)</f>
        <v>0</v>
      </c>
      <c r="D16" s="5">
        <f>B16*C16</f>
        <v>0</v>
      </c>
      <c r="E16" s="1">
        <f>B16</f>
        <v>1</v>
      </c>
      <c r="F16" s="5">
        <f>VLOOKUP($B$3,'Data-DO NOT PRINT'!$B$3:$AC$11,23,0)</f>
        <v>0</v>
      </c>
      <c r="G16" s="5">
        <f>E16*F16</f>
        <v>0</v>
      </c>
      <c r="H16" s="5">
        <f t="shared" ref="H16:H30" si="8">G16-D16</f>
        <v>0</v>
      </c>
      <c r="I16" s="27" t="str">
        <f t="shared" ref="I16:I21" si="9">IF(ISERROR(H16/D16), "",H16/D16)</f>
        <v/>
      </c>
    </row>
    <row r="17" spans="1:9" ht="15" x14ac:dyDescent="0.25">
      <c r="A17" s="2" t="s">
        <v>99</v>
      </c>
      <c r="B17" s="1">
        <f>B4</f>
        <v>500</v>
      </c>
      <c r="C17" s="26">
        <f>VLOOKUP($B$3,'Data-DO NOT PRINT'!$B$3:$AC$11,13,0)</f>
        <v>4.3E-3</v>
      </c>
      <c r="D17" s="5">
        <f>B17*C17</f>
        <v>2.15</v>
      </c>
      <c r="E17" s="1">
        <f>B17</f>
        <v>500</v>
      </c>
      <c r="F17" s="26">
        <f>VLOOKUP($B$3,'Data-DO NOT PRINT'!$B$3:$AC$11,24,0)</f>
        <v>0</v>
      </c>
      <c r="G17" s="5">
        <f>E17*F17</f>
        <v>0</v>
      </c>
      <c r="H17" s="5">
        <f t="shared" si="8"/>
        <v>-2.15</v>
      </c>
      <c r="I17" s="27">
        <f t="shared" si="9"/>
        <v>-1</v>
      </c>
    </row>
    <row r="18" spans="1:9" ht="15" x14ac:dyDescent="0.25">
      <c r="A18" s="4" t="s">
        <v>50</v>
      </c>
      <c r="B18" s="1">
        <f>B4</f>
        <v>500</v>
      </c>
      <c r="C18" s="26">
        <f>VLOOKUP($B$3,'Data-DO NOT PRINT'!$B$3:$AC$11,14,0)</f>
        <v>0</v>
      </c>
      <c r="D18" s="5">
        <f t="shared" ref="D18:D21" si="10">B18*C18</f>
        <v>0</v>
      </c>
      <c r="E18" s="1">
        <f t="shared" ref="E18:E21" si="11">B18</f>
        <v>500</v>
      </c>
      <c r="F18" s="26">
        <f>VLOOKUP($B$3,'Data-DO NOT PRINT'!$B$3:$AC$11,25,0)</f>
        <v>0</v>
      </c>
      <c r="G18" s="5">
        <f t="shared" ref="G18:G21" si="12">E18*F18</f>
        <v>0</v>
      </c>
      <c r="H18" s="5">
        <f t="shared" si="8"/>
        <v>0</v>
      </c>
      <c r="I18" s="27" t="str">
        <f t="shared" si="9"/>
        <v/>
      </c>
    </row>
    <row r="19" spans="1:9" ht="15" x14ac:dyDescent="0.25">
      <c r="A19" s="4" t="s">
        <v>51</v>
      </c>
      <c r="B19" s="1">
        <f>B4</f>
        <v>500</v>
      </c>
      <c r="C19" s="26">
        <f>VLOOKUP($B$3,'Data-DO NOT PRINT'!$B$3:$AC$11,15,0)</f>
        <v>0</v>
      </c>
      <c r="D19" s="5">
        <f t="shared" si="10"/>
        <v>0</v>
      </c>
      <c r="E19" s="1">
        <f>B19</f>
        <v>500</v>
      </c>
      <c r="F19" s="26">
        <f>VLOOKUP($B$3,'Data-DO NOT PRINT'!$B$3:$AC$11,26,0)</f>
        <v>0</v>
      </c>
      <c r="G19" s="5">
        <f t="shared" si="12"/>
        <v>0</v>
      </c>
      <c r="H19" s="5">
        <f t="shared" si="8"/>
        <v>0</v>
      </c>
      <c r="I19" s="27" t="str">
        <f t="shared" si="9"/>
        <v/>
      </c>
    </row>
    <row r="20" spans="1:9" ht="15" x14ac:dyDescent="0.25">
      <c r="A20" s="4" t="s">
        <v>52</v>
      </c>
      <c r="B20" s="1">
        <f>B4</f>
        <v>500</v>
      </c>
      <c r="C20" s="26">
        <f>VLOOKUP($B$3,'Data-DO NOT PRINT'!$B$3:$AC$11,9,0)</f>
        <v>8.0000000000000004E-4</v>
      </c>
      <c r="D20" s="5">
        <f t="shared" si="10"/>
        <v>0.4</v>
      </c>
      <c r="E20" s="1">
        <f>B20</f>
        <v>500</v>
      </c>
      <c r="F20" s="26">
        <f>VLOOKUP($B$3,'Data-DO NOT PRINT'!$B$3:$AC$11,20,0)</f>
        <v>8.0000000000000004E-4</v>
      </c>
      <c r="G20" s="5">
        <f t="shared" si="12"/>
        <v>0.4</v>
      </c>
      <c r="H20" s="5">
        <f t="shared" si="8"/>
        <v>0</v>
      </c>
      <c r="I20" s="27">
        <f t="shared" si="9"/>
        <v>0</v>
      </c>
    </row>
    <row r="21" spans="1:9" ht="15" x14ac:dyDescent="0.25">
      <c r="A21" s="2" t="s">
        <v>53</v>
      </c>
      <c r="B21" s="1">
        <v>1</v>
      </c>
      <c r="C21" s="5">
        <f>VLOOKUP($B$3,'Data-DO NOT PRINT'!$B$3:$AC$11,6,0)</f>
        <v>0</v>
      </c>
      <c r="D21" s="5">
        <f t="shared" si="10"/>
        <v>0</v>
      </c>
      <c r="E21" s="1">
        <f t="shared" si="11"/>
        <v>1</v>
      </c>
      <c r="F21" s="5">
        <f>C21</f>
        <v>0</v>
      </c>
      <c r="G21" s="5">
        <f t="shared" si="12"/>
        <v>0</v>
      </c>
      <c r="H21" s="5">
        <f t="shared" si="8"/>
        <v>0</v>
      </c>
      <c r="I21" s="27" t="str">
        <f t="shared" si="9"/>
        <v/>
      </c>
    </row>
    <row r="22" spans="1:9" ht="15" x14ac:dyDescent="0.25">
      <c r="A22" s="19" t="s">
        <v>54</v>
      </c>
      <c r="B22" s="17"/>
      <c r="C22" s="22"/>
      <c r="D22" s="18">
        <f>SUM(D14:D21)</f>
        <v>24.391400000000001</v>
      </c>
      <c r="E22" s="17"/>
      <c r="F22" s="22"/>
      <c r="G22" s="18">
        <f>SUM(G14:G21)</f>
        <v>22.241400000000002</v>
      </c>
      <c r="H22" s="18">
        <f>G22-D22</f>
        <v>-2.1499999999999986</v>
      </c>
      <c r="I22" s="28">
        <f>H22/D22</f>
        <v>-8.8145821888042444E-2</v>
      </c>
    </row>
    <row r="23" spans="1:9" ht="15" x14ac:dyDescent="0.25">
      <c r="A23" s="2" t="s">
        <v>55</v>
      </c>
      <c r="B23" s="8">
        <f>B6</f>
        <v>528.20000000000005</v>
      </c>
      <c r="C23" s="26">
        <f>VLOOKUP($B$3,'Data-DO NOT PRINT'!$B$3:$AC$11,16,0)</f>
        <v>6.1999999999999998E-3</v>
      </c>
      <c r="D23" s="5">
        <f t="shared" ref="D23:D24" si="13">B23*C23</f>
        <v>3.2748400000000002</v>
      </c>
      <c r="E23" s="8">
        <f t="shared" ref="E23:E24" si="14">B23</f>
        <v>528.20000000000005</v>
      </c>
      <c r="F23" s="26">
        <f>VLOOKUP($B$3,'Data-DO NOT PRINT'!$B$3:$AC$11,27,0)</f>
        <v>6.3E-3</v>
      </c>
      <c r="G23" s="5">
        <f t="shared" ref="G23:G24" si="15">E23*F23</f>
        <v>3.3276600000000003</v>
      </c>
      <c r="H23" s="5">
        <f t="shared" si="8"/>
        <v>5.2820000000000089E-2</v>
      </c>
      <c r="I23" s="27">
        <f t="shared" ref="I23:I24" si="16">IF(ISERROR(H23/D23), "",H23/D23)</f>
        <v>1.6129032258064543E-2</v>
      </c>
    </row>
    <row r="24" spans="1:9" ht="15" x14ac:dyDescent="0.25">
      <c r="A24" s="2" t="s">
        <v>56</v>
      </c>
      <c r="B24" s="8">
        <f>B6</f>
        <v>528.20000000000005</v>
      </c>
      <c r="C24" s="26">
        <f>VLOOKUP($B$3,'Data-DO NOT PRINT'!$B$3:$AC$11,17,0)</f>
        <v>3.3E-3</v>
      </c>
      <c r="D24" s="5">
        <f t="shared" si="13"/>
        <v>1.7430600000000001</v>
      </c>
      <c r="E24" s="8">
        <f t="shared" si="14"/>
        <v>528.20000000000005</v>
      </c>
      <c r="F24" s="26">
        <f>VLOOKUP($B$3,'Data-DO NOT PRINT'!$B$3:$AC$11,28,0)</f>
        <v>3.3E-3</v>
      </c>
      <c r="G24" s="5">
        <f t="shared" si="15"/>
        <v>1.7430600000000001</v>
      </c>
      <c r="H24" s="5">
        <f t="shared" si="8"/>
        <v>0</v>
      </c>
      <c r="I24" s="27">
        <f t="shared" si="16"/>
        <v>0</v>
      </c>
    </row>
    <row r="25" spans="1:9" ht="15" x14ac:dyDescent="0.25">
      <c r="A25" s="19" t="s">
        <v>57</v>
      </c>
      <c r="B25" s="17"/>
      <c r="C25" s="22"/>
      <c r="D25" s="18">
        <f>SUM(D22:D24)</f>
        <v>29.409300000000002</v>
      </c>
      <c r="E25" s="17"/>
      <c r="F25" s="22"/>
      <c r="G25" s="18">
        <f>SUM(G22:G24)</f>
        <v>27.312120000000004</v>
      </c>
      <c r="H25" s="18">
        <f>G25-D25</f>
        <v>-2.097179999999998</v>
      </c>
      <c r="I25" s="28">
        <f>H25/D25</f>
        <v>-7.1310095786026803E-2</v>
      </c>
    </row>
    <row r="26" spans="1:9" ht="15" x14ac:dyDescent="0.25">
      <c r="A26" s="2" t="s">
        <v>58</v>
      </c>
      <c r="B26" s="8">
        <f>B6</f>
        <v>528.20000000000005</v>
      </c>
      <c r="C26" s="26">
        <v>3.3999999999999998E-3</v>
      </c>
      <c r="D26" s="5">
        <f t="shared" ref="D26:D28" si="17">B26*C26</f>
        <v>1.7958800000000001</v>
      </c>
      <c r="E26" s="8">
        <f t="shared" ref="E26:E28" si="18">B26</f>
        <v>528.20000000000005</v>
      </c>
      <c r="F26" s="26">
        <v>3.3999999999999998E-3</v>
      </c>
      <c r="G26" s="5">
        <f t="shared" ref="G26:G30" si="19">E26*F26</f>
        <v>1.7958800000000001</v>
      </c>
      <c r="H26" s="5">
        <f t="shared" si="8"/>
        <v>0</v>
      </c>
      <c r="I26" s="27">
        <f t="shared" ref="I26:I30" si="20">IF(ISERROR(H26/D26), "",H26/D26)</f>
        <v>0</v>
      </c>
    </row>
    <row r="27" spans="1:9" ht="15" x14ac:dyDescent="0.25">
      <c r="A27" s="2" t="s">
        <v>59</v>
      </c>
      <c r="B27" s="8">
        <f>B6</f>
        <v>528.20000000000005</v>
      </c>
      <c r="C27" s="26">
        <v>5.0000000000000001E-4</v>
      </c>
      <c r="D27" s="5">
        <f t="shared" si="17"/>
        <v>0.2641</v>
      </c>
      <c r="E27" s="8">
        <f t="shared" si="18"/>
        <v>528.20000000000005</v>
      </c>
      <c r="F27" s="26">
        <v>5.0000000000000001E-4</v>
      </c>
      <c r="G27" s="5">
        <f t="shared" si="19"/>
        <v>0.2641</v>
      </c>
      <c r="H27" s="5">
        <f t="shared" si="8"/>
        <v>0</v>
      </c>
      <c r="I27" s="27">
        <f t="shared" si="20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7"/>
        <v>0.25</v>
      </c>
      <c r="E28" s="1">
        <f t="shared" si="18"/>
        <v>1</v>
      </c>
      <c r="F28" s="5">
        <v>0.25</v>
      </c>
      <c r="G28" s="5">
        <f t="shared" si="19"/>
        <v>0.25</v>
      </c>
      <c r="H28" s="5">
        <f t="shared" si="8"/>
        <v>0</v>
      </c>
      <c r="I28" s="27">
        <f t="shared" si="20"/>
        <v>0</v>
      </c>
    </row>
    <row r="29" spans="1:9" ht="15" x14ac:dyDescent="0.25">
      <c r="A29" s="2" t="s">
        <v>69</v>
      </c>
      <c r="B29" s="1">
        <f>IF($B$4&gt;750,750,$B$4)</f>
        <v>500</v>
      </c>
      <c r="C29" s="25">
        <v>7.6999999999999999E-2</v>
      </c>
      <c r="D29" s="5">
        <f>B29*C29</f>
        <v>38.5</v>
      </c>
      <c r="E29" s="1">
        <f>B29</f>
        <v>500</v>
      </c>
      <c r="F29" s="25">
        <f>C29</f>
        <v>7.6999999999999999E-2</v>
      </c>
      <c r="G29" s="5">
        <f t="shared" si="19"/>
        <v>38.5</v>
      </c>
      <c r="H29" s="5">
        <f t="shared" si="8"/>
        <v>0</v>
      </c>
      <c r="I29" s="27">
        <f t="shared" si="20"/>
        <v>0</v>
      </c>
    </row>
    <row r="30" spans="1:9" ht="15" x14ac:dyDescent="0.25">
      <c r="A30" s="2" t="s">
        <v>70</v>
      </c>
      <c r="B30" s="1">
        <f>IF($B$4&gt;750,$B$4-750,0)</f>
        <v>0</v>
      </c>
      <c r="C30" s="25">
        <v>8.8999999999999996E-2</v>
      </c>
      <c r="D30" s="5">
        <f t="shared" ref="D30" si="21">B30*C30</f>
        <v>0</v>
      </c>
      <c r="E30" s="1">
        <f>B30</f>
        <v>0</v>
      </c>
      <c r="F30" s="25">
        <f t="shared" ref="F30" si="22">C30</f>
        <v>8.8999999999999996E-2</v>
      </c>
      <c r="G30" s="5">
        <f t="shared" si="19"/>
        <v>0</v>
      </c>
      <c r="H30" s="5">
        <f t="shared" si="8"/>
        <v>0</v>
      </c>
      <c r="I30" s="27" t="str">
        <f t="shared" si="20"/>
        <v/>
      </c>
    </row>
    <row r="31" spans="1:9" x14ac:dyDescent="0.3">
      <c r="A31" s="20"/>
      <c r="B31" s="14"/>
      <c r="C31" s="21"/>
      <c r="D31" s="21"/>
      <c r="E31" s="14"/>
      <c r="F31" s="21"/>
      <c r="G31" s="21"/>
      <c r="H31" s="21"/>
      <c r="I31" s="30"/>
    </row>
    <row r="32" spans="1:9" x14ac:dyDescent="0.3">
      <c r="A32" s="2" t="s">
        <v>61</v>
      </c>
      <c r="D32" s="6">
        <f>SUM(D25:D30)</f>
        <v>70.219279999999998</v>
      </c>
      <c r="E32" s="1"/>
      <c r="F32" s="5"/>
      <c r="G32" s="6">
        <f>SUM(G25:G30)</f>
        <v>68.122100000000003</v>
      </c>
      <c r="H32" s="6">
        <f>G32-D32</f>
        <v>-2.0971799999999945</v>
      </c>
      <c r="I32" s="29">
        <f t="shared" ref="I32:I35" si="23">IF(ISERROR(H32/D32), "",H32/D32)</f>
        <v>-2.9866156417439692E-2</v>
      </c>
    </row>
    <row r="33" spans="1:9" x14ac:dyDescent="0.3">
      <c r="A33" s="2" t="s">
        <v>5</v>
      </c>
      <c r="C33" s="7">
        <v>0.13</v>
      </c>
      <c r="D33" s="5">
        <f>C33*D32</f>
        <v>9.1285063999999991</v>
      </c>
      <c r="E33" s="1"/>
      <c r="F33" s="7">
        <v>0.13</v>
      </c>
      <c r="G33" s="5">
        <f>F33*G32</f>
        <v>8.8558730000000008</v>
      </c>
      <c r="H33" s="5">
        <f t="shared" ref="H33:H34" si="24">G33-D33</f>
        <v>-0.27263339999999836</v>
      </c>
      <c r="I33" s="27">
        <f t="shared" si="23"/>
        <v>-2.9866156417439591E-2</v>
      </c>
    </row>
    <row r="34" spans="1:9" x14ac:dyDescent="0.3">
      <c r="A34" s="2" t="s">
        <v>62</v>
      </c>
      <c r="C34" s="7">
        <v>-0.08</v>
      </c>
      <c r="D34" s="5">
        <f>C34*D32</f>
        <v>-5.6175423999999996</v>
      </c>
      <c r="E34" s="1"/>
      <c r="F34" s="7">
        <v>-0.08</v>
      </c>
      <c r="G34" s="5">
        <f>F34*G32</f>
        <v>-5.4497680000000006</v>
      </c>
      <c r="H34" s="5">
        <f t="shared" si="24"/>
        <v>0.16777439999999899</v>
      </c>
      <c r="I34" s="27">
        <f t="shared" si="23"/>
        <v>-2.9866156417439591E-2</v>
      </c>
    </row>
    <row r="35" spans="1:9" x14ac:dyDescent="0.3">
      <c r="A35" s="2" t="s">
        <v>63</v>
      </c>
      <c r="D35" s="6">
        <f>SUM(D32:D34)</f>
        <v>73.730243999999985</v>
      </c>
      <c r="E35" s="1"/>
      <c r="F35" s="5"/>
      <c r="G35" s="6">
        <f>SUM(G32:G34)</f>
        <v>71.528205</v>
      </c>
      <c r="H35" s="6">
        <f>G35-D35</f>
        <v>-2.202038999999985</v>
      </c>
      <c r="I35" s="29">
        <f t="shared" si="23"/>
        <v>-2.986615641743957E-2</v>
      </c>
    </row>
    <row r="36" spans="1:9" x14ac:dyDescent="0.3">
      <c r="A36" s="14"/>
      <c r="B36" s="14"/>
      <c r="C36" s="21"/>
      <c r="D36" s="15"/>
      <c r="E36" s="15"/>
      <c r="F36" s="24"/>
      <c r="G36" s="15"/>
      <c r="H36" s="21"/>
      <c r="I36" s="30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B5" sqref="B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3" customWidth="1"/>
    <col min="7" max="7" width="13.5546875" customWidth="1"/>
    <col min="8" max="8" width="12.44140625" customWidth="1"/>
    <col min="9" max="9" width="11.88671875" style="27" customWidth="1"/>
  </cols>
  <sheetData>
    <row r="1" spans="1:9" ht="15.6" x14ac:dyDescent="0.3">
      <c r="A1" s="88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5.6" x14ac:dyDescent="0.3">
      <c r="A2" s="59"/>
      <c r="B2" s="60"/>
      <c r="C2" s="60"/>
      <c r="D2" s="60"/>
      <c r="E2" s="60"/>
      <c r="F2" s="60"/>
      <c r="G2" s="60"/>
      <c r="H2" s="60"/>
      <c r="I2" s="60"/>
    </row>
    <row r="3" spans="1:9" x14ac:dyDescent="0.3">
      <c r="A3" s="2" t="s">
        <v>12</v>
      </c>
      <c r="B3" s="10" t="s">
        <v>25</v>
      </c>
    </row>
    <row r="4" spans="1:9" ht="15" x14ac:dyDescent="0.25">
      <c r="A4" s="2" t="s">
        <v>66</v>
      </c>
      <c r="B4" s="31">
        <f>VLOOKUP($B$3,'Data-DO NOT PRINT'!$B$3:$AC$11,2,0)</f>
        <v>108</v>
      </c>
    </row>
    <row r="5" spans="1:9" ht="15" x14ac:dyDescent="0.25">
      <c r="A5" s="2" t="s">
        <v>65</v>
      </c>
      <c r="B5" s="10">
        <f>VLOOKUP($B$3,'Data-DO NOT PRINT'!$B$3:$AC$11,3)</f>
        <v>0.3</v>
      </c>
    </row>
    <row r="6" spans="1:9" ht="15" x14ac:dyDescent="0.25">
      <c r="A6" s="2" t="s">
        <v>4</v>
      </c>
      <c r="B6" s="10">
        <f>VLOOKUP(B3,'Data-DO NOT PRINT'!B3:Y11,5,0)</f>
        <v>1.0564</v>
      </c>
    </row>
    <row r="7" spans="1:9" ht="15" x14ac:dyDescent="0.25">
      <c r="A7" s="2" t="s">
        <v>28</v>
      </c>
      <c r="B7" s="31">
        <f>B4*B6</f>
        <v>114.0912</v>
      </c>
    </row>
    <row r="8" spans="1:9" ht="15" x14ac:dyDescent="0.25">
      <c r="A8" s="2"/>
      <c r="B8" s="10"/>
    </row>
    <row r="9" spans="1:9" ht="15" x14ac:dyDescent="0.25">
      <c r="B9" s="85" t="s">
        <v>39</v>
      </c>
      <c r="C9" s="85"/>
      <c r="D9" s="85"/>
      <c r="E9" s="85" t="s">
        <v>100</v>
      </c>
      <c r="F9" s="85"/>
      <c r="G9" s="85"/>
      <c r="H9" s="85" t="s">
        <v>40</v>
      </c>
      <c r="I9" s="85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41</v>
      </c>
      <c r="I10" s="29" t="s">
        <v>42</v>
      </c>
    </row>
    <row r="11" spans="1:9" ht="15" x14ac:dyDescent="0.25">
      <c r="A11" s="2" t="s">
        <v>44</v>
      </c>
      <c r="B11" s="1">
        <v>1</v>
      </c>
      <c r="C11" s="5">
        <f>VLOOKUP($B$3,'Data-DO NOT PRINT'!$B$3:$AC$11,7,0)</f>
        <v>6.53</v>
      </c>
      <c r="D11" s="5">
        <f t="shared" ref="D11:D16" si="0">B11*C11</f>
        <v>6.53</v>
      </c>
      <c r="E11" s="1">
        <f t="shared" ref="E11:E14" si="1">B11</f>
        <v>1</v>
      </c>
      <c r="F11" s="5">
        <f>VLOOKUP($B$3,'Data-DO NOT PRINT'!$B$3:$AC$11,18,0)</f>
        <v>6.53</v>
      </c>
      <c r="G11" s="5">
        <f t="shared" ref="G11:G16" si="2">E11*F11</f>
        <v>6.53</v>
      </c>
      <c r="H11" s="5">
        <f t="shared" ref="H11:H14" si="3">G11-D11</f>
        <v>0</v>
      </c>
      <c r="I11" s="27">
        <f>IF(ISERROR(H11/D11), "",H11/D11)</f>
        <v>0</v>
      </c>
    </row>
    <row r="12" spans="1:9" ht="15" x14ac:dyDescent="0.25">
      <c r="A12" s="2" t="s">
        <v>45</v>
      </c>
      <c r="B12" s="90">
        <f>B5</f>
        <v>0.3</v>
      </c>
      <c r="C12" s="26">
        <f>VLOOKUP($B$3,'Data-DO NOT PRINT'!$B$3:$AC$11,8,0)</f>
        <v>19.433</v>
      </c>
      <c r="D12" s="5">
        <f t="shared" si="0"/>
        <v>5.8298999999999994</v>
      </c>
      <c r="E12" s="90">
        <f t="shared" si="1"/>
        <v>0.3</v>
      </c>
      <c r="F12" s="26">
        <f>VLOOKUP($B$3,'Data-DO NOT PRINT'!$B$3:$AC$11,19,0)</f>
        <v>19.433</v>
      </c>
      <c r="G12" s="5">
        <f t="shared" si="2"/>
        <v>5.8298999999999994</v>
      </c>
      <c r="H12" s="5">
        <f t="shared" si="3"/>
        <v>0</v>
      </c>
      <c r="I12" s="27">
        <f t="shared" ref="I12:I14" si="4">IF(ISERROR(H12/D12), "",H12/D12)</f>
        <v>0</v>
      </c>
    </row>
    <row r="13" spans="1:9" ht="15" x14ac:dyDescent="0.25">
      <c r="A13" s="2" t="s">
        <v>46</v>
      </c>
      <c r="B13" s="1">
        <v>1</v>
      </c>
      <c r="C13" s="5">
        <f>VLOOKUP($B$3,'Data-DO NOT PRINT'!$B$3:$AC$11,10,0)</f>
        <v>-0.09</v>
      </c>
      <c r="D13" s="5">
        <f t="shared" si="0"/>
        <v>-0.09</v>
      </c>
      <c r="E13" s="1">
        <f t="shared" si="1"/>
        <v>1</v>
      </c>
      <c r="F13" s="5">
        <f>VLOOKUP($B$3,'Data-DO NOT PRINT'!$B$3:$AC$11,21,0)</f>
        <v>-0.09</v>
      </c>
      <c r="G13" s="5">
        <f t="shared" si="2"/>
        <v>-0.09</v>
      </c>
      <c r="H13" s="5">
        <f t="shared" si="3"/>
        <v>0</v>
      </c>
      <c r="I13" s="27">
        <f t="shared" si="4"/>
        <v>0</v>
      </c>
    </row>
    <row r="14" spans="1:9" ht="15" x14ac:dyDescent="0.25">
      <c r="A14" s="2" t="s">
        <v>47</v>
      </c>
      <c r="B14" s="90">
        <f>B5</f>
        <v>0.3</v>
      </c>
      <c r="C14" s="26">
        <f>VLOOKUP($B$3,'Data-DO NOT PRINT'!$B$3:$AC$11,11,0)</f>
        <v>-8.0700000000000022E-2</v>
      </c>
      <c r="D14" s="5">
        <f t="shared" si="0"/>
        <v>-2.4210000000000006E-2</v>
      </c>
      <c r="E14" s="90">
        <f t="shared" si="1"/>
        <v>0.3</v>
      </c>
      <c r="F14" s="26">
        <f>VLOOKUP($B$3,'Data-DO NOT PRINT'!$B$3:$AC$11,22,0)</f>
        <v>-8.0700000000000008E-2</v>
      </c>
      <c r="G14" s="5">
        <f t="shared" si="2"/>
        <v>-2.4210000000000002E-2</v>
      </c>
      <c r="H14" s="5">
        <f t="shared" si="3"/>
        <v>0</v>
      </c>
      <c r="I14" s="27">
        <f t="shared" si="4"/>
        <v>0</v>
      </c>
    </row>
    <row r="15" spans="1:9" ht="15" x14ac:dyDescent="0.25">
      <c r="A15" s="19" t="s">
        <v>48</v>
      </c>
      <c r="B15" s="17"/>
      <c r="C15" s="22"/>
      <c r="D15" s="18">
        <f>SUM(D11:D14)</f>
        <v>12.24569</v>
      </c>
      <c r="E15" s="16"/>
      <c r="F15" s="18"/>
      <c r="G15" s="18">
        <f>SUM(G11:G14)</f>
        <v>12.24569</v>
      </c>
      <c r="H15" s="18">
        <f>G15-D15</f>
        <v>0</v>
      </c>
      <c r="I15" s="28">
        <f>H15/D15</f>
        <v>0</v>
      </c>
    </row>
    <row r="16" spans="1:9" s="50" customFormat="1" ht="15" x14ac:dyDescent="0.25">
      <c r="A16" s="51" t="s">
        <v>49</v>
      </c>
      <c r="B16" s="91">
        <f>B7-B4</f>
        <v>6.0912000000000006</v>
      </c>
      <c r="C16" s="48">
        <f>IF(B4&gt;750,C31,C30)</f>
        <v>7.6999999999999999E-2</v>
      </c>
      <c r="D16" s="48">
        <f t="shared" si="0"/>
        <v>0.46902240000000006</v>
      </c>
      <c r="E16" s="91">
        <f>B16</f>
        <v>6.0912000000000006</v>
      </c>
      <c r="F16" s="48">
        <f>C16</f>
        <v>7.6999999999999999E-2</v>
      </c>
      <c r="G16" s="48">
        <f t="shared" si="2"/>
        <v>0.46902240000000006</v>
      </c>
      <c r="H16" s="48">
        <f t="shared" ref="H16" si="5">G16-D16</f>
        <v>0</v>
      </c>
      <c r="I16" s="49">
        <f t="shared" ref="I16" si="6">IF(ISERROR(H16/D16), "",H16/D16)</f>
        <v>0</v>
      </c>
    </row>
    <row r="17" spans="1:9" ht="15" x14ac:dyDescent="0.25">
      <c r="A17" s="2" t="s">
        <v>98</v>
      </c>
      <c r="B17" s="1">
        <v>1</v>
      </c>
      <c r="C17" s="5">
        <f>VLOOKUP($B$3,'Data-DO NOT PRINT'!$B$3:$AC$11,12,0)</f>
        <v>0</v>
      </c>
      <c r="D17" s="5">
        <f>B17*C17</f>
        <v>0</v>
      </c>
      <c r="E17" s="1">
        <f>B17</f>
        <v>1</v>
      </c>
      <c r="F17" s="5">
        <f>VLOOKUP($B$3,'Data-DO NOT PRINT'!$B$3:$AC$11,23,0)</f>
        <v>0</v>
      </c>
      <c r="G17" s="5">
        <f>E17*F17</f>
        <v>0</v>
      </c>
      <c r="H17" s="5">
        <f t="shared" ref="H17:H31" si="7">G17-D17</f>
        <v>0</v>
      </c>
      <c r="I17" s="27" t="str">
        <f t="shared" ref="I17:I22" si="8">IF(ISERROR(H17/D17), "",H17/D17)</f>
        <v/>
      </c>
    </row>
    <row r="18" spans="1:9" ht="15" x14ac:dyDescent="0.25">
      <c r="A18" s="2" t="s">
        <v>99</v>
      </c>
      <c r="B18" s="90">
        <f>B5</f>
        <v>0.3</v>
      </c>
      <c r="C18" s="26">
        <f>VLOOKUP($B$3,'Data-DO NOT PRINT'!$B$3:$AC$11,13,0)</f>
        <v>1.6907000000000001</v>
      </c>
      <c r="D18" s="5">
        <f>B18*C18</f>
        <v>0.50721000000000005</v>
      </c>
      <c r="E18" s="90">
        <f>B18</f>
        <v>0.3</v>
      </c>
      <c r="F18" s="26">
        <f>VLOOKUP($B$3,'Data-DO NOT PRINT'!$B$3:$AC$11,24,0)</f>
        <v>0</v>
      </c>
      <c r="G18" s="5">
        <f>E18*F18</f>
        <v>0</v>
      </c>
      <c r="H18" s="5">
        <f t="shared" si="7"/>
        <v>-0.50721000000000005</v>
      </c>
      <c r="I18" s="27">
        <f t="shared" si="8"/>
        <v>-1</v>
      </c>
    </row>
    <row r="19" spans="1:9" ht="15" x14ac:dyDescent="0.25">
      <c r="A19" s="4" t="s">
        <v>50</v>
      </c>
      <c r="B19" s="90">
        <f>B5</f>
        <v>0.3</v>
      </c>
      <c r="C19" s="26">
        <f>VLOOKUP($B$3,'Data-DO NOT PRINT'!$B$3:$AC$11,14,0)</f>
        <v>0</v>
      </c>
      <c r="D19" s="5">
        <f t="shared" ref="D19:D22" si="9">B19*C19</f>
        <v>0</v>
      </c>
      <c r="E19" s="90">
        <f t="shared" ref="E19:E22" si="10">B19</f>
        <v>0.3</v>
      </c>
      <c r="F19" s="26">
        <f>VLOOKUP($B$3,'Data-DO NOT PRINT'!$B$3:$AC$11,25,0)</f>
        <v>0</v>
      </c>
      <c r="G19" s="5">
        <f t="shared" ref="G19:G22" si="11">E19*F19</f>
        <v>0</v>
      </c>
      <c r="H19" s="5">
        <f t="shared" si="7"/>
        <v>0</v>
      </c>
      <c r="I19" s="27" t="str">
        <f t="shared" si="8"/>
        <v/>
      </c>
    </row>
    <row r="20" spans="1:9" ht="15" x14ac:dyDescent="0.25">
      <c r="A20" s="4" t="s">
        <v>51</v>
      </c>
      <c r="B20" s="11">
        <f>B4</f>
        <v>108</v>
      </c>
      <c r="C20" s="26">
        <f>VLOOKUP($B$3,'Data-DO NOT PRINT'!$B$3:$AC$11,15,0)</f>
        <v>0</v>
      </c>
      <c r="D20" s="5">
        <f t="shared" si="9"/>
        <v>0</v>
      </c>
      <c r="E20" s="11">
        <f>B20</f>
        <v>108</v>
      </c>
      <c r="F20" s="26">
        <f>VLOOKUP($B$3,'Data-DO NOT PRINT'!$B$3:$AC$11,26,0)</f>
        <v>0</v>
      </c>
      <c r="G20" s="5">
        <f t="shared" si="11"/>
        <v>0</v>
      </c>
      <c r="H20" s="5">
        <f t="shared" si="7"/>
        <v>0</v>
      </c>
      <c r="I20" s="27" t="str">
        <f t="shared" si="8"/>
        <v/>
      </c>
    </row>
    <row r="21" spans="1:9" ht="15" x14ac:dyDescent="0.25">
      <c r="A21" s="4" t="s">
        <v>52</v>
      </c>
      <c r="B21" s="90">
        <f>B5</f>
        <v>0.3</v>
      </c>
      <c r="C21" s="26">
        <f>VLOOKUP($B$3,'Data-DO NOT PRINT'!$B$3:$AC$11,9,0)</f>
        <v>0.2407</v>
      </c>
      <c r="D21" s="5">
        <f t="shared" si="9"/>
        <v>7.2209999999999996E-2</v>
      </c>
      <c r="E21" s="90">
        <f>B21</f>
        <v>0.3</v>
      </c>
      <c r="F21" s="26">
        <f>VLOOKUP($B$3,'Data-DO NOT PRINT'!$B$3:$AC$11,20,0)</f>
        <v>0.2407</v>
      </c>
      <c r="G21" s="5">
        <f t="shared" si="11"/>
        <v>7.2209999999999996E-2</v>
      </c>
      <c r="H21" s="5">
        <f t="shared" si="7"/>
        <v>0</v>
      </c>
      <c r="I21" s="27">
        <f t="shared" si="8"/>
        <v>0</v>
      </c>
    </row>
    <row r="22" spans="1:9" ht="15" x14ac:dyDescent="0.25">
      <c r="A22" s="2" t="s">
        <v>53</v>
      </c>
      <c r="B22" s="1">
        <v>1</v>
      </c>
      <c r="C22" s="5">
        <f>VLOOKUP($B$3,'Data-DO NOT PRINT'!$B$3:$AC$11,6,0)</f>
        <v>0</v>
      </c>
      <c r="D22" s="5">
        <f t="shared" si="9"/>
        <v>0</v>
      </c>
      <c r="E22" s="1">
        <f t="shared" si="10"/>
        <v>1</v>
      </c>
      <c r="F22" s="5">
        <f>C22</f>
        <v>0</v>
      </c>
      <c r="G22" s="5">
        <f t="shared" si="11"/>
        <v>0</v>
      </c>
      <c r="H22" s="5">
        <f t="shared" si="7"/>
        <v>0</v>
      </c>
      <c r="I22" s="27" t="str">
        <f t="shared" si="8"/>
        <v/>
      </c>
    </row>
    <row r="23" spans="1:9" ht="15" x14ac:dyDescent="0.25">
      <c r="A23" s="19" t="s">
        <v>54</v>
      </c>
      <c r="B23" s="17"/>
      <c r="C23" s="22"/>
      <c r="D23" s="18">
        <f>SUM(D15:D22)</f>
        <v>13.294132400000001</v>
      </c>
      <c r="E23" s="17"/>
      <c r="F23" s="22"/>
      <c r="G23" s="18">
        <f>SUM(G15:G22)</f>
        <v>12.7869224</v>
      </c>
      <c r="H23" s="18">
        <f>G23-D23</f>
        <v>-0.5072100000000006</v>
      </c>
      <c r="I23" s="28">
        <f>H23/D23</f>
        <v>-3.8152922262155338E-2</v>
      </c>
    </row>
    <row r="24" spans="1:9" ht="15" x14ac:dyDescent="0.25">
      <c r="A24" s="2" t="s">
        <v>55</v>
      </c>
      <c r="B24" s="90">
        <f>B5</f>
        <v>0.3</v>
      </c>
      <c r="C24" s="26">
        <f>VLOOKUP($B$3,'Data-DO NOT PRINT'!$B$3:$AC$11,16,0)</f>
        <v>1.8937999999999999</v>
      </c>
      <c r="D24" s="5">
        <f t="shared" ref="D24:D25" si="12">B24*C24</f>
        <v>0.56813999999999998</v>
      </c>
      <c r="E24" s="90">
        <f t="shared" ref="E24:E25" si="13">B24</f>
        <v>0.3</v>
      </c>
      <c r="F24" s="26">
        <f>VLOOKUP($B$3,'Data-DO NOT PRINT'!$B$3:$AC$11,27,0)</f>
        <v>1.9288000000000001</v>
      </c>
      <c r="G24" s="5">
        <f t="shared" ref="G24:G25" si="14">E24*F24</f>
        <v>0.57864000000000004</v>
      </c>
      <c r="H24" s="5">
        <f t="shared" si="7"/>
        <v>1.0500000000000065E-2</v>
      </c>
      <c r="I24" s="27">
        <f t="shared" ref="I24:I25" si="15">IF(ISERROR(H24/D24), "",H24/D24)</f>
        <v>1.8481360228112902E-2</v>
      </c>
    </row>
    <row r="25" spans="1:9" ht="15" x14ac:dyDescent="0.25">
      <c r="A25" s="2" t="s">
        <v>56</v>
      </c>
      <c r="B25" s="90">
        <f>B5</f>
        <v>0.3</v>
      </c>
      <c r="C25" s="26">
        <f>VLOOKUP($B$3,'Data-DO NOT PRINT'!$B$3:$AC$11,17,0)</f>
        <v>1.0399</v>
      </c>
      <c r="D25" s="5">
        <f t="shared" si="12"/>
        <v>0.31197000000000003</v>
      </c>
      <c r="E25" s="90">
        <f t="shared" si="13"/>
        <v>0.3</v>
      </c>
      <c r="F25" s="26">
        <f>VLOOKUP($B$3,'Data-DO NOT PRINT'!$B$3:$AC$11,28,0)</f>
        <v>1.0290999999999999</v>
      </c>
      <c r="G25" s="5">
        <f t="shared" si="14"/>
        <v>0.30872999999999995</v>
      </c>
      <c r="H25" s="5">
        <f t="shared" si="7"/>
        <v>-3.2400000000000762E-3</v>
      </c>
      <c r="I25" s="27">
        <f t="shared" si="15"/>
        <v>-1.0385614001346527E-2</v>
      </c>
    </row>
    <row r="26" spans="1:9" ht="15" x14ac:dyDescent="0.25">
      <c r="A26" s="19" t="s">
        <v>57</v>
      </c>
      <c r="B26" s="17"/>
      <c r="C26" s="22"/>
      <c r="D26" s="18">
        <f>SUM(D23:D25)</f>
        <v>14.174242400000001</v>
      </c>
      <c r="E26" s="17"/>
      <c r="F26" s="22"/>
      <c r="G26" s="18">
        <f>SUM(G23:G25)</f>
        <v>13.674292400000001</v>
      </c>
      <c r="H26" s="18">
        <f>G26-D26</f>
        <v>-0.49995000000000012</v>
      </c>
      <c r="I26" s="28">
        <f>H26/D26</f>
        <v>-3.527172640987148E-2</v>
      </c>
    </row>
    <row r="27" spans="1:9" ht="15" x14ac:dyDescent="0.25">
      <c r="A27" s="2" t="s">
        <v>58</v>
      </c>
      <c r="B27" s="11">
        <f>B7</f>
        <v>114.0912</v>
      </c>
      <c r="C27" s="26">
        <v>3.3999999999999998E-3</v>
      </c>
      <c r="D27" s="5">
        <f t="shared" ref="D27:D29" si="16">B27*C27</f>
        <v>0.38791007999999999</v>
      </c>
      <c r="E27" s="11">
        <f t="shared" ref="E27:E29" si="17">B27</f>
        <v>114.0912</v>
      </c>
      <c r="F27" s="26">
        <v>3.3999999999999998E-3</v>
      </c>
      <c r="G27" s="5">
        <f t="shared" ref="G27:G31" si="18">E27*F27</f>
        <v>0.38791007999999999</v>
      </c>
      <c r="H27" s="5">
        <f t="shared" si="7"/>
        <v>0</v>
      </c>
      <c r="I27" s="27">
        <f t="shared" ref="I27:I31" si="19">IF(ISERROR(H27/D27), "",H27/D27)</f>
        <v>0</v>
      </c>
    </row>
    <row r="28" spans="1:9" ht="15" x14ac:dyDescent="0.25">
      <c r="A28" s="2" t="s">
        <v>59</v>
      </c>
      <c r="B28" s="11">
        <f>B7</f>
        <v>114.0912</v>
      </c>
      <c r="C28" s="26">
        <v>5.0000000000000001E-4</v>
      </c>
      <c r="D28" s="5">
        <f t="shared" si="16"/>
        <v>5.7045600000000002E-2</v>
      </c>
      <c r="E28" s="11">
        <f t="shared" si="17"/>
        <v>114.0912</v>
      </c>
      <c r="F28" s="26">
        <v>5.0000000000000001E-4</v>
      </c>
      <c r="G28" s="5">
        <f t="shared" si="18"/>
        <v>5.7045600000000002E-2</v>
      </c>
      <c r="H28" s="5">
        <f t="shared" si="7"/>
        <v>0</v>
      </c>
      <c r="I28" s="27">
        <f t="shared" si="19"/>
        <v>0</v>
      </c>
    </row>
    <row r="29" spans="1:9" ht="15" x14ac:dyDescent="0.25">
      <c r="A29" s="2" t="s">
        <v>60</v>
      </c>
      <c r="B29" s="1">
        <v>1</v>
      </c>
      <c r="C29" s="5">
        <v>0.25</v>
      </c>
      <c r="D29" s="5">
        <f t="shared" si="16"/>
        <v>0.25</v>
      </c>
      <c r="E29" s="1">
        <f t="shared" si="17"/>
        <v>1</v>
      </c>
      <c r="F29" s="5">
        <v>0.25</v>
      </c>
      <c r="G29" s="5">
        <f t="shared" si="18"/>
        <v>0.25</v>
      </c>
      <c r="H29" s="5">
        <f t="shared" si="7"/>
        <v>0</v>
      </c>
      <c r="I29" s="27">
        <f t="shared" si="19"/>
        <v>0</v>
      </c>
    </row>
    <row r="30" spans="1:9" ht="15" x14ac:dyDescent="0.25">
      <c r="A30" s="2" t="s">
        <v>69</v>
      </c>
      <c r="B30" s="11">
        <f>IF($B$4&gt;750,750,$B$4)</f>
        <v>108</v>
      </c>
      <c r="C30" s="25">
        <v>7.6999999999999999E-2</v>
      </c>
      <c r="D30" s="5">
        <f>B30*C30</f>
        <v>8.3160000000000007</v>
      </c>
      <c r="E30" s="11">
        <f>B30</f>
        <v>108</v>
      </c>
      <c r="F30" s="25">
        <f>C30</f>
        <v>7.6999999999999999E-2</v>
      </c>
      <c r="G30" s="5">
        <f t="shared" si="18"/>
        <v>8.3160000000000007</v>
      </c>
      <c r="H30" s="5">
        <f t="shared" si="7"/>
        <v>0</v>
      </c>
      <c r="I30" s="27">
        <f t="shared" si="19"/>
        <v>0</v>
      </c>
    </row>
    <row r="31" spans="1:9" x14ac:dyDescent="0.3">
      <c r="A31" s="2" t="s">
        <v>70</v>
      </c>
      <c r="B31" s="11">
        <f>IF($B$4&gt;750,$B$4-750,0)</f>
        <v>0</v>
      </c>
      <c r="C31" s="25">
        <v>8.8999999999999996E-2</v>
      </c>
      <c r="D31" s="5">
        <f>B31*C31</f>
        <v>0</v>
      </c>
      <c r="E31" s="11">
        <f>B31</f>
        <v>0</v>
      </c>
      <c r="F31" s="25">
        <v>8.8999999999999996E-2</v>
      </c>
      <c r="G31" s="5">
        <f t="shared" si="18"/>
        <v>0</v>
      </c>
      <c r="H31" s="5">
        <f t="shared" si="7"/>
        <v>0</v>
      </c>
      <c r="I31" s="27" t="str">
        <f t="shared" si="19"/>
        <v/>
      </c>
    </row>
    <row r="32" spans="1:9" x14ac:dyDescent="0.3">
      <c r="A32" s="20"/>
      <c r="B32" s="14"/>
      <c r="C32" s="21"/>
      <c r="D32" s="21"/>
      <c r="E32" s="14"/>
      <c r="F32" s="21"/>
      <c r="G32" s="21"/>
      <c r="H32" s="21"/>
      <c r="I32" s="30"/>
    </row>
    <row r="33" spans="1:9" x14ac:dyDescent="0.3">
      <c r="A33" s="2" t="s">
        <v>61</v>
      </c>
      <c r="D33" s="6">
        <f>SUM(D26:D31)</f>
        <v>23.185198079999999</v>
      </c>
      <c r="E33" s="1"/>
      <c r="F33" s="5"/>
      <c r="G33" s="6">
        <f>SUM(G26:G31)</f>
        <v>22.685248080000001</v>
      </c>
      <c r="H33" s="6">
        <f>G33-D33</f>
        <v>-0.49994999999999834</v>
      </c>
      <c r="I33" s="29">
        <f t="shared" ref="I33:I36" si="20">IF(ISERROR(H33/D33), "",H33/D33)</f>
        <v>-2.1563326665354862E-2</v>
      </c>
    </row>
    <row r="34" spans="1:9" x14ac:dyDescent="0.3">
      <c r="A34" s="2" t="s">
        <v>5</v>
      </c>
      <c r="C34" s="7">
        <v>0.13</v>
      </c>
      <c r="D34" s="5">
        <f>C34*D33</f>
        <v>3.0140757504</v>
      </c>
      <c r="E34" s="1"/>
      <c r="F34" s="7">
        <v>0.13</v>
      </c>
      <c r="G34" s="5">
        <f>F34*G33</f>
        <v>2.9490822504</v>
      </c>
      <c r="H34" s="5">
        <f t="shared" ref="H34" si="21">G34-D34</f>
        <v>-6.4993499999999926E-2</v>
      </c>
      <c r="I34" s="27">
        <f t="shared" si="20"/>
        <v>-2.1563326665354907E-2</v>
      </c>
    </row>
    <row r="35" spans="1:9" x14ac:dyDescent="0.3">
      <c r="A35" s="2" t="s">
        <v>62</v>
      </c>
      <c r="C35" s="7">
        <v>-0.08</v>
      </c>
      <c r="D35" s="5">
        <f>C35*D33</f>
        <v>-1.8548158464</v>
      </c>
      <c r="E35" s="1"/>
      <c r="F35" s="7">
        <v>-0.08</v>
      </c>
      <c r="G35" s="5">
        <f>F35*G33</f>
        <v>-1.8148198464</v>
      </c>
      <c r="H35" s="5">
        <f t="shared" ref="H35" si="22">G35-D35</f>
        <v>3.9995999999999921E-2</v>
      </c>
      <c r="I35" s="27">
        <f t="shared" ref="I35" si="23">IF(ISERROR(H35/D35), "",H35/D35)</f>
        <v>-2.156332666535489E-2</v>
      </c>
    </row>
    <row r="36" spans="1:9" x14ac:dyDescent="0.3">
      <c r="A36" s="2" t="s">
        <v>63</v>
      </c>
      <c r="D36" s="6">
        <f>SUM(D33:D35)</f>
        <v>24.344457983999998</v>
      </c>
      <c r="E36" s="1"/>
      <c r="F36" s="5"/>
      <c r="G36" s="6">
        <f>SUM(G33:G35)</f>
        <v>23.819510484000002</v>
      </c>
      <c r="H36" s="6">
        <f>G36-D36</f>
        <v>-0.52494749999999613</v>
      </c>
      <c r="I36" s="29">
        <f t="shared" si="20"/>
        <v>-2.1563326665354775E-2</v>
      </c>
    </row>
    <row r="37" spans="1:9" x14ac:dyDescent="0.3">
      <c r="A37" s="14"/>
      <c r="B37" s="14"/>
      <c r="C37" s="21"/>
      <c r="D37" s="15"/>
      <c r="E37" s="15"/>
      <c r="F37" s="24"/>
      <c r="G37" s="15"/>
      <c r="H37" s="21"/>
      <c r="I37" s="30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7:I22 D15:I15 D24:I26 H23:I23 E23:F23 D23 G2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PRINT'!$B$3:$B$11</xm:f>
          </x14:formula1>
          <xm:sqref>B3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EB-2018-0042</Case_x0020_Number_x002f_Docket_x0020_Number>
    <Issue_x0020_Date xmlns="f9175001-c430-4d57-adde-c1c10539e919">2018-11-28T05:00:00+00:00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true</Draft_Ready>
    <Document_x0020_Type xmlns="f9175001-c430-4d57-adde-c1c10539e919">Prefiled evidence</Document_x0020_Type>
    <RA_x0020_Contact xmlns="31a38067-a042-4e0e-9037-517587b10700">180750 - AZ</RA_x0020_Contact>
    <Hydro_x0020_One_x0020_Data_x0020_Classification xmlns="f0af1d65-dfd0-4b99-b523-def3a954563f">Internal Use</Hydro_x0020_One_x0020_Data_x0020_Classification>
    <RA_Approved xmlns="22557c5e-ecd2-4fce-aafc-6d8488508737">true</RA_Approved>
    <Fin_Approved xmlns="22557c5e-ecd2-4fce-aafc-6d8488508737">false</Fin_Approved>
    <Dir_Approved xmlns="22557c5e-ecd2-4fce-aafc-6d8488508737">false</Dir_Approv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91c176ad15fc02f3aa9d919a2f2326dd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7508b588af1ef7742970cb72d4e7680d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Hydro One Sault Ste Marie - HOSSM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178404 - JAS" ma:format="Dropdown" ma:internalName="RA_x0020_Contact">
      <xsd:simpleType>
        <xsd:union memberTypes="dms:Text">
          <xsd:simpleType>
            <xsd:restriction base="dms:Choice">
              <xsd:enumeration value="182932 - AC"/>
              <xsd:enumeration value="584633 - OH"/>
              <xsd:enumeration value="183940 - IM"/>
              <xsd:enumeration value="208166 - HA"/>
              <xsd:enumeration value="184748 - JR"/>
              <xsd:enumeration value="178404 - JA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3D5582-DBBA-47E3-89BD-B7CB2A679388}">
  <ds:schemaRefs>
    <ds:schemaRef ds:uri="f9175001-c430-4d57-adde-c1c10539e919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31a38067-a042-4e0e-9037-517587b10700"/>
    <ds:schemaRef ds:uri="f0af1d65-dfd0-4b99-b523-def3a954563f"/>
    <ds:schemaRef ds:uri="22557c5e-ecd2-4fce-aafc-6d8488508737"/>
    <ds:schemaRef ds:uri="ea909525-6dd5-47d7-9eed-71e77e5cedc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0649C5-69EA-42E4-AC1F-3627EC554B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AD7021-DF71-4498-957B-923003BA4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ea909525-6dd5-47d7-9eed-71e77e5cedc6"/>
    <ds:schemaRef ds:uri="31a38067-a042-4e0e-9037-517587b10700"/>
    <ds:schemaRef ds:uri="22557c5e-ecd2-4fce-aafc-6d8488508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Data-DO NOT PRINT</vt:lpstr>
      <vt:lpstr>Summary-DO NOT PRINT</vt:lpstr>
      <vt:lpstr>Res_RPP_Low</vt:lpstr>
      <vt:lpstr>Res_RPP_Typical</vt:lpstr>
      <vt:lpstr>Res_RPP_High</vt:lpstr>
      <vt:lpstr>GS&lt;50kW_RPP</vt:lpstr>
      <vt:lpstr>GS 50-4,999kW</vt:lpstr>
      <vt:lpstr>USL</vt:lpstr>
      <vt:lpstr>SenLgt</vt:lpstr>
      <vt:lpstr>StLgt</vt:lpstr>
      <vt:lpstr>Emb_Dist</vt:lpstr>
      <vt:lpstr>Res_NonRPP_Typical</vt:lpstr>
      <vt:lpstr>GS&lt;50kW_NonRPP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Impacts_Norfolk</dc:title>
  <dc:creator>SHETH Nikita</dc:creator>
  <cp:lastModifiedBy>KIM Susan</cp:lastModifiedBy>
  <cp:lastPrinted>2018-12-04T19:14:05Z</cp:lastPrinted>
  <dcterms:created xsi:type="dcterms:W3CDTF">2018-11-21T18:56:44Z</dcterms:created>
  <dcterms:modified xsi:type="dcterms:W3CDTF">2019-01-21T19:26:30Z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  <property fmtid="{D5CDD505-2E9C-101B-9397-08002B2CF9AE}" pid="3" name="Order">
    <vt:r8>246400</vt:r8>
  </property>
</Properties>
</file>